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D54B1E8C-9367-8544-941B-3B3F3C210FB7}"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T270" i="1"/>
  <c r="BF271" i="1"/>
  <c r="BT271" i="1"/>
  <c r="BF272" i="1"/>
  <c r="BT272"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T735" i="1"/>
  <c r="BF736" i="1"/>
  <c r="BT736" i="1"/>
  <c r="BF737" i="1"/>
  <c r="BT737" i="1"/>
  <c r="BF738" i="1"/>
  <c r="BT738" i="1"/>
  <c r="BF739" i="1"/>
  <c r="BT739" i="1"/>
  <c r="BF740" i="1"/>
  <c r="BT740" i="1"/>
  <c r="BF741" i="1"/>
  <c r="BT741" i="1"/>
  <c r="BF742" i="1"/>
  <c r="BT742" i="1"/>
  <c r="BT743" i="1"/>
  <c r="BT744"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T935"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T997" i="1"/>
  <c r="BF998" i="1"/>
  <c r="BT998" i="1"/>
  <c r="BF999" i="1"/>
  <c r="BT999" i="1"/>
  <c r="BF1000" i="1"/>
  <c r="BT1000" i="1"/>
  <c r="BF1001" i="1"/>
  <c r="BT1001" i="1"/>
</calcChain>
</file>

<file path=xl/sharedStrings.xml><?xml version="1.0" encoding="utf-8"?>
<sst xmlns="http://schemas.openxmlformats.org/spreadsheetml/2006/main" count="59592" uniqueCount="19394">
  <si>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</si>
  <si>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</si>
  <si>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</si>
  <si>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</si>
  <si>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</si>
  <si>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</si>
  <si>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</si>
  <si>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</si>
  <si>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</si>
  <si>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</si>
  <si>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</si>
  <si>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</si>
  <si>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</si>
  <si>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</si>
  <si>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</si>
  <si>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</si>
  <si>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</si>
  <si>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</si>
  <si>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</si>
  <si>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</si>
  <si>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</si>
  <si>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</si>
  <si>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</si>
  <si>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</si>
  <si>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</si>
  <si>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</si>
  <si>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</si>
  <si>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</si>
  <si>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</si>
  <si>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</si>
  <si>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</si>
  <si>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</si>
  <si>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</si>
  <si>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</si>
  <si>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</si>
  <si>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</si>
  <si>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</si>
  <si>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</si>
  <si>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</si>
  <si>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</si>
  <si>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</si>
  <si>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</si>
  <si>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</si>
  <si>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</si>
  <si>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</si>
  <si>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</si>
  <si>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</si>
  <si>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</si>
  <si>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</si>
  <si>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</si>
  <si>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</si>
  <si>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</si>
  <si>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</si>
  <si>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</si>
  <si>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</si>
  <si>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</si>
  <si>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</si>
  <si>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</si>
  <si>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</si>
  <si>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</si>
  <si>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</si>
  <si>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</si>
  <si>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</si>
  <si>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</si>
  <si>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</si>
  <si>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</si>
  <si>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</si>
  <si>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</si>
  <si>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</si>
  <si>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</si>
  <si>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</si>
  <si>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</si>
  <si>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C</t>
  </si>
  <si>
    <t>Soldatenko, SA; Alekseev, GV</t>
  </si>
  <si>
    <t/>
  </si>
  <si>
    <t>IOP</t>
  </si>
  <si>
    <t>Soldatenko, S. A.; Alekseev, G., V</t>
  </si>
  <si>
    <t>Managing climate risks associated with socio-economic development of the Russian Arctic</t>
  </si>
  <si>
    <t>CLIMATE CHANGE: CAUSES, RISKS, CONSEQUENCES, PROBLEMS OF ADAPTATION AND MANAGEMENT</t>
  </si>
  <si>
    <t>IOP Conference Series-Earth and Environmental Science</t>
  </si>
  <si>
    <t>English</t>
  </si>
  <si>
    <t>Proceedings Paper</t>
  </si>
  <si>
    <t>All-Russian Conference on Climate Change - Causes, Risks, Consequences, Problems of Adaptation and Management (CLIMATE)</t>
  </si>
  <si>
    <t>NOV 26-28, 2019</t>
  </si>
  <si>
    <t>Russian Acad Sci, Presidium, Moscow, RUSSIA</t>
  </si>
  <si>
    <t>Russian Acad Sci, Presidium</t>
  </si>
  <si>
    <t>Every aspect of human activities in the Arctic faces a wide range of risks. By the beginning of the XXI century, mankind had recognized a new class of risks, namely the risks associated with anthropogenic climate change, which is more noticeable in the Arctic, where the rate of warming is twice as high as the world average. The global and especially Arctic climate is likely to continue to change, thereby significantly affecting future socio-economic development, biodiversity, ecosystems and human society. In this paper, we consider climate risks associated with socio-economic development of the Russian Arctic, and propose a modelling framework that allows stakeholders to identify and manage climate risks, assess the economic impacts of climate change in the Arctic, and assist in the development of climate change adaptation strategies.</t>
  </si>
  <si>
    <t>[Soldatenko, S. A.; Alekseev, G., V] Arctic &amp; Antarctic Res Inst, St Petersburg, Russia</t>
  </si>
  <si>
    <t>Arctic &amp; Antarctic Research Institute</t>
  </si>
  <si>
    <t>Soldatenko, SA (corresponding author), Arctic &amp; Antarctic Res Inst, St Petersburg, Russia.</t>
  </si>
  <si>
    <t>soldatenko@aari.ru</t>
  </si>
  <si>
    <t>SOLDATENKO, SERGEI/S-1223-2016</t>
  </si>
  <si>
    <t>SOLDATENKO, SERGEI/0000-0002-6304-7434</t>
  </si>
  <si>
    <t>Federal Service for Hydrometeorology and Environmental Monitoring of the Russian Federation (Targeted Research and Technical Program) [1.3.3.1, 1.3.4.2]</t>
  </si>
  <si>
    <t>Federal Service for Hydrometeorology and Environmental Monitoring of the Russian Federation (Targeted Research and Technical Program)</t>
  </si>
  <si>
    <t>This work was supported by the Federal Service for Hydrometeorology and Environmental Monitoring of the Russian Federation (Targeted Research and Technical Program, No. 1.3.3.1 and 1.3.4.2).</t>
  </si>
  <si>
    <t>IOP PUBLISHING LTD</t>
  </si>
  <si>
    <t>BRISTOL</t>
  </si>
  <si>
    <t>DIRAC HOUSE, TEMPLE BACK, BRISTOL BS1 6BE, ENGLAND</t>
  </si>
  <si>
    <t>1755-1307</t>
  </si>
  <si>
    <t>IOP C SER EARTH ENV</t>
  </si>
  <si>
    <t>IOP Conf. Ser. Earth Envir. Sci.</t>
  </si>
  <si>
    <t>10.1088/1755-1315/606/1/012060</t>
  </si>
  <si>
    <t>Environmental Sciences; Meteorology &amp; Atmospheric Sciences</t>
  </si>
  <si>
    <t>Conference Proceedings Citation Index - Science (CPCI-S)</t>
  </si>
  <si>
    <t>Environmental Sciences &amp; Ecology; Meteorology &amp; Atmospheric Sciences</t>
  </si>
  <si>
    <t>BR5TT</t>
  </si>
  <si>
    <t>gold</t>
  </si>
  <si>
    <t>2024-04-21</t>
  </si>
  <si>
    <t>WOS:000657330400061</t>
  </si>
  <si>
    <t>S</t>
  </si>
  <si>
    <t>Kojima, C</t>
  </si>
  <si>
    <t>Nordquist, MH; Moore, JN; Long, R</t>
  </si>
  <si>
    <t>Kojima, Chic</t>
  </si>
  <si>
    <t>The Duty to Cooperate in the Protection and Preservation of the Marine Environment</t>
  </si>
  <si>
    <t>COOPERATION AND ENGAGEMENT IN THE ASIA-PACIFIC REGION</t>
  </si>
  <si>
    <t>Center for Oceans Law and Policy</t>
  </si>
  <si>
    <t>Article; Book Chapter</t>
  </si>
  <si>
    <t>marine environment; environmental law; marine pollution; fish stocks agreement; whaling in the Antarctic case; due regard; MOX Plant Case</t>
  </si>
  <si>
    <t>International courts and tribunals increasingly refer to the importance of the duty to cooperate in the protection and preservation of the marine environment, as in the mox Plant case, Land Reclamation case, Advisory Opinion on iuu fishing, and South China Sea Arbitration. How a State can fulfill this duty to cooperate, however, remains unclear. This paper examines the nature and content of the duty to cooperate under the United Nations Convention on the Law of the Sea namely the duty to negotiate or consult in good faith and the duty to cooperate through global, regional or subregional organizations.</t>
  </si>
  <si>
    <t>[Kojima, Chic] Chuo Univ, Fac Law, Int Law, Tokyo, Japan</t>
  </si>
  <si>
    <t>Chuo University</t>
  </si>
  <si>
    <t>Kojima, C (corresponding author), Chuo Univ, Fac Law, Int Law, Tokyo, Japan.</t>
  </si>
  <si>
    <t>BRILL NIJHOFF</t>
  </si>
  <si>
    <t>LEIDEN</t>
  </si>
  <si>
    <t>PO BOX 9000, LEIDEN, 2300 PA, NETHERLANDS</t>
  </si>
  <si>
    <t>1872-7158</t>
  </si>
  <si>
    <t>978-90-04-41202-6; 978-90-04-41201-9</t>
  </si>
  <si>
    <t>CEN OCEAN L POL</t>
  </si>
  <si>
    <t>10.1163/9789004412026_010</t>
  </si>
  <si>
    <t>Book Citation Index – Social Sciences &amp; Humanities (BKCI-SSH)</t>
  </si>
  <si>
    <t>BU1BX</t>
  </si>
  <si>
    <t>WOS:000876281600008</t>
  </si>
  <si>
    <t>J</t>
  </si>
  <si>
    <t>Alekseev, I; Abakumov, E</t>
  </si>
  <si>
    <t>Alekseev, Ivan; Abakumov, Evgeny</t>
  </si>
  <si>
    <t>Permafrost table depth in soils of Eastern Antarctica oases, King George and Ardley Islands (South Shetland Islands)</t>
  </si>
  <si>
    <t>CZECH POLAR REPORTS</t>
  </si>
  <si>
    <t>Article</t>
  </si>
  <si>
    <t>Antarctica; soils; electrical resistivity; permafrost table; active layer</t>
  </si>
  <si>
    <t>GROUND-PENETRATING RADAR; ELECTROMAGNETIC INDUCTION; RESISTIVITY; LAYER; CRYOSOLS; ZONES; BASE</t>
  </si>
  <si>
    <t>This study was aimed to investigate the electrical resistivity in soils and permafrost of various ice-free areas of Antarctica and Sub-Antarctica (from coastal Eastern Antarctica oases to Maritime Antarctica). Measurements of electrical resistivity of soil and permafrost strata were performed with a portable device LandMapper. It was found that the permafrost table depth ranged 82 to106 cm in Bunger Hills, 95 to 122 cm in Larsemann Hills, 27 to 106 in Thala Hills, and 89 to 100 cm on King George Island and Ardley Island. Presence (and thickness) of organic layer and influence of snow patches melting were found the main reasons for differentiation of permafrost table depth in the studied ice-free areas. Anthropogenic disturbance at waste disposal sites resulted in more pronounced soil profile heterogeneity and formation of scattered electrical resistivity profiles. Permafrost layer was found less homogenous in the upper part of permafrost strata compared to the lower part. An application of vertical electrical resistivity sounding (VERS) may be very useful for evaluation of active layer thickness in Antarctic environments, especially when they are facing severe anthropogenic influence due to maintaining of numerous Antarctic research stations and logistical operations</t>
  </si>
  <si>
    <t>[Alekseev, Ivan; Abakumov, Evgeny] St Petersburg State Univ, Dept Appl Ecol, 16th Line Vasilevsky Isl 29, St Petersburg 199178, Russia</t>
  </si>
  <si>
    <t>Saint Petersburg State University</t>
  </si>
  <si>
    <t>Alekseev, I (corresponding author), St Petersburg State Univ, Dept Appl Ecol, 16th Line Vasilevsky Isl 29, St Petersburg 199178, Russia.</t>
  </si>
  <si>
    <t>alekseevivan95@gmail.com</t>
  </si>
  <si>
    <t>Alekseev, Ivan/H-5338-2016; Abakumov, Evgeny/AAO-8580-2020; Abakumov, e_abakumov@mail.ru/ADJ-1297-2022</t>
  </si>
  <si>
    <t>Alekseev, Ivan/0000-0002-0512-3849; Abakumov, Evgeny/0000-0002-5248-9018; Abakumov, e_abakumov@mail.ru/0000-0002-5248-9018</t>
  </si>
  <si>
    <t>Russian Foundation for Basic Research [18-04-00900, 19-54-18003]</t>
  </si>
  <si>
    <t>Russian Foundation for Basic Research(Russian Foundation for Basic Research (RFBR)Spanish Government)</t>
  </si>
  <si>
    <t>This study was supported by Russian Foundation for Basic Research, grant 18-04-00900 Ornithogenic soils of Antarctica: formation, geography, biogeochemistry and bioindication, grant 19-54-18003 Assessment of regional contribution of Antarctic soils into global carbon balance considering stabilization and humification of organic matter and Grant of Saint Petersburg State University Urbanized ecosystems of the Russian Arctic: dynamics, state and sustainable development. The authors gratefully acknowledge Russian Antarctic Expedition, especially the head of seasonal expedition 2017-2018 V.N. Churun, for providing scientific and logistic support during the field work.</t>
  </si>
  <si>
    <t>MASARYK UNIV PRESS</t>
  </si>
  <si>
    <t>Brno</t>
  </si>
  <si>
    <t>Brno, CZECH REPUBLIC</t>
  </si>
  <si>
    <t>1805-0689</t>
  </si>
  <si>
    <t>1805-0697</t>
  </si>
  <si>
    <t>CZECH POLAR REP</t>
  </si>
  <si>
    <t>Czech Polar Rep.</t>
  </si>
  <si>
    <t>10.5817/CPR2020-1-2</t>
  </si>
  <si>
    <t>Ecology; Geosciences, Multidisciplinary</t>
  </si>
  <si>
    <t>Emerging Sources Citation Index (ESCI)</t>
  </si>
  <si>
    <t>Environmental Sciences &amp; Ecology; Geology</t>
  </si>
  <si>
    <t>VM0RQ</t>
  </si>
  <si>
    <t>WOS:000937824300002</t>
  </si>
  <si>
    <t>Halici, MG; Osmanoglu, OM; Kahraman, M</t>
  </si>
  <si>
    <t>Halici, Mehmet Gokhan; Osmanoglu, Osman Muaz; Kahraman, Merve</t>
  </si>
  <si>
    <t>A new record of lichenized fungus species for Antarctica: Peltigera castanea Goward, Goffinet &amp; Miadl.</t>
  </si>
  <si>
    <t>Antarctica; first report; lichens; biodiversity; James Ross Island</t>
  </si>
  <si>
    <t>As a result of our studies aiming to determine the lichen mycota of the James Ross Island (Antarctic Peninsula), we report Peltigera castanea, a species in the P. didactyla complex from Antarctica and Southern Hemisphere for the first time. Collections were evaluated using morphological, anatomical and molecular characteristics (nrITS). Peltigera castanea has foliose, 4-6 cm lobate thallus; upper surface dark brown to chestnut brown, weakly tomentose (especially in the margins of the lobes) and sorediate. The morphological and ecological variations of this species are discussed in this paper.</t>
  </si>
  <si>
    <t>[Halici, Mehmet Gokhan; Osmanoglu, Osman Muaz; Kahraman, Merve] Erciyes Univ, Fac Sci, Dept Biol, TR-38039 Kayseri, Turkey</t>
  </si>
  <si>
    <t>Erciyes University</t>
  </si>
  <si>
    <t>Osmanoglu, OM (corresponding author), Erciyes Univ, Fac Sci, Dept Biol, TR-38039 Kayseri, Turkey.</t>
  </si>
  <si>
    <t>osmanogluosmann@gmail.com</t>
  </si>
  <si>
    <t>Erciyes University; TUBITAK [118Z587]; J.G. Mendel station (project CzechPolar2) [LM2015078]</t>
  </si>
  <si>
    <t>Erciyes University(Erciyes University); TUBITAK(Turkiye Bilimsel ve Teknolojik Arastirma Kurumu (TUBITAK)); J.G. Mendel station (project CzechPolar2)</t>
  </si>
  <si>
    <t>The first author thanks for Erciyes University for their financial support to make the field works in James Ross Island, Antarctica and TUBITAK (118Z587) coded project. The authors are thankful for the infrastructure and facilities of J.G. Mendel station (project CzechPolar2 -LM2015078) provided during the Czech Antarctic expedition, Jan-Feb 2017.</t>
  </si>
  <si>
    <t>10.5817/CPR2020-1-5</t>
  </si>
  <si>
    <t>WOS:000937824300005</t>
  </si>
  <si>
    <t>Iliushin, VA</t>
  </si>
  <si>
    <t>Iliushin, Vadim Alexandrovich</t>
  </si>
  <si>
    <t>First find of Cadophora antarctica Rodr.-Andrade, Stchigel, Mac Cormack &amp; Cano in the Arctic</t>
  </si>
  <si>
    <t>microfungi; Svalbard; Arctic; Cadophora antarctica; bipolar species; spoil tips; coal mines</t>
  </si>
  <si>
    <t>Cadophora antarctica Rodr.-Andrade, Stchigel, Mac Cormack &amp; Cano was isolated from spoil tip of coal mine in the Arctic, on the territory of the Svalbard archipelago, and is represented by strain IVA-206. Macro- and micromorphology of the isolate were examined along with partial sequences of Internal transcribed spacer rDNA region (ITS1-5.8S-ITS2) and D1/D2 region of 28S rDNA (LSU). The isolate C. antarctica IVA-206 had a number of features that distinguished it from the strain C. antarctica CBS 143035 from Antarctica. Colonies of Arctic strain had darker pigmentation, ramoconidia and conidia were larger, and the optimal growth temperature was higher. As a result of our study, we first discovered the microfungi C. antarctica Rodr.-Andrade, Stchigel, Mac Cormack &amp; Cano in the Arctic. Our study shows that C. antarctica Rodr.Andrade, Stchigel, Mac Cormack &amp; Cano is a bipolar species found in both the Arctic and Antarctic region.</t>
  </si>
  <si>
    <t>[Iliushin, Vadim Alexandrovich] Russian Acad Sci, Bot Inst, St Petersburg, Russia</t>
  </si>
  <si>
    <t>Russian Academy of Sciences; Komarov Botanical Institute, Russian Academy of Sciences</t>
  </si>
  <si>
    <t>Iliushin, VA (corresponding author), Russian Acad Sci, Bot Inst, St Petersburg, Russia.</t>
  </si>
  <si>
    <t>ilva94@yandex.ru</t>
  </si>
  <si>
    <t>Iliushin, Vadim/AAD-4099-2022</t>
  </si>
  <si>
    <t>Iliushin, Vadim/0000-0003-1031-7661</t>
  </si>
  <si>
    <t>Botanical Institute of the Russian Academy of Sciences [AAAA-A19-119020890079-6]</t>
  </si>
  <si>
    <t>Botanical Institute of the Russian Academy of Sciences</t>
  </si>
  <si>
    <t>This study was carried out as part of the state assignment according to the thematic plan of the Botanical Institute of the Russian Academy of Sciences (theme No. AAAA-A19-119020890079-6). The research was done using equipment of The Core Facilities Center Cell and Molecular Technologies in Plant Science at the Komarov Botanical Institute RAS (St.-Petersburg, Russia).</t>
  </si>
  <si>
    <t>10.5817/CPR2020-2-11</t>
  </si>
  <si>
    <t>VM0RR</t>
  </si>
  <si>
    <t>WOS:000937831200001</t>
  </si>
  <si>
    <t>Weiss, J; Orekhova, A</t>
  </si>
  <si>
    <t>Weiss, Johanna; Orekhova, Alla</t>
  </si>
  <si>
    <t>Biometrical analysis and thallus morphology characteristics of Placopsis antarctica from King George Island, Antarctica</t>
  </si>
  <si>
    <t>cephalodium; morphometry; Nostoc; algae symbiont; microrelief</t>
  </si>
  <si>
    <t>Placopsis antarctica is an ornithocoprophilous lichen that has been for a long time confused with P. contortuplicata I. M. Lamb. In our study, we focused on morphological characteristics of P. antarctica thalli. We report biometrical data on dominant morphological structures of P. antarctica thallus: cephalodia, marginal lobes, sorediate pits and soralia. Thalli of P. antarctica were collected at the King George Island, Antarctica and analyzed in a laboratory using a digital microscopy approach. Central cephalodium was found rather elliptic then round-shaped. Mean length/width was found 2.424/1.720 mm. Marginal lobes were found wider at the apex (1.415 mm) than basal part (0.495 mm). Side cephalodia were smaller, their mean length/width was found 1.034/0.610 mm.</t>
  </si>
  <si>
    <t>[Weiss, Johanna] Univ Tubingen, Fac Sci, Geschwister Scholl Pl, D-72074 Tubingen, Germany; [Orekhova, Alla] Masaryk Univ, Fac Sci, Dept Expt Biol, Expt Plant Biol Sect, Brno 62500, Czech Republic</t>
  </si>
  <si>
    <t>Eberhard Karls University of Tubingen; Masaryk University Brno</t>
  </si>
  <si>
    <t>Orekhova, A (corresponding author), Masaryk Univ, Fac Sci, Dept Expt Biol, Expt Plant Biol Sect, Brno 62500, Czech Republic.</t>
  </si>
  <si>
    <t>a.orechova@seznam.cz</t>
  </si>
  <si>
    <t>[INACH RT2716]; [LM2015078]; [ECOPOLARIS: CZ.02.1.01/0.0/0.0/16_013/0001708]</t>
  </si>
  <si>
    <t>; ;</t>
  </si>
  <si>
    <t>The authors are thankful for the funding that enabled collections of the samples from the field (INACH RT2716 Ecophysiology of Antarctic and Atacama lichens, CzechPolar-II LM2015078)) and provided infrastructure for the lichen thalli measurements and data processing (ECOPOLARIS: CZ.02.1.01/0.0/0.0/16_013/0001708)). The authors would like to express their thanks M. Bartak for his help in data analysis, and J. Weiss for her help in morphological data gathering by digital optical microscopy.</t>
  </si>
  <si>
    <t>10.5817/CPR2020-2-13</t>
  </si>
  <si>
    <t>WOS:000937831200003</t>
  </si>
  <si>
    <t>Andreev, M; Andersen, D; Kurbatova, L; Smirnova, S; Chaplygina, O</t>
  </si>
  <si>
    <t>Andreev, Mikhail; Andersen, Dale; Kurbatova, Lyubov; Smirnova, Svetlana; Chaplygina, Olga</t>
  </si>
  <si>
    <t>Lichens, bryophytes and terrestrial algae of the Lake Untersee Oasis (Wohlthat Massiv, Dronning Maud Land, Antarctica)</t>
  </si>
  <si>
    <t>Queen Maud Land; Schirmacher Oasis; biodiversity; vegetation; flora; taxonomy; lichen biota; mosses</t>
  </si>
  <si>
    <t>Lake Untersee is the largest ice-covered freshwater lake in the interior of East Antarctica. The mountain oasis is situated around it in the Gruber Mts. of the Wohlthat Massif. For approximately 7,000 years the area has been free of ice and the local climate relatively stable. It is very severe, cold, and windy and dominated by intense evaporation and sublimation but with little melt. Relative humidity averages only 37%. Vegetation is sparse in the oasis and previously only poorly investigated. Two lichen species and no bryophytes were known from the area. In November-December 2018, a survey of terrestrial flora and vegetation was made. The list of lichens was completed for the area, bryophytes were found for the first time, and some terrestrial algae were collected. In total, 23 lichen species, 1 lichenicolous fungus, 1 moss, and 18 terrestrial algae were discovered for the locality. The abundance of each species within their habitats was also evaluated. The lichen flora of the Untersee Oasis is typical for continental oases and similar to other previously investigated internal territories of Dronning Maud Land, except for the very rich lichen flora of the Schirmacher Oasis.</t>
  </si>
  <si>
    <t>[Andreev, Mikhail; Kurbatova, Lyubov; Smirnova, Svetlana; Chaplygina, Olga] Russian Acad Sci, Komarov Bot Inst, Prof Popov St 2, St Petersburg 197376, Russia; [Andersen, Dale] SETI Inst, Carl Sagan Ctr, 189 Bernardo Ave,Suite 100, Mountain View, CA 94043 USA</t>
  </si>
  <si>
    <t>Andreev, M (corresponding author), Russian Acad Sci, Komarov Bot Inst, Prof Popov St 2, St Petersburg 197376, Russia.</t>
  </si>
  <si>
    <t>andreevmp@yandex.ru</t>
  </si>
  <si>
    <t>Andreev, Mikhail P./JAC-9420-2023; Smirnova, Svetlana/AAB-2027-2022</t>
  </si>
  <si>
    <t>Andreev, Mikhail/0000-0002-5688-0751; Smirnova, Svetlana/0000-0001-9982-4840</t>
  </si>
  <si>
    <t>Tawani Foundation of Chicago; Trottier Family Foundation; NASA's Exobiology and Astrobiology Programs; Federal Target Program World Ocean'',; Russian Foundation of Fundamental Sciences [18-04-00900, 19-54-18003]; Komarov Botanical Institute RAS [AAAA-A18-118022090078-2]</t>
  </si>
  <si>
    <t>Tawani Foundation of Chicago; Trottier Family Foundation; NASA's Exobiology and Astrobiology Programs; Federal Target Program World Ocean'',; Russian Foundation of Fundamental Sciences; Komarov Botanical Institute RAS</t>
  </si>
  <si>
    <t>Primary support for research was provided by the Tawani Foundation of Chicago, the Trottier Family Foundation, NASA's Exobiology and Astrobiology Programs, Arctic and Antarctic Research Institute/Russian Antarctic Expedition's Subprogram ``Study and Research of the Antarctic'' of the Federal Target Program World Ocean.'', partly by the Russian Foundation of Fundamental Sciences (18-04-00900, 19-54-18003), and by the research project of the Komarov Botanical Institute RAS (AAAA-A18-118022090078-2). Logistics support was provided by Antarctic Logistics Centre International (ALCI), Cape Town, South Africa. Microphotographs of algae were taken using equipment of the Core Facility Center Cell and Molecular Technologies in Plant Science at the Komarov Botanical Institute of the Russian Academy of Sciences (St. Petersburg, Russia). In particular we thank reviewer Ole William Purvis (Natural History Museum, London) for his constructive comments and suggestions on earlier version of this manuscript.</t>
  </si>
  <si>
    <t>10.5817/CPR2020-2-16</t>
  </si>
  <si>
    <t>WOS:000937831200006</t>
  </si>
  <si>
    <t>Laichmanová, M</t>
  </si>
  <si>
    <t>Laichmanova, Monika</t>
  </si>
  <si>
    <t>New records of Oleoguttula mirabilis and Rachicladosporium antarcticum from James Ross Island, Antarctica</t>
  </si>
  <si>
    <t>black yeast; ITS rDNA region; meristematic fungi; polar region; rockinhabiting fungi</t>
  </si>
  <si>
    <t>A group of seven isolates of black meristematic fungi was collected from rocks within the framework of mycological research focused on the study of diversity of rockinhabiting fungi on James Ross Island in Antarctica. Their identification was based on ITS rDNA sequence comparisons supported by morphological data. Obtained results assigned four analysed strains as Oleoguttula mirabilis and three isolates as Rachicladosporium antarcticum. To the best of our knowledge this is the second report of isolation of these two psychrophilic species from different parts of James Ross Island which imply that they probably represent a common part of its environmental microbial flora.</t>
  </si>
  <si>
    <t>[Laichmanova, Monika] Masaryk Univ, Fac Sci, Dept Expt Biol, Czech Collect Microorganisms, Kamenice 5, Brno 62500, Czech Republic</t>
  </si>
  <si>
    <t>Masaryk University Brno</t>
  </si>
  <si>
    <t>Laichmanová, M (corresponding author), Masaryk Univ, Fac Sci, Dept Expt Biol, Czech Collect Microorganisms, Kamenice 5, Brno 62500, Czech Republic.</t>
  </si>
  <si>
    <t>monikadr@sci.muni.cz</t>
  </si>
  <si>
    <t>Ministry of Education, Youth and Sports of the Czech Republic [LM2015078]; Czech Antarctic Foundation</t>
  </si>
  <si>
    <t>Ministry of Education, Youth and Sports of the Czech Republic(Ministry of Education, Youth &amp; Sports - Czech Republic); Czech Antarctic Foundation</t>
  </si>
  <si>
    <t>The author wish to thank the scientific infrastructure of the J. G. Mendel Czech Antarctic Station, part of the Czech Polar Research Infrastructure (CzechPolar2), and its crew for their assistance, supported by the Ministry of Education, Youth and Sports of the Czech Republic (LM2015078) and the Czech Antarctic Foundation for their support. Sincere thanks go to Dr. Pavel Svec for his valuable comments on the manuscript and Dr. Zdenek Stachon for providing topographic data.</t>
  </si>
  <si>
    <t>10.5817/CPR2020-2-17</t>
  </si>
  <si>
    <t>WOS:000937831200007</t>
  </si>
  <si>
    <t>Palfner, G; Binimelis-Salazar, J; Alarcón, ST; Torres-Mellado, G; Gallegos, G; Pea-Cortés, F; Casanova-Katny, A</t>
  </si>
  <si>
    <t>Palfner, Gotz; Binimelis-Salazar, Josefa; Troncoso Alarcon, Sandra; Torres-Mellado, Gustavo; Gallegos, Gloria; Pea-Cortes, Fernando; Casanova-Katny, Angelica</t>
  </si>
  <si>
    <t>Do new records of macrofungi indicate warming of their habitats in terrestrial Antarctic ecosystems?</t>
  </si>
  <si>
    <t>Basidiomycetes; bryophytes; antarctic fungi; parasitism; Antarctica</t>
  </si>
  <si>
    <t>Relatively few macrofungi have been historically described from terrestrial environments of the Antarctic Peninsula and its associated archipelagos which are characterized by a moss-dominated vegetation, most of them preferentially or obligatorily associated with bryophytes. During the study of the influence of penguin rockeries to moss communities on the South Shetland Islands, the bryophilous basidiomycetes Rimbachia bryophila and Arrhenia cf. lilacinicolor were found for the first time on King George Island, growing on carpets of Sanionia uncinata. Other bryophilous fungi previously recorded in the same region are Arrhenia antarctica, Omphalina pyxidata and the rare Simocybe antarctica. The detection of the supposedly parasitic R. bryophila, together with other new observations of macrofungi on different hosts in the Antarctic bryoflora could indicate increased sexual reproduction. The likely increase of reproduction as an effect of warming on the terrestrial antarctic tundra should be proven by follow up field studies.</t>
  </si>
  <si>
    <t>[Palfner, Gotz; Binimelis-Salazar, Josefa; Troncoso Alarcon, Sandra; Torres-Mellado, Gustavo; Gallegos, Gloria] Univ Concepcion, Fac Nat Sci &amp; Oceanog, Lab Mycol &amp; Mycorrhiza, Campus Concepcion, Concepcion, Chile; [Pea-Cortes, Fernando] Catholic Univ Temuco, Fac Nat Resources, Environm Sci Dept, Lab Spatial Planning, Temuco, Chile; [Casanova-Katny, Angelica] Catholic Univ Temuco, Fac Nat Resources, Lab Plant Ecophysiol, Campus Luis Rivas Del Canto, Temuco 03694, Chile</t>
  </si>
  <si>
    <t>Universidad de Concepcion; Universidad Catolica de Temuco; Universidad Catolica de Temuco</t>
  </si>
  <si>
    <t>Casanova-Katny, A (corresponding author), Catholic Univ Temuco, Fac Nat Resources, Lab Plant Ecophysiol, Campus Luis Rivas Del Canto, Temuco 03694, Chile.</t>
  </si>
  <si>
    <t>mcasanova@uct.cl</t>
  </si>
  <si>
    <t>ANID-FONDECYT [1181745]</t>
  </si>
  <si>
    <t>ANID-FONDECYT</t>
  </si>
  <si>
    <t>Dra. Casanova-Katny acknowledges the logistic support of the Instituto Antartico Chileno (INACH) during the ECA 55 and 56, also the staff of the Spanish station Gabriel de Castilla during field work on Deception Island; funding was by ANID-FONDECYT1181745. Our special thanks to Dr. Egon Horak, Innsbruck University, Austria, for providing important information about antarctic fungi and to the two reviewers for improving our manuscript.</t>
  </si>
  <si>
    <t>10.5817/CPR2020-2-21</t>
  </si>
  <si>
    <t>WOS:000937831200011</t>
  </si>
  <si>
    <t>Váczi, P; Barták, M; Bednaríková, M; Hrbácek, F; Hájek, J</t>
  </si>
  <si>
    <t>Vaczi, Peter; Bartak, Milos; Bednarikova, Michaela; Hrbacek, Filip; Hajek, Josef</t>
  </si>
  <si>
    <t>Spectral properties of Antarctic and Alpine vegetation monitored by multispectral camera: Case studies from James Ross Island and Jeseniky Mts.</t>
  </si>
  <si>
    <t>remote sensing; UAV; vegetation indices; spectral reflectance; plant functional types</t>
  </si>
  <si>
    <t>In this study, we investigated the utility of spectral remote sensing data gathered by a multispectral camera for estimating of vegetation cover in Antarctic vegetation oasis and Arcto-Alpine tundra. The surveys exploiting unmanned aerial vehicles (UAV) and multispectral camera were done in an Antarctic vegetation oasis located at the Northern shore of James Ross Island (Antarctica), and arcto-alpine tundra located in the Jeseniky Mts. (NE Czech Republic, 1 420 m a. s.l.). For the two locations, false colour images of spectral indices (VARI, NGRDI, GLI, RGBVI, ExG, NDVI, PRI) were taken and analysis of vegetation types and components of vegetation cover was done. Additionally, field research was performed by handheld instruments measuring NDVI, PRI and of selected vegetation components: Bryum pseudotriquetrum, Nostoc commune colonies (Antarctica), lichens grown on flat stones and boulders (the Jeseniky Mts.). The results show UAV photo surveys and imaging of spectral reflectance indices can be used to monitor vegetation types forming Antarctic vegetation oases and arcto-alpine tundra.</t>
  </si>
  <si>
    <t>[Vaczi, Peter; Bartak, Milos; Bednarikova, Michaela; Hajek, Josef] Masaryk Univ, Fac Sci, Departmet Expt Biol, Lab Photosynthet Proceses, Kamenice 5, Brno 62500, Czech Republic; [Hrbacek, Filip] Masaryk Univ, Fac Sci, Dept Geog, Polar Geolab, Kotlarska 2, Brno 61137, Czech Republic</t>
  </si>
  <si>
    <t>Masaryk University Brno; Masaryk University Brno</t>
  </si>
  <si>
    <t>Váczi, P (corresponding author), Masaryk Univ, Fac Sci, Departmet Expt Biol, Lab Photosynthet Proceses, Kamenice 5, Brno 62500, Czech Republic.</t>
  </si>
  <si>
    <t>vaczi@sci.muni.cz</t>
  </si>
  <si>
    <t>Hájek, Josef/F-4694-2019; Barták, Miloš/F-4714-2019</t>
  </si>
  <si>
    <t>Hájek, Josef/0000-0002-2679-1707;</t>
  </si>
  <si>
    <t>Czech Ministry of Education, Youth, and Sports [CZ.02.1.01/0.0/0.0/16_013/0001708]; ARCTOS MU project [LM2015078]; Projects of Large Research, Development and Innovations Infrastructures [e-INFRA LM2018140]</t>
  </si>
  <si>
    <t>Czech Ministry of Education, Youth, and Sports(Ministry of Education, Youth &amp; Sports - Czech Republic); ARCTOS MU project; Projects of Large Research, Development and Innovations Infrastructures</t>
  </si>
  <si>
    <t>The study reported in this paper was supported by the ECOPOLARIS project (CZ.02.1.01/0.0/0.0/16_013/0001708) provided by the Czech Ministry of Education, Youth, and Sports. The authors are grateful to the CzechPolar2 (LM2015078) for the possibility to use laboratory infrastructure MBa and JHa are indebted to the ARCTOS MU project for support. Computational resources were supplied by the project e-Infrastruktura CZ (e-INFRA LM2018140) provided within the program Projects of Large Research, Development and Innovations Infrastructures.</t>
  </si>
  <si>
    <t>10.5817/CPR2020-2-22</t>
  </si>
  <si>
    <t>WOS:000937831200012</t>
  </si>
  <si>
    <t>Schmitz, D; Schaefer, CERG; Putzke, J; Francelino, MR; Ferrari, FR; Corrêa, GR; Villa, PM</t>
  </si>
  <si>
    <t>Schmitz, Daniela; Schaefer, Carlos Ernesto R. G.; Putzke, Jair; Francelino, Marcio Rocha; Ferrari, Flavia Ramos; Correa, Guilherme Resende; Villa, Pedro Manuel</t>
  </si>
  <si>
    <t>How does the pedoenvironmental gradient shape non-vascular species assemblages and community structures in Maritime Antarctica?</t>
  </si>
  <si>
    <t>ECOLOGICAL INDICATORS</t>
  </si>
  <si>
    <t>Lichens; Pedoenvironmental filtering; Microsite conditions; Mosses; Plant coverage</t>
  </si>
  <si>
    <t>KING GEORGE ISLAND; ICE-FREE AREAS; ENVIRONMENTAL GRADIENTS; ABOVEGROUND BIOMASS; SPATIAL SCALES; PLANT COVERAGE; ADMIRALTY BAY; DIVERSITY; FOREST; CRYOSOLS</t>
  </si>
  <si>
    <t>The main terrestrial ecosystems dominated by lichens and mosses, which represent important ecological indicators of climatic changes in high polar latitudes, are found in the Antarctic continent. However, little is known about how environmental filtering shapes cryptogamic communities' assemblages at fine-scale. In this study, we analysed changes in non-vascular species richness, species composition and plant coverage along a pedoenvironmental gradient in Maritime Antarctica. We hypothesized that pedoenvironmental filters (i.e. soil texture and chemistry properties) drive the non-vascular assembly community. We classified soils according to the World Reference Base for Soil Resources, selecting ten different pedoenvironments at fine-scale. The plant inventory data from 206 plots across these pedoenvironments was used to evaluate the main effect of plant coverage, soil texture and soil chemistry on non-vascular species richness and composition. The ecological value of the species was determined and the type of community it occurred in was characterized, then the associations of the species were classified in each pedoenvironment. Differences in species richness, species composition and plant coverage were detected along the pedoenvironmental gradient. However, plant coverage, soil chemistry, soil texture and soil variables did not affect species richness and species composition, with the exception of clay content that was particularly an important predictor of species composition. High pedoenvironmental filtering apparently has no effect on species richness but determined differences in species composition. Therefore, we assumed that pedoenvironmental filtering determined high beta diversity in this island from maritime Antarctica. This study reveals that fine scale heterogeneity contributes to specific species associations along a pedoenvironmental gradient; thus, pedoenvironmental filtering not only determines diversity pattern in non-vascular plants, but also type of communities.</t>
  </si>
  <si>
    <t>[Schmitz, Daniela; Ferrari, Flavia Ramos] Univ Fed Vicosa, Dept Biol Vegetal, Av PH Rolfs, BR-36570900 Vicosa, MG, Brazil; [Schaefer, Carlos Ernesto R. G.; Francelino, Marcio Rocha] Univ Fed Vicosa, Dept Solos, Av PH Rolfs, BR-36570900 Vicosa, MG, Brazil; [Putzke, Jair] Univ Fed Pampa, BR-97300000 Sao Gabriel, RS, Brazil; [Correa, Guilherme Resende] Univ Fed Uberlandia, Inst Geog, BR-38400902 Uberlandia, MG, Brazil; [Villa, Pedro Manuel] Univ Fed Vicosa, Dept Engn Florestal, Av PH Rolfs, BR-36570900 Vicosa, MG, Brazil</t>
  </si>
  <si>
    <t>Universidade Federal de Vicosa; Universidade Federal de Vicosa; Universidade Federal do Pampa; Universidade Federal de Uberlandia; Universidade Federal de Vicosa</t>
  </si>
  <si>
    <t>Schmitz, D (corresponding author), Univ Fed Vicosa, Dept Biol Vegetal, Av PH Rolfs, BR-36570900 Vicosa, MG, Brazil.</t>
  </si>
  <si>
    <t>daniela.schmitz@ufv.br</t>
  </si>
  <si>
    <t>Putzke, Jair/P-9380-2019; Schaefer, Carlos Ernesto/AAY-4977-2020; Ferrari, Flávia Ramos/AAC-8048-2022; Villa, Pedro M/S-3363-2019; Francelino, Marcio Rocha/AAS-4224-2020; Schmitz, Daniela/AAY-8008-2020</t>
  </si>
  <si>
    <t>Ferrari, Flávia Ramos/0000-0003-3771-2266; Villa, Pedro M/0000-0003-4826-3187; Francelino, Marcio Rocha/0000-0001-8837-1372; Schmitz, Daniela/0000-0002-3162-2430</t>
  </si>
  <si>
    <t>Coordenacao de Aperfeicoamento de Pessoal de Nivel Superior (CAPES), Brazil; CNPq, Brazil [556794/2009-5]</t>
  </si>
  <si>
    <t>Coordenacao de Aperfeicoamento de Pessoal de Nivel Superior (CAPES), Brazil(Coordenacao de Aperfeicoamento de Pessoal de Nivel Superior (CAPES)); CNPq, Brazil(Conselho Nacional de Desenvolvimento Cientifico e Tecnologico (CNPQ))</t>
  </si>
  <si>
    <t>We acknowledge the Coordenacao de Aperfeicoamento de Pessoal de Nivel Superior (CAPES), Brazil, for concession the scholarship of the first author, and PDJ scholarship for the last author; and for the CNPq, Brazil for financial support of this project (Conselho Nacional de Desenvolvimento Cientifico e Tecnologico) (project #556794/2009-5). This work is a contribution of INCT-Criosfera TERRANTAR group.</t>
  </si>
  <si>
    <t>ELSEVIER</t>
  </si>
  <si>
    <t>AMSTERDAM</t>
  </si>
  <si>
    <t>RADARWEG 29, 1043 NX AMSTERDAM, NETHERLANDS</t>
  </si>
  <si>
    <t>1470-160X</t>
  </si>
  <si>
    <t>1872-7034</t>
  </si>
  <si>
    <t>ECOL INDIC</t>
  </si>
  <si>
    <t>Ecol. Indic.</t>
  </si>
  <si>
    <t>JAN</t>
  </si>
  <si>
    <t>10.1016/j.ecolind.2019.105726</t>
  </si>
  <si>
    <t>Biodiversity Conservation; Environmental Sciences</t>
  </si>
  <si>
    <t>Science Citation Index Expanded (SCI-EXPANDED)</t>
  </si>
  <si>
    <t>Biodiversity &amp; Conservation; Environmental Sciences &amp; Ecology</t>
  </si>
  <si>
    <t>JJ1EC</t>
  </si>
  <si>
    <t>WOS:000493902400047</t>
  </si>
  <si>
    <t>Shabangu, FW; Andrew, RK; Yemane, D; Findlay, KP</t>
  </si>
  <si>
    <t>Shabangu, Fannie W.; Andrew, Rex K.; Yemane, Dawit; Findlay, Ken P.</t>
  </si>
  <si>
    <t>Acoustic seasonality, behaviour and detection ranges of Antarctic blue and fin whales under different sea ice conditions off Antarctica</t>
  </si>
  <si>
    <t>ENDANGERED SPECIES RESEARCH</t>
  </si>
  <si>
    <t>Blue whales; Fin whales; Seasonality; Behaviour; Detection ranges; Antarctica; Sea ice</t>
  </si>
  <si>
    <t>BALAENOPTERA-MUSCULUS-INTERMEDIA; CALL TYPES; FREQUENCY; CALIFORNIA; REGRESSION; PATTERNS; PACIFIC; CONTEXT; SOUNDS; SONGS</t>
  </si>
  <si>
    <t>Descriptions of seasonal occurrence and behaviour of Antarctic blue and fin whales in the Southern Ocean are of pivotal importance for the effective conservation and management of these endangered species. We used an autonomous acoustic recorder to collect bioacoustic data from January through September 2014 to describe the seasonal occurrence, behaviour and detection ranges of Antarctic blue and fin whale calls off the Maud Rise, Antarctica. From 2479 h of recordings, we detected D- and Z-calls plus the 27 Hz chorus of blue whales, the 20 and 99 Hz pulses of fin whales and the 18-28 Hz chorus of blue and fin whales. Blue whale calls were detected throughout the hydrophone deployment period with a peak occurrence in February, indicating continuous presence of whales in a broad Southern Ocean area (given the modelled detection ranges). Fin whale calls were detected from January through July when sea ice was present on the latter dates. No temporal segregation in peaks of diel calling rates of blue and fin whales was observed in autumn, but a clear temporal segregation was apparent in summer. Acoustic propagation models suggest that blue and fin whale calls can be heard as far as 1700 km from the hydrophone position in spring. Random forest models ranked month of the year as the most important predictor of call occurrence and call rates (i.e. behaviour) for these whales. Our work highlights areas around the Maud Rise as important habitats for blue and fin whales in the Southern Ocean.</t>
  </si>
  <si>
    <t>[Shabangu, Fannie W.; Yemane, Dawit] Dept Environm Forestry &amp; Fisheries, Fisheries Management Branch, ZA-8001 Cape Town, South Africa; [Shabangu, Fannie W.; Findlay, Ken P.] Univ Pretoria, Mammal Res Inst, Whale Unit, Private Bag X20, ZA-0028 Pretoria, South Africa; [Andrew, Rex K.] Univ Washington, Appl Phys Lab, Seattle, WA 98105 USA; [Findlay, Ken P.] Cape Peninsula Univ Technol, POB 652, ZA-8000 Cape Town, South Africa</t>
  </si>
  <si>
    <t>University of Pretoria; University of Washington; University of Washington Seattle; Cape Peninsula University of Technology</t>
  </si>
  <si>
    <t>Shabangu, FW (corresponding author), Dept Environm Forestry &amp; Fisheries, Fisheries Management Branch, ZA-8001 Cape Town, South Africa.;Shabangu, FW (corresponding author), Univ Pretoria, Mammal Res Inst, Whale Unit, Private Bag X20, ZA-0028 Pretoria, South Africa.</t>
  </si>
  <si>
    <t>fannie.shabangu@yahoo.com</t>
  </si>
  <si>
    <t>; Findlay, Ken/A-5766-2019</t>
  </si>
  <si>
    <t>Shabangu, Fannie W./0000-0002-3668-3566; Findlay, Ken/0000-0001-7154-8805</t>
  </si>
  <si>
    <t>National Research Foundation; South African National Antarctic Programme; SNA [2011112500003]; South African Blue Whale Project</t>
  </si>
  <si>
    <t>National Research Foundation; South African National Antarctic Programme; SNA; South African Blue Whale Project</t>
  </si>
  <si>
    <t>We are grateful to the National Research Foundation and the South African National Antarctic Programme (Grant No. SNA 2011112500003) for financially supporting the South African Blue Whale Project. We thank Meredith Thornton, Kirsty Venter, Ian Thompson, and Ove Fabriciussen for their kind assistance with the deployment of the recorder. We give special thanks to Sinekhaya Bilana, Jarred Voorneveld and Jethan d'Hotman for their outstanding and expert technical assistance with the acoustic transponder releases of the recorder mooring during recovery. Many heartfelt thanks to captains and crew of the RV `SA Agulhas II' for their great assistance with recorder deployment and recovery. Marcel van den Berg is thanked for his invaluable advice and guidance with the procedure for recorder mooring deployment and recovery. MetOcean Services are thanked for the loan of a satellite transponder, while Mr. Bruce Spolander of MetOcean Services is thanked for providing satellite positions of the recorder during the recovery at late hours of the day.</t>
  </si>
  <si>
    <t>INTER-RESEARCH</t>
  </si>
  <si>
    <t>OLDENDORF LUHE</t>
  </si>
  <si>
    <t>NORDBUNTE 23, D-21385 OLDENDORF LUHE, GERMANY</t>
  </si>
  <si>
    <t>1863-5407</t>
  </si>
  <si>
    <t>1613-4796</t>
  </si>
  <si>
    <t>ENDANGER SPECIES RES</t>
  </si>
  <si>
    <t>Endanger. Species Res.</t>
  </si>
  <si>
    <t>10.3354/esr01050</t>
  </si>
  <si>
    <t>Biodiversity Conservation</t>
  </si>
  <si>
    <t>Biodiversity &amp; Conservation</t>
  </si>
  <si>
    <t>QJ2JK</t>
  </si>
  <si>
    <t>WOS:000619516900002</t>
  </si>
  <si>
    <t>Calderan, SV; Black, A; Branch, TA; Collins, MA; Kelly, N; Leaper, R; Lurcock, S; Miller, BS; Moore, M; Olson, PA; Sirovic, A; Wood, AG; Jackson, JA</t>
  </si>
  <si>
    <t>Calderan, Susannah, V; Black, Andy; Branch, Trevor A.; Collins, Martin A.; Kelly, Natalie; Leaper, Russell; Lurcock, Sarah; Miller, Brian S.; Moore, Michael; Olson, Paula A.; Sirovic, Ana; Wood, Andrew G.; Jackson, Jennifer A.</t>
  </si>
  <si>
    <t>South Georgia blue whales five decades after the end of whaling</t>
  </si>
  <si>
    <t>Blue whale; Balaenoptera musculus; South Georgia; Recovery; Whaling; Southern Ocean</t>
  </si>
  <si>
    <t>RELATIVE ABUNDANCE; ATLANTIC SECTOR; BALEEN WHALES; LOCALIZATION; VARIABILITY; MANAGEMENT; CALIFORNIA; SIGHTINGS; PACIFIC; ISLANDS</t>
  </si>
  <si>
    <t>Blue whales Balaenoptera musculus at South Georgia were heavily exploited during 20th century industrial whaling, to the point of local near-extirpation. Although legal whaling for blue whales ceased in the 1960s, and there were indications of blue whale recovery across the wider Southern Ocean area, blue whales were seldom seen in South Georgia waters in subsequent years. We collated 30 yr of data comprising opportunistic sightings, systematic visual and acoustic surveys and photo-identification to assess the current distribution of blue whales in the waters surrounding South Georgia. Over 34 000 km of systematic survey data between 1998 and 2018 resulted in only a single blue whale sighting, although opportunistic sightings were reported over that time period. However, since 2018 there have been increases in both sightings of blue whales and detections of their vocalisations. A survey in 2020 comprising visual line transect surveys and directional frequency analysis and recording (DIFAR) sonobuoy deployments resulted in 58 blue whale sightings from 2430 km of visual effort, including the photo-identification of 23 individual blue whales. Blue whale vocalisations were detected on all 31 sonobuoys deployed (114 h). In total, 41 blue whales were photo-identified from South Georgia between 2011 and 2020, none of which matched the 517 whales in the current Antarctic catalogue. These recent data suggest that blue whales have started to return to South Georgia waters, but continued visual and acoustic surveys are required to monitor any future changes in their distribution and abundance.</t>
  </si>
  <si>
    <t>[Calderan, Susannah, V] Scottish Assoc Marine Sci SAMS, Argyll PA37 1QA, Scotland; [Black, Andy] Govt South Georgia &amp; South Sandwich Isl, Govt House, Stanley FIQQ 1ZZ, Falkland Island; [Branch, Trevor A.] Univ Washington, Sch Aquat &amp; Fishery Sci, Seattle, WA 98195 USA; [Collins, Martin A.; Wood, Andrew G.; Jackson, Jennifer A.] British Antarctic Survey, NERC, High Cross, Cambridge CB3 0ET, England; [Kelly, Natalie; Miller, Brian S.] Dept Agr Water &amp; Environm, Australian Antarctic Div, Kingston, Tas 7050, Australia; [Leaper, Russell] Int Fund Anim Welf, London SE1 8NL, England; [Lurcock, Sarah] South Georgia Heritage Trust, Dundee DD1 5BT, Scotland; [Moore, Michael] Woods Hole Oceanog Inst, Woods Hole, MA 02543 USA; [Olson, Paula A.] NOAA, Southwest Fisheries Sci Ctr, NMFS, La Jolla, CA 92037 USA; [Sirovic, Ana] Texas A&amp;M Univ, Galveston, TX 77553 USA</t>
  </si>
  <si>
    <t>University of Washington; University of Washington Seattle; UK Research &amp; Innovation (UKRI); Natural Environment Research Council (NERC); NERC British Antarctic Survey; Australian Antarctic Division; Woods Hole Oceanographic Institution; National Oceanic Atmospheric Admin (NOAA) - USA; Texas A&amp;M University System</t>
  </si>
  <si>
    <t>Calderan, SV (corresponding author), Scottish Assoc Marine Sci SAMS, Argyll PA37 1QA, Scotland.</t>
  </si>
  <si>
    <t>susannah.calderan@sams.ac.uk</t>
  </si>
  <si>
    <t>Kelly, Natalie/B-3481-2010; , Martin/ABE-6728-2020; Jackson, Jennifer A/E-7997-2013</t>
  </si>
  <si>
    <t>, Martin/0000-0001-7132-8650; Miller, Brian/0000-0001-7615-3044; Jackson, Jennifer/0000-0003-4158-1924; Kelly, Nat/0000-0002-9664-354X</t>
  </si>
  <si>
    <t>Swiss Polar Institute; ACE Foundation; Ferring Pharmaceuticals; Australian Antarctic Division; Barbara Galletti Vernazzani of Centro de Conservacion Cetacea, Chile; EU BEST 2.0 Medium grant [1594]; DARWIN PLUS grant [057]; South Georgia Heritage Trust; Friends of South Georgia Island; NERC [bas0100035] Funding Source: UKRI</t>
  </si>
  <si>
    <t>Swiss Polar Institute; ACE Foundation; Ferring Pharmaceuticals(Ferring Pharmaceuticals); Australian Antarctic Division; Barbara Galletti Vernazzani of Centro de Conservacion Cetacea, Chile; EU BEST 2.0 Medium grant; DARWIN PLUS grant; South Georgia Heritage Trust; Friends of South Georgia Island; NERC(UK Research &amp; Innovation (UKRI)Natural Environment Research Council (NERC))</t>
  </si>
  <si>
    <t>It is a pleasure to acknowledge the assistance of the following people and organisations: the Government of South Georgia &amp; the South Sandwich Islands for permission to use their survey data; the 20162017 Antarctic Circumnavigation Expedition (ACE), carried out under the auspices of the Swiss Polar Institute and supported by funding from the ACE Foundation and Ferring Pharmaceuticals, along with major funding for the passive acoustic survey during ACE provided by the Swiss Polar Institute and the Australian Antarctic Division; Barbara Galletti Vernazzani of Centro de Conservacion Cetacea, Chile, and Sonia Espanol-Jimenez of Fundacion MERI, Chile, kindly shared their blue whale catalogues for the comparison of photographs with those from South Georgia; Mick Baines, Lisa Ballance, Santiago Imberti, Mike Greenfelder, Amy Kennedy, Bob Lamb, Stephanie Martin, Maren Reichelt and Conor Ryan contributed photo-ID images from South Georgia; Tim and Pauline Carr initiated the South Georgia Museum sightings record, and since then staff and volunteers at the Museum and South Georgia Heritage Trust have continued to compile these data; EU BEST 2.0 Medium grant 1594, DARWIN PLUS grant 057, South Georgia Heritage Trust and Friends of South Georgia Island funded the 2018 and 2020 BAS surveys which generated acoustic, photo-ID and sightings data; Friends of South Georgia Island and South Georgia Heritage Trust provided funding to enable the analysis of blue whale identification photos by P.A.O., and for the writing and publication of this manuscript. This paper was substantially improved by comments from Eric Archer (NOAA) and 3 anonymous reviewers. The collection of data gathered here represents a huge effort over the years by observers, scientists and boat crews, and we thank you all for your dedication.</t>
  </si>
  <si>
    <t>10.3354/esr01077</t>
  </si>
  <si>
    <t>gold, Green Published, Green Accepted</t>
  </si>
  <si>
    <t>WOS:000619516900027</t>
  </si>
  <si>
    <t>Steinfurth, A; Oppel, S; Dias, MP; Starnes, T; Pearmain, EJ; Dilley, BJ; Davies, D; Nydegger, M; Bell, C; Le Bouard, F; Bond, AL; Cuthbert, RJ; Glass, T; Makhado, AB; Crawford, RJM; Ryan, PG; Wanless, RM; Ratcliffe, N</t>
  </si>
  <si>
    <t>Steinfurth, Antje; Oppel, Steffen; Dias, Maria P.; Starnes, Thomas; Pearmain, Elizabeth J.; Dilley, Ben J.; Davies, Delia; Nydegger, Mara; Bell, Chris; Le Bouard, Fabrice; Bond, Alexander L.; Cuthbert, Richard J.; Glass, Trevor; Makhado, Azwianewi B.; Crawford, Robert J. M.; Ryan, Peter G.; Wanless, Ross M.; Ratcliffe, Norman</t>
  </si>
  <si>
    <t>Important marine areas for the conservation of northern rockhopper penguins within the Tristan da Cunha Exclusive Economic Zone</t>
  </si>
  <si>
    <t>Eudyptes; Important Bird and Biodiversity Area; Marine protected area; Penguin; Seabird; Tracking</t>
  </si>
  <si>
    <t>EUDYPTES-CHRYSOCOME; PROVISIONING BEHAVIOR; INTERANNUAL VARIATION; RECORDING DEVICES; FORAGING RANGE; IMPORTANT BIRD; MACARONI; TRACKING; HABITAT; THREATS</t>
  </si>
  <si>
    <t>The designation of Marine Protected Areas has become an important approach to conserving marine ecosystems that relies on robust information on the spatial distribution of biodiversity. We used GPS tracking data to identify marine Important Bird and Biodiversity Areas (IBAs) for the Endangered northern rockhopper penguin Eudyptes moseleyi within the Exclusive Economic Zone (EEZ) of Tristan da Cunha in the South Atlantic. Penguins were tracked throughout their breeding season from 3 of the 4 main islands in the Tristan da Cunha group. Foraging trips remained largely within the EEZ, with the exception of those from Gough Island during the incubation stage. We found substantial variability in trip duration and foraging range among breeding stages and islands, consistent use of areas among years and spatial segregation of the areas used by neighbouring islands. For colonies with no or insufficient tracking data, we defined marine IBAs based on the mean maximum foraging range and merged the areas identified to propose IBAs around the Tristan da Cunha archipelago and Gough Island. The 2 proposed marine IBAs encompass 2% of Tristan da Cunha's EEZ, and are used by all northern rockhopper penguins breeding in the Tristan da Cunha group, representing similar to 90% of the global population. Currently, one of the main threats to northern rockhopper penguins within the Tristan da Cunha EEZ is marine pollution from shipping, and the risk of this would be reduced by declaring waters within 50 nautical miles of the coast as 'areas to be avoided'.</t>
  </si>
  <si>
    <t>[Steinfurth, Antje; Oppel, Steffen; Starnes, Thomas; Nydegger, Mara; Bell, Chris; Le Bouard, Fabrice; Bond, Alexander L.; Cuthbert, Richard J.] RSPB Ctr Conservat Sci, David Attenborough Bldg, Cambridge CB2 3QZ, England; [Steinfurth, Antje; Dilley, Ben J.; Davies, Delia; Makhado, Azwianewi B.; Ryan, Peter G.; Wanless, Ross M.] Univ Cape Town, FitzPatrick Inst African Ornithol, ZA-7700 Rondebosch, South Africa; [Dias, Maria P.; Pearmain, Elizabeth J.] BirdLife Int, David Attenborough Bldg,Pembroke St, Cambridge CB2 3QZ, England; [Dias, Maria P.] ISPA Inst Univ, MARE Marine &amp; Environm Sci Ctr, P-1100304 Lisbon, Portugal; [Bond, Alexander L.] Nat Hist Museum, Dept Life Sci, Bird Grp, Tring HP23 6AP, England; [Cuthbert, Richard J.] World Land Trust, Blyth House,Bridge St, Halesworth IP19 8AB, England; [Glass, Trevor] Tristan Conservat Dept, Edinburgh Of The Seven S TDCU 1ZZ, Tristan Da Cunh, St Helena; [Makhado, Azwianewi B.; Crawford, Robert J. M.] Dept Environm Forestry &amp; Fisheries, POB 52126, ZA-8000 Cape Town, South Africa; [Wanless, Ross M.] Natl Taiwan Ocean Univ, Inst Marine Affairs &amp; Resource Management, Keelung 20224, Taiwan; [Ratcliffe, Norman] British Antarctic Survey, High Cross,Madingley Rd, Cambridge CB3 0ET, England</t>
  </si>
  <si>
    <t>Royal Society for Protection of Birds; University of Cape Town; BirdLife International; Instituto Superior Psicologia Aplicada (ISPA); Natural History Museum London; National Taiwan Ocean University; UK Research &amp; Innovation (UKRI); Natural Environment Research Council (NERC); NERC British Antarctic Survey</t>
  </si>
  <si>
    <t>Steinfurth, A (corresponding author), RSPB Ctr Conservat Sci, David Attenborough Bldg, Cambridge CB2 3QZ, England.;Steinfurth, A (corresponding author), Univ Cape Town, FitzPatrick Inst African Ornithol, ZA-7700 Rondebosch, South Africa.</t>
  </si>
  <si>
    <t>antje.steinfurth@rspb.org.uk</t>
  </si>
  <si>
    <t>Oppel, Steffen/H-2771-2019; Bond, Alexander L/A-3786-2010; Dias, Maria P./D-1331-2012; Starnes, Thomas/AAT-2333-2020</t>
  </si>
  <si>
    <t>Oppel, Steffen/0000-0002-8220-3789; Dias, Maria P./0000-0002-7281-4391; Starnes, Thomas/0000-0002-6190-6098</t>
  </si>
  <si>
    <t>Royal Society for the Protection of Birds, UK; South African National Research Foundation; Tristan da Cunha Government; BirdLife South Africa; Darwin Plus Overseas Territories Environment and Climate Fund [DPLUS 053]; Prince Albert II of Monaco Foundation; FitzPatrick Institute of African Ornithology, University of Cape Town; South African Department of Environment, Forestry and Fisheries; BAS/NERC Official Development Assistance Atlantic Islands Project [NE/R000 107/1]; NERC [NE/T012439/1, bas0100035] Funding Source: UKRI</t>
  </si>
  <si>
    <t>Royal Society for the Protection of Birds, UK; South African National Research Foundation(National Research Foundation - South Africa); Tristan da Cunha Government; BirdLife South Africa; Darwin Plus Overseas Territories Environment and Climate Fund; Prince Albert II of Monaco Foundation; FitzPatrick Institute of African Ornithology, University of Cape Town; South African Department of Environment, Forestry and Fisheries; BAS/NERC Official Development Assistance Atlantic Islands Project; NERC(UK Research &amp; Innovation (UKRI)Natural Environment Research Council (NERC))</t>
  </si>
  <si>
    <t>The Tristan Conservation Department (TCD) granted permission to carry out the work and provided essential assistance in the field. This study was funded by the Royal Society for the Protection of Birds, UK, the South African National Research Foundation, the Tristan da Cunha Government, BirdLife South Africa, Darwin Plus Overseas Territories Environment and Climate Fund (grant DPLUS 053), the Prince Albert II of Monaco Foundation, the FitzPatrick Institute of African Ornithology, University of Cape Town, the South African Department of Environment, Forestry and Fisheries and the BAS/NERC Official Development Assistance Atlantic Islands Project (grant NE/R000 107/1). We are grateful to the crews on the SA `Agulhas II', MFV `Baltic Trader' and the MFV `Edinburgh' for logistic support and to Nigel Butcher and Andrew Asque for customisation of the IGotU loggers. Comments from anonymous reviewers greatly improved this manuscript.</t>
  </si>
  <si>
    <t>10.3354/esr01076</t>
  </si>
  <si>
    <t>Science Citation Index Expanded (SCI-EXPANDED); Social Science Citation Index (SSCI)</t>
  </si>
  <si>
    <t>gold, Green Accepted</t>
  </si>
  <si>
    <t>WOS:000619516900031</t>
  </si>
  <si>
    <t>Le Guen, C; Suaria, G; Sherley, RB; Ryan, PG; Aliani, S; Boehme, L; Brierley, AS</t>
  </si>
  <si>
    <t>Le Guen, Camille; Suaria, Giuseppe; Sherley, Richard B.; Ryan, Peter G.; Aliani, Stefano; Boehme, Lars; Brierley, Andrew S.</t>
  </si>
  <si>
    <t>Microplastic study reveals the presence of natural and synthetic fibres in the diet of King Penguins (Aptenodytes patagonicus) foraging from South Georgia</t>
  </si>
  <si>
    <t>ENVIRONMENT INTERNATIONAL</t>
  </si>
  <si>
    <t>Antarctic predator; Microplastics; Fibres; Mesopelagic fish; Breeding stage; Foraging strategies</t>
  </si>
  <si>
    <t>PERSISTENT ORGANIC POLLUTANTS; SMALL PLASTIC PARTICLES; MARINE-ENVIRONMENT; CLIMATE-CHANGE; FRESH-WATER; FUR SEALS; ROSS SEA; INGESTION; DEBRIS; ACCUMULATION</t>
  </si>
  <si>
    <t>Marine ecosystems are experiencing substantial disturbances due to climate change and overfishing, and plastic pollution is an additional growing threat. Microfibres are among the most pervasive pollutants in the marine environment, including in the Southern Ocean. However, evidence for microfibre contamination in the diet of top predators in the Southern Ocean is rare. King Penguins (Aptenodytes patagonicus) feed on mesopelagic fish, which undergo diel vertical migrations towards the surface at night. Microfibres are concentrated in surface waters and sediments but can also be concentrated in fish, therefore acting as contamination vectors for diving predators feeding at depth. In this study, we investigate microfibre contamination of King Penguin faecal samples collected in February and March 2017 at South Georgia across three groups: incubating, chick-rearing and non-breeding birds. After a KOH digestion to dissolve the organic matter and a density separation step using a NaCl solution, the samples were filtered to collect microfibres. A total of 77% of the penguin faecal samples (36 of 47) contained microfibres. Fibres were measured and characterized using Fourier-Transform Infrared spectroscopy to determine their polymeric identity. Most fibres (88%) were made of natural cellulosic materials (e.g. cotton, linen), with only 12% synthetic (e.g. polyester, nylon) or semi-synthetic (e.g. rayon). An average of 21.9 +/- 5.8 microfibres g(-1) of faeces (lab dried mass) was found, with concentrations more than twice as high in incubating penguins than in penguins rearing chicks. Incubating birds forage further north at the Antarctic Polar Front and travel longer distances from South Georgia than chick-rearing birds. This suggests that long-distance travelling penguins are probably more exposed to the risk of ingesting microfibres when feeding north of the Antarctic Polar Front, which might act as a semi-permeable barrier for microfibres. Microfibres could therefore provide a signature for foraging location in King Penguins.</t>
  </si>
  <si>
    <t>[Le Guen, Camille; Boehme, Lars; Brierley, Andrew S.] Univ St Andrews, Scottish Oceans Inst, Gatty Marine Lab, St Andrews KY16 8LB, Fife, Scotland; [Suaria, Giuseppe; Aliani, Stefano] CNR, ISMAR, Inst Marine Sci, UOS Pozzuolo Lerici, I-19032 Forte S Teresa, Lerici, Italy; [Sherley, Richard B.] Univ Exeter, Environm &amp; Sustainabil Inst, Penryn TR10 9FE, Cornwall, England; [Sherley, Richard B.; Ryan, Peter G.] Univ Cape Town, DST NRF Ctr Excellence, FitzPatrick Inst African Ornithol, ZA-7701 Rondebosch, South Africa</t>
  </si>
  <si>
    <t>University of St Andrews; Consiglio Nazionale delle Ricerche (CNR); Istituto di Scienze Marine (ISMAR-CNR); University of Exeter; University of Cape Town; National Research Foundation - South Africa</t>
  </si>
  <si>
    <t>Le Guen, C (corresponding author), Univ St Andrews, Scottish Oceans Inst, Gatty Marine Lab, St Andrews KY16 8LB, Fife, Scotland.</t>
  </si>
  <si>
    <t>cmmalg@st-andrews.ac.uk</t>
  </si>
  <si>
    <t>Sherley, Richard B/D-7507-2012; Suaria, Giuseppe/O-4210-2014; Aliani, Stefano/B-5854-2012; Boehme, Lars/B-6567-2009; Brierley, Andrew/G-8019-2011</t>
  </si>
  <si>
    <t>Sherley, Richard B/0000-0001-7367-9315; Suaria, Giuseppe/0000-0002-4290-349X; Aliani, Stefano/0000-0002-2555-4398; Boehme, Lars/0000-0003-3513-6816; Brierley, Andrew/0000-0002-6438-6892</t>
  </si>
  <si>
    <t>ACE Foundation; ACE Foundation [5, 19]; Natural Environment Research Council [CASS-129]; Trans-Antarctic Association</t>
  </si>
  <si>
    <t>ACE Foundation; ACE Foundation; Natural Environment Research Council(UK Research &amp; Innovation (UKRI)Natural Environment Research Council (NERC)); Trans-Antarctic Association</t>
  </si>
  <si>
    <t>We thank the staff at the British Antarctic Survey base at King Edward Point (South Georgia), Quark Expeditions and the crew and staff of the Ocean Endeavour, the crew of the FPV Pharos South Georgia for their help with the fieldwork logistics, Steeve Mathieu and Patrice Cabanne for their assistance during the extraction phase of microplastics, as well as two anonymous reviewers for their help to improve this manuscript. The Antarctic Circumnavigation Expedition (ACE) was a research cruise of the Swiss Polar Institute, supported by funding from the ACE Foundation. Funding for this research was provided by the ACE Foundation (projects 5 and 19), the Natural Environment Research Council's Collaborative Antarctic Science Scheme (CASS-129) and a Trans-Antarctic Association Grant to RBS.</t>
  </si>
  <si>
    <t>PERGAMON-ELSEVIER SCIENCE LTD</t>
  </si>
  <si>
    <t>OXFORD</t>
  </si>
  <si>
    <t>THE BOULEVARD, LANGFORD LANE, KIDLINGTON, OXFORD OX5 1GB, ENGLAND</t>
  </si>
  <si>
    <t>0160-4120</t>
  </si>
  <si>
    <t>1873-6750</t>
  </si>
  <si>
    <t>ENVIRON INT</t>
  </si>
  <si>
    <t>Environ. Int.</t>
  </si>
  <si>
    <t>10.1016/j.envint.2019.105303</t>
  </si>
  <si>
    <t>Environmental Sciences</t>
  </si>
  <si>
    <t>Environmental Sciences &amp; Ecology</t>
  </si>
  <si>
    <t>JU0BE</t>
  </si>
  <si>
    <t>WOS:000501344500051</t>
  </si>
  <si>
    <t>Thierry, NNB; Tang, H; Xu, LX; You, XX; Hu, FX; Achile, NP; Kindong, R</t>
  </si>
  <si>
    <t>Thierry, Nyatchouba Nsangue Bruno; Tang, Hao; Xu, Liuxiong; You, Xingxing; Hu, Fuxiang; Achile, Njomoue Pandong; Kindong, Richard</t>
  </si>
  <si>
    <t>Hydrodynamic performance of bottom trawls with different materials, mesh sizes, and twine thicknesses</t>
  </si>
  <si>
    <t>FISHERIES RESEARCH</t>
  </si>
  <si>
    <t>Bottom trawl; Drag force; Drag coefficient; Trawl performance; Mouth opening</t>
  </si>
  <si>
    <t>DRAG; GEAR; SIMULATION; DESIGN</t>
  </si>
  <si>
    <t>Nowadays, the fishing industry faces several constraints such as continuous increase infuel price and decrease in fish stocks. Bottom trawl efficiency is mainly affected by the drag force of trawl net and sweep area during fishing operations. This study focuses on the drag of bottom trawl models constructed from traditional and new materials. A nylon net panel, a traditional material, was used in two model trawl nets, namely, trawl nets 1 and 4; the geometric shape ofwing net on trawl net 4 was a triangle. Considering the physical characteristics of the new materials such as Dyneema and nylon monofilament, net panels with a large mesh size and small twine stiffness were used, respectively. The trawl nets were named as trawl nets 2 and 3, respectively. The drag forces provided by the standard trawl (trawl net 1) were 57%, 56.2%, and 47% less than those of trawl nets 2,3, and 4 respectively. The drag coefficient of trawl net 1 was 40.68%, 30.35%, and 33.96% greater than those of trawl nets 2, 3, and 4, respectively. The results also show that these three trawl net models are geometrically efficient in terms of net mouth height than a standard trawl net. This indicates that the drag force of bottom trawl net with a new material was much lower than those made with a traditional material. The developed equations in this study provide the basis for a drag and geometry prediction model for a bottom trawl. The advantage of this predicted drag equations over previous net drag formulas is that it can be evaluated using only information available from a net drawing (mesh size and twine diameter), so that the net drag of bottom trawl net of a reasonably standard shape can be estimated at the design stage.</t>
  </si>
  <si>
    <t>[Thierry, Nyatchouba Nsangue Bruno; Tang, Hao; Xu, Liuxiong; Kindong, Richard] Shanghai Ocean Univ, Coll Marine Sci, 999 Huchenghuan Rd, Shanghai 201306, Peoples R China; [Tang, Hao; Xu, Liuxiong] Natl Engn Res Ctr Ocean Fisheries, Shanghai 201306, Peoples R China; [Tang, Hao; Xu, Liuxiong] Minist Agr &amp; Rural Affairs, Key Lab Ocean Fisheries Explorat, Shanghai 201306, Peoples R China; [Tang, Hao; Xu, Liuxiong] Shanghai Ocean Univ, Key Lab Sustainable Exploitat Ocean Fisheries Res, Minist Educ, Shanghai 201306, Peoples R China; [Tang, Hao; Xu, Liuxiong] Minist Agr &amp; Rural Affairs, Sci Observing &amp; Expt Stn Ocean Fishery Resources, Shanghai 201306, Peoples R China; [You, Xingxing; Hu, Fuxiang] Tokyo Univ Marine Sci &amp; Technol, Fac Marine Sci, Minato Ku, Tokyo 1088477, Japan; [Achile, Njomoue Pandong] Univ Douala, Fac Ind Engn, Douala, Cameroon</t>
  </si>
  <si>
    <t>Shanghai Ocean University; National Engineering Research Center for Oceanic Fisheries; Ministry of Agriculture &amp; Rural Affairs; Shanghai Ocean University; Ministry of Agriculture &amp; Rural Affairs; Tokyo University of Marine Science &amp; Technology</t>
  </si>
  <si>
    <t>Tang, H (corresponding author), Shanghai Ocean Univ, Coll Marine Sci, 999 Huchenghuan Rd, Shanghai 201306, Peoples R China.</t>
  </si>
  <si>
    <t>htang@shou.edu.cn</t>
  </si>
  <si>
    <t>Bruno, Nyatchouba Nsangue Thierry/AAZ-5386-2021; Kindong, Richard/AAL-2221-2021; Tang, Hao/GXH-6097-2022; Pan, Yue/KFS-4602-2024; xu, liu/KCL-1154-2024; Kindong, Richard/ITU-7816-2023</t>
  </si>
  <si>
    <t>Tang, Hao/0000-0002-3393-1683; Kindong, Richard/0000-0002-7793-3402; Nyatchouba Nsangue, Bruno Thierry/0000-0002-2560-6661</t>
  </si>
  <si>
    <t>National Natural Science Foundation of China [31902426]; Shanghai Sailing Program [19YF1419800]; China Postdoctoral Science Foundation [2018M630471]; Special project for the exploitation and utilization of Antarctic biological resources of Ministry of Agriculture and Rural Affairs [D-8002-18-0097]</t>
  </si>
  <si>
    <t>National Natural Science Foundation of China(National Natural Science Foundation of China (NSFC)); Shanghai Sailing Program; China Postdoctoral Science Foundation(China Postdoctoral Science Foundation); Special project for the exploitation and utilization of Antarctic biological resources of Ministry of Agriculture and Rural Affairs</t>
  </si>
  <si>
    <t>This study was financially sponsored by the National Natural Science Foundation of China (Grand No. 31902426), Shanghai Sailing Program (19YF1419800), China Postdoctoral Science Foundation funded project (2018M630471), and Special project for the exploitation and utilization of Antarctic biological resources of Ministry of Agriculture and Rural Affairs (D-8002-18-0097).</t>
  </si>
  <si>
    <t>RADARWEG 29a, 1043 NX AMSTERDAM, NETHERLANDS</t>
  </si>
  <si>
    <t>0165-7836</t>
  </si>
  <si>
    <t>1872-6763</t>
  </si>
  <si>
    <t>FISH RES</t>
  </si>
  <si>
    <t>Fish Res.</t>
  </si>
  <si>
    <t>10.1016/j.fishres.2019.105403</t>
  </si>
  <si>
    <t>Fisheries</t>
  </si>
  <si>
    <t>JN4NA</t>
  </si>
  <si>
    <t>WOS:000496874700029</t>
  </si>
  <si>
    <t>Robinson, JPW; McDevitt-Irwin, JM; Dajka, JC; Hadj-Hammou, J; Howlett, S; Graba-Landry, A; Hoey, AS; Nash, KL; Wilson, SK; Graham, NAJ</t>
  </si>
  <si>
    <t>Robinson, James P. W.; McDevitt-Irwin, Jamie M.; Dajka, Jan-Claas; Hadj-Hammou, Jeneen; Howlett, Samantha; Graba-Landry, Alexia; Hoey, Andrew S.; Nash, Kirsty L.; Wilson, Shaun K.; Graham, Nicholas A. J.</t>
  </si>
  <si>
    <t>Habitat and fishing control grazing potential on coral reefs</t>
  </si>
  <si>
    <t>FUNCTIONAL ECOLOGY</t>
  </si>
  <si>
    <t>benthic; body size; bottom-up; ecosystem function; fishing; herbivory; top-down</t>
  </si>
  <si>
    <t>PHASE-SHIFTS; HERBIVOROUS FISHES; ECOSYSTEM ROLES; GRAZER BIOMASS; SIZE STRUCTURE; ALGAL TURFS; PARROTFISHES; RESILIENCE; DEGRADATION; DIVERSITY</t>
  </si>
  <si>
    <t>Herbivory is a key process on coral reefs, which, through grazing of algae, can help sustain coral-dominated states on frequently disturbed reefs and reverse macroalgal regime shifts on degraded ones. Our understanding of herbivory on reefs is largely founded on feeding observations at small spatial scales, yet the biomass and structure of herbivore populations is more closely linked to processes which can be highly variable across large areas, such as benthic habitat turnover and fishing pressure. Though our understanding of spatiotemporal variation in grazer biomass is well developed, equivalent macroscale approaches to understanding bottom-up and top-down controls on herbivory are lacking. Here, we integrate underwater survey data of fish abundances from four Indo-Pacific island regions with herbivore feeding observations to estimate grazing rates for two herbivore functions, cropping (which controls turf algae) and scraping (which promotes coral settlement by clearing benthic substrate), for 72 coral reefs. By including a range of reef states, from coral to algal dominance and heavily fished to remote wilderness areas, we evaluate the influences of benthic habitat and fishing on the grazing rates of fish assemblages. Cropping rates were primarily influenced by benthic condition, with cropping maximized on structurally complex reefs with high substratum availability and low macroalgal cover. Fishing was the primary driver of scraping function, with scraping rates depleted at most reefs relative to remote, unfished reefs, though scraping did increase with substratum availability and structural complexity. Ultimately, benthic and fishing conditions influenced herbivore functioning through their effect on grazer biomass, which was tightly correlated to grazing rates. For a given level of biomass, we show that grazing rates are higher on reefs dominated by small-bodied fishes, suggesting that grazing pressure is greatest when grazer size structure is truncated. Stressors which cause coral declines and clear substrate for turf algae will likely stimulate increases in cropping rates, in both fished and protected areas. In contrast, scraping functions are already impaired at reefs inhabited by people, particularly where structural complexity has collapsed, indicating that restoration of these key processes will require scraper biomass to be rebuilt towards wilderness levels. A free Plain Language Summary can be found within the Supporting Information of this article.</t>
  </si>
  <si>
    <t>[Robinson, James P. W.; Dajka, Jan-Claas; Hadj-Hammou, Jeneen; Howlett, Samantha; Graham, Nicholas A. J.] Univ Lancaster, Lancaster Environm Ctr, Lancaster, England; [McDevitt-Irwin, Jamie M.] Stanford Univ, Hopkins Marine Stn, Pacific Grove, CA 93950 USA; [Graba-Landry, Alexia; Hoey, Andrew S.] James Cook Univ, ARC Ctr Excellence Coral Reef Studies, Townsville, Qld, Australia; [Nash, Kirsty L.] Univ Tasmania, Ctr Marine Socioecol, Hobart, Tas, Australia; [Nash, Kirsty L.] Univ Tasmania, Inst Marine &amp; Antarctic Studies, Hobart, Tas, Australia; [Wilson, Shaun K.] Dept Biodivers Conservat &amp; Attract, Marine Sci Program, Kensington, WA, Australia; [Wilson, Shaun K.] Univ Western Australia, Oceans Inst, Crawley, WA, Australia</t>
  </si>
  <si>
    <t>Lancaster University; Stanford University; James Cook University; University of Tasmania; University of Tasmania; University of Western Australia</t>
  </si>
  <si>
    <t>Robinson, JPW (corresponding author), Univ Lancaster, Lancaster Environm Ctr, Lancaster, England.</t>
  </si>
  <si>
    <t>james.robinson@lancaster.ac.uk</t>
  </si>
  <si>
    <t>Wilson, Shaun/K-8597-2019; Graham, Nicholas/C-8360-2014; Nash, Kirsty L/B-5456-2015; Hoey, Andrew S/B-5457-2015</t>
  </si>
  <si>
    <t>Wilson, Shaun/0000-0002-4590-0948; Graham, Nicholas/0000-0002-0304-7467; Nash, Kirsty L/0000-0003-0976-3197; Hoey, Andrew/0000-0002-4261-5594; Robinson, James/0000-0002-7614-1112; McDevitt-Irwin, Jamie/0000-0003-1620-6946; Dajka, Jan-Claas/0000-0002-0797-9229; Graba-Landry, Alexia/0000-0002-1176-2321</t>
  </si>
  <si>
    <t>WILEY</t>
  </si>
  <si>
    <t>HOBOKEN</t>
  </si>
  <si>
    <t>111 RIVER ST, HOBOKEN 07030-5774, NJ USA</t>
  </si>
  <si>
    <t>0269-8463</t>
  </si>
  <si>
    <t>1365-2435</t>
  </si>
  <si>
    <t>FUNCT ECOL</t>
  </si>
  <si>
    <t>Funct. Ecol.</t>
  </si>
  <si>
    <t>10.1111/1365-2435.13457</t>
  </si>
  <si>
    <t>Ecology</t>
  </si>
  <si>
    <t>KC0MG</t>
  </si>
  <si>
    <t>Green Accepted, Bronze</t>
  </si>
  <si>
    <t>WOS:000506881100019</t>
  </si>
  <si>
    <t>Silva, AB; Arigony-Neto, J; Braun, MH; Espinoza, JMA; Costi, J; Jaña, R</t>
  </si>
  <si>
    <t>Silva, Aline Barbosa; Arigony-Neto, Jorge; Braun, Matthias Holger; Almeida Espinoza, Jean Marcel; Costi, Juliana; Jana, Ricardo</t>
  </si>
  <si>
    <t>Spatial and temporal analysis of changes in the glaciers of the Antarctic Peninsula</t>
  </si>
  <si>
    <t>GLOBAL AND PLANETARY CHANGE</t>
  </si>
  <si>
    <t>Inventory of glaciers; Geomorphological classification; Ice front retreat; Calving glaciers; Empirical orthogonal functions</t>
  </si>
  <si>
    <t>B ICE SHELF; KING-GEORGE-ISLAND; SURFACE VELOCITY; MASS-BALANCE; LARSEN; DISINTEGRATION; DYNAMICS; SHEET; VI; DISCHARGE</t>
  </si>
  <si>
    <t>The Antarctic Peninsula shows considerable spatial variability concerning its glaciological characteristics. It has also been subjected to severe climate changes, with reported glaciological consequences. However, such changes did not occur uniformly across the region. The present study aimed to characterize the glaciers of the Antarctic Peninsula geomorphologically and identify the spatial patterns of changes in their frontal position, generating an inventory of these features that will be part of the Global Land Ice Measurements from Space project. The study comprised the period between 1991 and 2015. We used ASTER imagery and ASTER GDEM and RAMP DEM digital elevation models to map the limits of glacial drainage basins. Landsat TM and ETM + data and the Antarctic Digital Database were used in areas not covered by ASTER images. We applied a supervised classification method to the satellite images to generate a mask of ice-free areas. The inventory of glaciers resulted in the delimitation of 1906 drainage basins between latitudes 61 degrees S and 73 S, corresponding to an area of 476,507.83 km(2). Ice-free areas occupied 5363.38 km(2) (1% of the total). Between 2001 and 2015,1339.68 km(2) of ice was lost, corresponding to 1093 glaciers, while the area covered by glacier advance was estimated in 91.34 km(2), corresponding to 255 glaciers, and 240 oscillating glaciers (gaining and losing ice mass). Thirty-nine percent of glaciers showed a slight retreat, 21% marked retreat, and 9% advanced during the period studied. The 16 ice shelves comprised an area of 137,677.16 km(2), from which only 128,436.08 km(2) remained until 2015. Eleven ice shelves experienced retreat during the period studied. We identified spatiotemporal variability patterns of the glaciers using statistical analysis by implementing empirical orthogonal functions (EOF), in which the first two EOFs represented approximately 87% of the space-time variability pattern of the glaciers. The glaciers classified as outlet glaciers (61%) were identified as the most sensitive to change, especially regarding frontal retreat. The glacial catchments classified as calving and floating were the most sensitive considering any change both in advance and retreat of their frontal area.</t>
  </si>
  <si>
    <t>[Silva, Aline Barbosa; Arigony-Neto, Jorge] Univ Fed Rio Grande FURG, Inst Oceanog, Av Italia,Km 8, BR-96203900 Rio Grande, Brazil; [Braun, Matthias Holger] Univ Erlangen Nurnberg, Inst Geog, Wetterkreuz 15, D-91058 Erlangen, Germany; [Jana, Ricardo] Inst Antartico Chileno INACH, Punta Arenas, Chile; [Almeida Espinoza, Jean Marcel] Inst Fed Educ &amp; Tecnol Rio Grande Rio Grande, Rio Grande, Brazil; [Costi, Juliana] Univ Fed Rio Grande FURG, Inst Matemat Estat &amp; Fis, Av Italia,Km 8, BR-96203900 Rio Grande, Brazil</t>
  </si>
  <si>
    <t>Universidade Federal do Rio Grande; University of Erlangen Nuremberg; Universidade Federal do Rio Grande</t>
  </si>
  <si>
    <t>Silva, AB (corresponding author), Univ Fed Rio Grande FURG, Inst Oceanog, Av Italia,Km 8, BR-96203900 Rio Grande, Brazil.</t>
  </si>
  <si>
    <t>linebsilva@yahoo.com.br; jorgearigony@furg.br; matthias.h.braun@fau.de; jean.espinoza@riogrande.ifrs.edu.br; juliana.costi@furg.br; rjana@inach.cl</t>
  </si>
  <si>
    <t>Jaña, Ricardo/AAR-1225-2020; Costi, Juliana/AHI-7948-2022; Braun, Matthias H/S-4693-2016; Silva, Aline Barbosa Barbosa/AAI-2392-2020; Braun, Matthias/A-4968-2009</t>
  </si>
  <si>
    <t>Jaña, Ricardo/0000-0003-3319-1168; Costi, Juliana/0000-0001-6220-2343; Silva, Aline Barbosa Barbosa/0000-0002-4026-4591; Arigony-Neto, Jorge/0000-0003-4848-2064; Braun, Matthias/0000-0001-5169-1567</t>
  </si>
  <si>
    <t>Coordenacao de Aperfeicoamento de Pessoal de Nivel Superior - Brasil (CAPES), Brazil [001]; IMCONet (Interdisciplinary Modeling of Climate Change in Coastal Western Antarctica - Network for Staff Exchange and Training) EU FP7 IRSES grant, Germany; Cryosphere Monitoring Laboratory (LaCrio), Postgraduate Program in Physical, Chemical and Geological Oceanography (Oceanography Institute); University Federal of Rio Grande, Brazil</t>
  </si>
  <si>
    <t>Coordenacao de Aperfeicoamento de Pessoal de Nivel Superior - Brasil (CAPES), Brazil(Coordenacao de Aperfeicoamento de Pessoal de Nivel Superior (CAPES)); IMCONet (Interdisciplinary Modeling of Climate Change in Coastal Western Antarctica - Network for Staff Exchange and Training) EU FP7 IRSES grant, Germany; Cryosphere Monitoring Laboratory (LaCrio), Postgraduate Program in Physical, Chemical and Geological Oceanography (Oceanography Institute); University Federal of Rio Grande, Brazil</t>
  </si>
  <si>
    <t>This study was financed in part by the Coordenacao de Aperfeicoamento de Pessoal de Nivel Superior - Brasil (CAPES) Finance Code 001, Brazil. IMCONet (Interdisciplinary Modeling of Climate Change in Coastal Western Antarctica - Network for Staff Exchange and Training) EU FP7 IRSES grant, Germany. Cryosphere Monitoring Laboratory (LaCrio), Postgraduate Program in Physical, Chemical and Geological Oceanography (Oceanography Institute) and University Federal of Rio Grande, Brazil.</t>
  </si>
  <si>
    <t>0921-8181</t>
  </si>
  <si>
    <t>1872-6364</t>
  </si>
  <si>
    <t>GLOBAL PLANET CHANGE</t>
  </si>
  <si>
    <t>Glob. Planet. Change</t>
  </si>
  <si>
    <t>10.1016/j.gloplacha.2019.103079</t>
  </si>
  <si>
    <t>Geography, Physical; Geosciences, Multidisciplinary</t>
  </si>
  <si>
    <t>Physical Geography; Geology</t>
  </si>
  <si>
    <t>KE3XD</t>
  </si>
  <si>
    <t>WOS:000508491500025</t>
  </si>
  <si>
    <t>Chadid, M; Liu, LY; Vernin, J; Yao, YQ; Wen, K; Wang, Y; Jumper, G; Trinquet, H; Preston, GW; Sneden, C; Montaguti, S; Moggio, L</t>
  </si>
  <si>
    <t>Evans, CJ; Bryant, JJ; Motohara, K</t>
  </si>
  <si>
    <t>Chadid, M.; Liu, L-Y; Vernin, J.; Yao, Y-Q; Wen, K.; Wang, Y.; Jumper, G.; Trinquet, H.; Preston, G-W; Sneden, Ch; Montaguti, S.; Moggio, L.</t>
  </si>
  <si>
    <t>Understanding the Universe for less money TANGO First robotic ground observatories under extreme conditions</t>
  </si>
  <si>
    <t>GROUND-BASED AND AIRBORNE INSTRUMENTATION FOR ASTRONOMY VIII</t>
  </si>
  <si>
    <t>Proceedings of SPIE</t>
  </si>
  <si>
    <t>Conference on Ground-based and Airborne Instrumentation for Astronomy VIII</t>
  </si>
  <si>
    <t>DEC 14-22, 2020</t>
  </si>
  <si>
    <t>ELECTR NETWORK</t>
  </si>
  <si>
    <t>Polar technology; PAIX. Polar Observation survey; Antarctica; South Pole; Dome C; Dome A. Tibet Ground Observatories; Ali Observatory. Stellar Physics; Pulsation and Evolution; site testing</t>
  </si>
  <si>
    <t>DOME-C; SITE</t>
  </si>
  <si>
    <t>TANGO-Tibet and Antarctica Network Ground Observatories is a new way to advance astrophysical knowledge towards a better understanding of the Universe for less money. TANGO is a novel ground-based telescope concept with a performance that is robotic optical half to 1-m telescopes running under extreme weather and human conditions, with long uninterrupted continuous precision observations from the ground. TANGO is dedicated to Stellar physics and Cosmology studies. Specially, variable objects and gamma ray burst observations, space surveillance and tracking operations. Telescopes are located in the best seeing and inaccessible sites in the world. TANGO achieves constituted by several and identical robotic telescopes with a wide field of view and high photometric and spectroscopic accuracy, technically based on our instrumentation expertize, such as PAIX, the first Robotic Antarctica Polar Mission, located in the heart of Antarctic.</t>
  </si>
  <si>
    <t>[Chadid, M.] Univ Cote dAzur, Nice Sophia Antipolis Univ, UMR 7250 CS 34229, F-06304 Nice 4, France; [Liu, L-Y; Yao, Y-Q; Wang, Y.] Chinese Acad Sci, Natl Astron Observ, 20A Datun Rd, Beijing, Peoples R China; [Vernin, J.] TANGO Tibet &amp; Antarct Network Ground Observ, 107 Route St Pierre Feric, F-06000 Nice, France; [Wen, K.] Beijing Planetarium, 138 Xizhimen Outer St, Beijing, Peoples R China; [Jumper, G.] US Air Force Res Lab, Hanscom AFB, MA USA; [Trinquet, H.] DGA Minist Armees Maitrise Informat, BP 7, F-35998 Rennes Armees, France; [Preston, G-W] Carnegie Observ, 813 Santa Barbara St, Pasadena, CA 91101 USA; [Sneden, Ch] Univ Texas Austin, Dept Astron, Austin, TX 78712 USA; [Sneden, Ch] Univ Texas Austin, McDonald Observ, Austin, TX 78712 USA; [Montaguti, S.; Moggio, L.] Univ Trento, Via Calepina 14, I-38122 Trento, Italy</t>
  </si>
  <si>
    <t>Universite Cote d'Azur; Chinese Academy of Sciences; National Astronomical Observatory, CAS; Beijing Academy of Science &amp; Technology; United States Department of Defense; United States Air Force; Carnegie Institution for Science; University of Texas System; University of Texas Austin; University of Texas System; University of Texas Austin; University of Trento</t>
  </si>
  <si>
    <t>Chadid, M (corresponding author), Univ Cote dAzur, Nice Sophia Antipolis Univ, UMR 7250 CS 34229, F-06304 Nice 4, France.</t>
  </si>
  <si>
    <t>chadid@unice.fr</t>
  </si>
  <si>
    <t>Vernin, Jean/0000-0002-8956-8844</t>
  </si>
  <si>
    <t>United States Armed Forces, US Air Force Research Laboratory; European Office of Aerospace and Development; National Natural Science Foundation of China (NSFC) [11873063]; French Agence Nationale de la Recherche [ANR-05-BLAN-0033-01]; Conseil des Programmes Scientifiques et Technologiques (CPST); FranceChina program LIA Origins; Agence Nationale de la Recherche (ANR) [ANR-05-BLAN-0033] Funding Source: Agence Nationale de la Recherche (ANR)</t>
  </si>
  <si>
    <t>United States Armed Forces, US Air Force Research Laboratory(United States Department of DefenseUS Air Force Research Laboratory); European Office of Aerospace and Development; National Natural Science Foundation of China (NSFC)(National Natural Science Foundation of China (NSFC)); French Agence Nationale de la Recherche(Agence Nationale de la Recherche (ANR)); Conseil des Programmes Scientifiques et Technologiques (CPST); FranceChina program LIA Origins; Agence Nationale de la Recherche (ANR)(Agence Nationale de la Recherche (ANR))</t>
  </si>
  <si>
    <t>We wish to acknowledge the material and financial support of United States Armed Forces, specially the US Air Force Research Laboratory and the European Office of Aerospace and Development. We also render thank to the material and financial support of National Natural Science Foundation of China (NSFC, Grant Nos. 11873063). We gratefully thank the financial suport of the French Agence Nationale de la Recherche (ANR{05{BLAN{0033{01), the Conseil des Programmes Scientifiques et Technologiques (CPST) and FranceChina program LIA Origins. Special and many warm thanks for the Polar Institutes: specially the French Polar Institute Paul Emile Victor and the Polar Research Institute of China for the precious and continuous helps. M. Chadid is indebted to all polar staffs who participated and helped during her Antarctica expeditions. She notably thanks the whole co{workers for continued and strong dedications in the framework of the TANGO project.</t>
  </si>
  <si>
    <t>SPIE-INT SOC OPTICAL ENGINEERING</t>
  </si>
  <si>
    <t>BELLINGHAM</t>
  </si>
  <si>
    <t>1000 20TH ST, PO BOX 10, BELLINGHAM, WA 98227-0010 USA</t>
  </si>
  <si>
    <t>0277-786X</t>
  </si>
  <si>
    <t>1996-756X</t>
  </si>
  <si>
    <t>978-1-5106-3682-8</t>
  </si>
  <si>
    <t>PROC SPIE</t>
  </si>
  <si>
    <t>114470P</t>
  </si>
  <si>
    <t>10.1117/12.2576301</t>
  </si>
  <si>
    <t>Engineering, Aerospace; Astronomy &amp; Astrophysics; Optics</t>
  </si>
  <si>
    <t>Engineering; Astronomy &amp; Astrophysics; Optics</t>
  </si>
  <si>
    <t>BT7TC</t>
  </si>
  <si>
    <t>WOS:000850778200010</t>
  </si>
  <si>
    <t>Du, FJ; Ye, Y; Pei, C</t>
  </si>
  <si>
    <t>Marshall, HK; Spyromilio, J; Usuda, T</t>
  </si>
  <si>
    <t>Du Fujia; Ye Yu; Pei Chong</t>
  </si>
  <si>
    <t>Development and performance analysis of CSTAR2 Antarctic telescope</t>
  </si>
  <si>
    <t>GROUND-BASED AND AIRBORNE TELESCOPES VIII</t>
  </si>
  <si>
    <t>Conference on Ground-Based and Airborne Telescopes VIII Part of SPIE Astronomical Telescopes + Instrumentation Conference</t>
  </si>
  <si>
    <t>CSTAR2; Antarctic; Servo System; Pointing; Tracking</t>
  </si>
  <si>
    <t>DOME; EXOPLANETS; BAND</t>
  </si>
  <si>
    <t>CSTAR (Chinese Small Telescope Array) was installed in Dome A in 2008 and moved back to China in 2012. In order to fully use wide-field and multi-band features of CSTAR, the CSTAR telescope was updated with it is installed on an equatorial. The updated CSTAR telescope is named by CSTAR2 telescope. The servo system and solutions for harsh environment are presented in this paper to make sure the whole telescope work smoothly at Dome A. Meanwhile, the pointing and tracking results obtained during the commissioning test are described.</t>
  </si>
  <si>
    <t>[Du Fujia; Ye Yu; Pei Chong] Chinese Acad Sci, Natl Astron Observ, Nanjing Inst Astron Opt &amp; Technol, Nanjing 210042, Peoples R China; [Du Fujia; Ye Yu; Pei Chong] Chinese Acad Sci, Nanjing Inst Astron Opt &amp; Technol, Key Lab Astron Opt &amp; Technol, Nanjing 210042, Peoples R China</t>
  </si>
  <si>
    <t>Chinese Academy of Sciences; National Astronomical Observatory, CAS; Nanjing Institute of Astronomical Optics &amp; Technology, NAOC, CAS; Chinese Academy of Sciences; Nanjing Institute of Astronomical Optics &amp; Technology, NAOC, CAS</t>
  </si>
  <si>
    <t>Du, FJ (corresponding author), Chinese Acad Sci, Natl Astron Observ, Nanjing Inst Astron Opt &amp; Technol, Nanjing 210042, Peoples R China.;Du, FJ (corresponding author), Chinese Acad Sci, Nanjing Inst Astron Opt &amp; Technol, Key Lab Astron Opt &amp; Technol, Nanjing 210042, Peoples R China.</t>
  </si>
  <si>
    <t>National Natural Science Foundation of China</t>
  </si>
  <si>
    <t>National Natural Science Foundation of China(National Natural Science Foundation of China (NSFC))</t>
  </si>
  <si>
    <t>This work is funded by the National Natural Science Foundation of China (No.U1831111). We also thank L.Hu, K.Meng, M.Jia and Q.Zhang for their help in the commissioning test.</t>
  </si>
  <si>
    <t>978-1-5106-3678-1</t>
  </si>
  <si>
    <t>114455B</t>
  </si>
  <si>
    <t>10.1117/12.2560645</t>
  </si>
  <si>
    <t>Astronomy &amp; Astrophysics; Instruments &amp; Instrumentation; Optics</t>
  </si>
  <si>
    <t>BS7ZA</t>
  </si>
  <si>
    <t>WOS:000769070400086</t>
  </si>
  <si>
    <t>Liu, LY; Vernin, J; Yao, YQ; Chadid, M; Li, N; Yin, J</t>
  </si>
  <si>
    <t>Liu Liyong; Vernin, Jean; Yao Yongqiang; Chadid, Merieme; Li Nan; Yin Jia</t>
  </si>
  <si>
    <t>Simulation of atmospheric conditions using a numerical weather prediction model at Dome A, Antarctic: Method and preliminary results</t>
  </si>
  <si>
    <t>Site testing; Dome A; Optical turbulence; WRF; Atmospheric conditions</t>
  </si>
  <si>
    <t>OPTICAL TURBULENCE; FORECAST; SITE</t>
  </si>
  <si>
    <t>Research on the Antarctic site has shown that it has outstanding features such as excellent seeing, low water vapor, and extremely long polar nights. It is exceptional condition for astronomical observation. Many people think that Dome A is promising as the best site in Antarctica. However, there is only one summer station at Dome A, it has been difficult to conduct continuous site monitoring. The numerical weather prediction method - Weather Research and Forecasting (WRF) model is a good tool to solve the above difficulties. The WRF model was configured with 3 nested domains and 60 vertical levels. The numerical approach, by using of meteorological parameters and parameterization of optical turbulence, can provide the near-surface weather conditions, cloudiness, the precipitable water vapor (PWV) and optical turbulence parameters. We present the preliminary results with WRF model at Dome A in January 2012. The mean temperature for the entire month is -31.57 degrees C, the mean pressure is 584.73 HPa, the median PWV is 0.25 mm, the relative humidity is between 40% and 80% most of the time and the mean wind speed is 4.78m/s. Although the integral seeing value is 0.84 arc second, the free atmospheric seeing is only about 0.26 arc seconds.</t>
  </si>
  <si>
    <t>[Liu Liyong; Yao Yongqiang; Li Nan; Yin Jia] Chinese Acad Sci, Natl Astron Observ, 20A Datun Rd, Beijing, Peoples R China; [Vernin, Jean] TANGO Tibet &amp; Antarctica Network Ground Observ, 107 Route St Pierre de Feric, F-06000 Nice, France; [Chadid, Merieme] Univ Cote dAzur, Nice Sophia Antipolis Univ, UMR 7250, CS 34229, F-06304 Nice 4, France</t>
  </si>
  <si>
    <t>Chinese Academy of Sciences; National Astronomical Observatory, CAS; Universite Cote d'Azur</t>
  </si>
  <si>
    <t>Liu, LY (corresponding author), Chinese Acad Sci, Natl Astron Observ, 20A Datun Rd, Beijing, Peoples R China.</t>
  </si>
  <si>
    <t>liuly@nao.cas.cn</t>
  </si>
  <si>
    <t>long, wang/KGM-0871-2024; Ma, Mingyang/JXM-3330-2024; Li, Yan/JUU-5189-2023</t>
  </si>
  <si>
    <t>National Natural Science Foundation of China (NSFC) [11873063]</t>
  </si>
  <si>
    <t>National Natural Science Foundation of China (NSFC)(National Natural Science Foundation of China (NSFC))</t>
  </si>
  <si>
    <t>This work is supported by the National Natural Science Foundation of China (NSFC, Grant Nos. 11873063).</t>
  </si>
  <si>
    <t>10.1117/12.2562511</t>
  </si>
  <si>
    <t>WOS:000769070400124</t>
  </si>
  <si>
    <t>Trainer, VL; Moore, SK; Hallegraeff, G; Kudela, RM; Clement, A; Mardones, JI; Cochlan, WP</t>
  </si>
  <si>
    <t>Trainer, Vera L.; Moore, Stephanie K.; Hallegraeff, Gustaaf; Kudela, Raphael M.; Clement, Alejandro; Mardones, Jorge I.; Cochlan, William P.</t>
  </si>
  <si>
    <t>Pelagic harmful algal blooms and climate change: Lessons from nature's experiments with extremes</t>
  </si>
  <si>
    <t>HARMFUL ALGAE</t>
  </si>
  <si>
    <t>Harmful algal blooms; Pelagic; Climate change; Time series; Extreme events</t>
  </si>
  <si>
    <t>DIATOM PSEUDO-NITZSCHIA; DE-FUCA EDDY; DOMOIC ACID; PARALYTIC SHELLFISH; EL-NINO; DINOFLAGELLATE BLOOMS; PHYTOPLANKTON BIOMASS; MONTEREY BAY; LONG-TERM; CALIFORNIA</t>
  </si>
  <si>
    <t>Time series now have sufficient duration to determine harmful algal bloom (HAB) responses to changing climate conditions, including warming, stratification intensity, freshwater inputs and natural patterns of climate variability, such as the El Nino Southern Oscillation and Pacific Decadal Oscillation. Against the context of time series, such as those available from phytoplankton monitoring, dinoflagellate cyst records, the Continuous Plankton Recorder surveys, and shellfish toxin records, it is possible to identify extreme events that are significant departures from long-term means. Extreme weather events can mimic future climate conditions and provide a dress rehearsal for understanding future frequency, intensity and geographic extent of HABs. Three case studies of extreme HAB events are described in detail to explore the drivers and impacts of these oceanic outliers that may become more common in the future. One example is the chain-forming diatom of the genus Pseudo-nilzschia in the U.S. Pacific Northwest and its response to the 2014-16 northeast Pacific marine heat wave. The other two case studies are pelagic flagellates. Highly potent Alexandrium catenella group 1 dinoflagellate blooms (up to 150 mg/kg PST in mussels; 4 human poisonings) during 2012-17 created havoc for the seafood industry in Tasmania, south-eastern Australia, in a poorly monitored area where such problems were previously unknown. Early evidence suggests that changes in water column stratification during the cold winterspring season are driving new blooms caused by a previously cryptic species. An expansion of Pseudochattonella cf. verruculosa to the south and A. catenella to the north over the past several years resulted in the convergence of both species to cause the most catastrophic event in the history of the Chilean aquaculture in the austral summer of 2016. Together, these two massive blooms were colloquially known as the Godzilla-Red tide event, resulting in the largest fish farm mortality ever recorded worldwide, equivalent to an export loss of USD$800 million which when combined with shellfish toxicity, resulted in major social unrest and rioting. Both blooms were linked to the strong El Nino event and the positive phase of the Southern Annular Mode, the latter an indicator of anthropogenic climate change in the southeastern Pacific region. For each of these three examples, representing recent catastrophic events in geographically distinct regions, additional targeted monitoring was employed to improve the understanding of the climate drivers and mechanisms that gave rise to the event and to document the societal response. Scientists must be poised to study future extreme HAB events as these natural experiments provide unique opportunities to define and test multifactorial drivers of blooms.</t>
  </si>
  <si>
    <t>[Trainer, Vera L.; Moore, Stephanie K.] NOAA, Environm &amp; Fisheries Sci Div, Northwest Fisheries Sci Ctr, Natl Marine Fisheries Serv, 2725 Montlake Blvd E, Seattle, WA 98112 USA; [Hallegraeff, Gustaaf] Univ Tasmania, Inst Marine &amp; Antarctic Studies, Private Bag 129, Hobart, Tas 7001, Australia; [Kudela, Raphael M.] Univ Calif Santa Cruz, Ocean Sci Dept, Santa Cruz, CA 95064 USA; [Clement, Alejandro] Plancton Andino spA, Lab Puerto Varas, Terraplen 869, Puerto Varas, Chile; [Mardones, Jorge I.] Inst Fomento Pesquero IFOP, Ctr Estudios Algas Nocivas CREAN, Padre Harter 574, Puerto Montt, Chile; [Cochlan, William P.] San Francisco State Univ, Estuary &amp; Ocean Sci Ctr, Romberg Tiburon Campus,3150 Paradise Dr, Tiburon, CA 94920 USA</t>
  </si>
  <si>
    <t>National Oceanic Atmospheric Admin (NOAA) - USA; University of Tasmania; University of California System; University of California Santa Cruz; Instituto de Fomento Pesquero (Valparaiso); California State University System; San Francisco State University</t>
  </si>
  <si>
    <t>Trainer, VL (corresponding author), NOAA, Environm &amp; Fisheries Sci Div, Northwest Fisheries Sci Ctr, Natl Marine Fisheries Serv, 2725 Montlake Blvd E, Seattle, WA 98112 USA.</t>
  </si>
  <si>
    <t>vera.l.trainer@noaa.gov</t>
  </si>
  <si>
    <t>Trainer, Vera/AAE-9306-2022; Hallegraeff, Gustaaf/C-8351-2013</t>
  </si>
  <si>
    <t>Hallegraeff, Gustaaf/0000-0001-8464-7343; Mardones, Jorge/0000-0003-3160-0415; , Vera/0009-0005-9585-6753; CLEMENT, ALEJANDRO/0009-0006-2495-7087</t>
  </si>
  <si>
    <t>NOAA National Centers for Coastal Ocean Science Centers for Sponsored Coastal Ocean Research [NA11NOS4780030]; JPB Foundation; JPB Environmental Health Fellowship - JPB Foundation; Australian Government through Fisheries Research and Development Corporation [2014/032]</t>
  </si>
  <si>
    <t>NOAA National Centers for Coastal Ocean Science Centers for Sponsored Coastal Ocean Research(National Oceanic Atmospheric Admin (NOAA) - USA); JPB Foundation; JPB Environmental Health Fellowship - JPB Foundation; Australian Government through Fisheries Research and Development Corporation(Fisheries R&amp;D Corp)</t>
  </si>
  <si>
    <t>We thank Dr. Ryan McCabe for kindly providing Fig. 3. This work was supported by grants and emergency response funds from the NOAA National Centers for Coastal Ocean Science Centers for Sponsored Coastal Ocean Research (Internal transfer to V.L.T. and NA11NOS4780030 to R.M.K.), The JPB Foundation, and a JPB Environmental Health Fellowship award granted by The JPB Foundation and managed by the Harvard T. H. Chan School of Public Health. The Tasmanian bloom studies were funded by the Australian Government through Fisheries Research and Development Corporation project 2014/032. This is NOAA ECOHAB publication 932 and Event Response publication 27. [CG]</t>
  </si>
  <si>
    <t>1568-9883</t>
  </si>
  <si>
    <t>1878-1470</t>
  </si>
  <si>
    <t>Harmful Algae</t>
  </si>
  <si>
    <t>SI</t>
  </si>
  <si>
    <t>10.1016/j.hal.2019.03.009</t>
  </si>
  <si>
    <t>Marine &amp; Freshwater Biology</t>
  </si>
  <si>
    <t>KT0MV</t>
  </si>
  <si>
    <t>hybrid</t>
  </si>
  <si>
    <t>Y</t>
  </si>
  <si>
    <t>N</t>
  </si>
  <si>
    <t>WOS:000518705600002</t>
  </si>
  <si>
    <t>Avila, IC; Dormann, CF; García, C; Payán, LF; Zorrilla, MX</t>
  </si>
  <si>
    <t>Cristina Avila, Isabel; Dormann, Carsten F.; Garcia, Carolina; Fernando Payan, Luis; Ximena Zorrilla, Maria</t>
  </si>
  <si>
    <t>Humpback whales extend their stay in a breeding ground in the Tropical Eastern Pacific</t>
  </si>
  <si>
    <t>ICES JOURNAL OF MARINE SCIENCE</t>
  </si>
  <si>
    <t>breeding site; Cetacea; Colombian Pacific; conservation; environmental changes; Gorgona National Park; G-stock; Megaptera novaeangliae; migration time</t>
  </si>
  <si>
    <t>MEGAPTERA-NOVAEANGLIAE; MARINE MAMMALS; CLIMATE-CHANGE; ANTARCTIC PENINSULA; NORTH PACIFIC; ABUNDANCE; STOCK; SOUTH; ICE; DESTINATIONS</t>
  </si>
  <si>
    <t>During the austral winter, G-stock humpback whales, Megaptera novaeangliae, migrate to the Tropical Eastern Pacific to breed. To analyse if the whale migration times have changed over time, we analysed 31years (1988-2018) of arrival and departure times to Gorgona National Park, Colombia, an important breeding site. During this period, whales have significantly changed their arrival time, coming now earlier, but their departure time has not changed significantly. Hence, humpback whales now stay 1 month longer than 31years ago. Humpbacks arrived in Gorgona at the earliest during the beginning of May and stayed at the most until late December. The change observed in the arrival time to breeding grounds could be related to ice sheet mass changes in autumn in Antarctica and increase in population size over the past decades but we were unable to determine which factor is more important in explaining the observed trend. Management decisions in Colombia need to account for a longer stay, specifically restricting anthropogenic activities from 1May to 31December. We urge other researchers to review their data, in case this shift is evident in other regions and management plans need to be updated.</t>
  </si>
  <si>
    <t>[Cristina Avila, Isabel; Dormann, Carsten F.] Univ Freiburg, Fac Environm &amp; Nat Resources, Dept Biometry &amp; Environm Syst Anal, Breisgau, Germany; [Cristina Avila, Isabel] Univ Valle, Dept Biol, Grp Ecol Anim, Cali, Colombia; [Garcia, Carolina] Univ Tasmania, Geog &amp; Environm Studies, Hobart, Tas, Australia; [Fernando Payan, Luis; Ximena Zorrilla, Maria] Direcc Terr Pacifico, Parques Nacl Nat Colombia, Cali, Colombia</t>
  </si>
  <si>
    <t>University of Freiburg; Universidad del Valle; University of Tasmania</t>
  </si>
  <si>
    <t>Avila, IC (corresponding author), Univ Freiburg, Fac Environm &amp; Nat Resources, Dept Biometry &amp; Environm Syst Anal, Breisgau, Germany.;Avila, IC (corresponding author), Univ Valle, Dept Biol, Grp Ecol Anim, Cali, Colombia.</t>
  </si>
  <si>
    <t>isabel_c_avila@yahoo.com</t>
  </si>
  <si>
    <t>Avila, Isabel C./ABG-9672-2021</t>
  </si>
  <si>
    <t>Avila, Isabel C./0000-0003-1389-8908; Garcia, Carolina/0000-0001-6524-600X</t>
  </si>
  <si>
    <t>Cetacean Society International (CSI)</t>
  </si>
  <si>
    <t>We thank Fundacion Yubarta for data collection training. To staff members of Gorgona National Park, researchers, rangers, residents, divers, and visitors who recorded or helped to record data in the field book of the Park; especially to Pablo Montoya, Diego Aguino, Hector Montano, Ever Solis, Simeon Yesquen, Corazon Aguino, Paola Rojas, Hector Chirimia, Elizabeth Hernandez, Lilian Florez-Gonzalez, German Soler, Alejandro Suarez, Adolfo Salinas, Jaime Vasquez, Luis Jimenez, Jorge Lobaton, Yiyo Aguino, and Manuel Vidal. We thank the Cetacean Society International (CSI) for the financial support of I.C.A. to travel to Gorgona to review the park's field book. To Andrew Shepherd, for facilitating data about the IMC for Antarctic Peninsula. We also thank Chris Parsons, Pia Anderwald, Alexandre Zerbini, Justin Cook, Milton Marcondes, Daniel Palacios, Anita Gilles, and two anonymous reviewers for valuable comments to improve the manuscript.</t>
  </si>
  <si>
    <t>OXFORD UNIV PRESS</t>
  </si>
  <si>
    <t>GREAT CLARENDON ST, OXFORD OX2 6DP, ENGLAND</t>
  </si>
  <si>
    <t>1054-3139</t>
  </si>
  <si>
    <t>1095-9289</t>
  </si>
  <si>
    <t>ICES J MAR SCI</t>
  </si>
  <si>
    <t>ICES J. Mar. Sci.</t>
  </si>
  <si>
    <t>JAN-FEB</t>
  </si>
  <si>
    <t>10.1093/icesjms/fsz251</t>
  </si>
  <si>
    <t>Fisheries; Marine &amp; Freshwater Biology; Oceanography</t>
  </si>
  <si>
    <t>KS8BL</t>
  </si>
  <si>
    <t>Bronze</t>
  </si>
  <si>
    <t>WOS:000518530200010</t>
  </si>
  <si>
    <t>B</t>
  </si>
  <si>
    <t>Yu, JY; Campos, E; Du, Y; Eldevik, T; Gille, ST; Losada, T; McPhaden, MJ; Smedsrud, LH</t>
  </si>
  <si>
    <t>Mechoso, CR</t>
  </si>
  <si>
    <t>Yu, Jin-Yi; Campos, Edmo; Du, Yan; Eldevik, Tor; Gille, Sarah T.; Losada, Teresa; McPhaden, Michael J.; Smedsrud, Lars H.</t>
  </si>
  <si>
    <t>Variability of the Oceans</t>
  </si>
  <si>
    <t>INTERACTING CLIMATES OF OCEAN BASINS: Observations, Mechanisms, Predictability, and Impacts</t>
  </si>
  <si>
    <t>SEA-SURFACE TEMPERATURE; TROPICAL INDIAN-OCEAN; MERIDIONAL OVERTURNING CIRCULATION; ATLANTIC MULTIDECADAL OSCILLATION; SOUTHERN-HEMISPHERE CIRCULATION; PACIFIC ANOMALOUS ANTICYCLONE; ANTARCTIC CIRCUMPOLAR CURRENT; DECADAL CLIMATE VARIABILITY; LOW-FREQUENCY VARIABILITY; NORTH-ATLANTIC</t>
  </si>
  <si>
    <t>[Yu, Jin-Yi] Univ Calif Irvine, Dept Earth Syst Sci, Irvine, CA 92717 USA; [Campos, Edmo] Univ Sao Paulo, Sao Paulo, Brazil; [Campos, Edmo] Amer Univ Sharjah, Sharjah, U Arab Emirates; [Du, Yan] Chinese Acad Sci, South China Sea Inst Oceanol, State Key Lab Trop Oceanog, Beijing, Peoples R China; [Eldevik, Tor; Smedsrud, Lars H.] Univ Bergen, Inst Geophys, Bergen, Norway; [Eldevik, Tor; Smedsrud, Lars H.] Bjerknes Ctr Climate Res, Bergen, Norway; [Gille, Sarah T.] Scripps Inst Oceanog, San Diego, CA USA; [Losada, Teresa] Univ Complutense Madrid, Fac Phys, Dept Earth Phys &amp; Astrophys, Madrid, Spain; [McPhaden, Michael J.] NOAA, Pacific Marine Environm Lab, Washington, DC USA</t>
  </si>
  <si>
    <t>University of California System; University of California Irvine; Universidade de Sao Paulo; American University of Sharjah; Chinese Academy of Sciences; South China Sea Institute of Oceanology, CAS; University of Bergen; Bjerknes Centre for Climate Research; University of California System; University of California San Diego; Scripps Institution of Oceanography; Complutense University of Madrid; National Oceanic Atmospheric Admin (NOAA) - USA</t>
  </si>
  <si>
    <t>Yu, JY (corresponding author), Univ Calif Irvine, Dept Earth Syst Sci, Irvine, CA 92717 USA.</t>
  </si>
  <si>
    <t>DU, Yan/C-4496-2013; Campos, Edmo/G-6995-2012</t>
  </si>
  <si>
    <t>DU, Yan/0000-0002-7842-0801; Campos, Edmo/0000-0001-6399-5496</t>
  </si>
  <si>
    <t>National Science Foundation [OCE-1658001, PLR-1425989, NSF AGS1505145, AGS1833075]; Sao Paulo State Research Foundation (FAPESP) [2017/09659-6]; Brazilian Council for Scientific and Technological Development (CNPq) [302018/20140]; National Natural Science Foundation of China [41525019, 41830538]; State Oceanic Administration of China [GASI-IPOVAI-02]; Key Special Project for Introduced Talents Team of Southern Marine Science and Engineering Guangdong Laboratory (Guangzhou) [GML2019ZD0303]; Nansen Legacy (Research Council of Norway) [272721]; Blue-Action project (European Union) [727852]; NOAA</t>
  </si>
  <si>
    <t>National Science Foundation(National Science Foundation (NSF)); Sao Paulo State Research Foundation (FAPESP)(Fundacao de Amparo a Pesquisa do Estado de Sao Paulo (FAPESP)); Brazilian Council for Scientific and Technological Development (CNPq)(Conselho Nacional de Desenvolvimento Cientifico e Tecnologico (CNPQ)); National Natural Science Foundation of China(National Natural Science Foundation of China (NSFC)); State Oceanic Administration of China; Key Special Project for Introduced Talents Team of Southern Marine Science and Engineering Guangdong Laboratory (Guangzhou); Nansen Legacy (Research Council of Norway); Blue-Action project (European Union)(European Union (EU)Marie Curie Actions); NOAA(National Oceanic Atmospheric Admin (NOAA) - USA)</t>
  </si>
  <si>
    <t>J.-Y. Yu was supported by the National Science Foundation under grants NSF AGS1505145 and AGS1833075. E. Campos acknowledges support from the Sao Paulo State Research Foundation (FAPESP; grant 2017/09659-6) and from the Brazilian Council for Scientific and Technological Development (CNPq; grant 302018/20140). Y. Du was supported by the National Natural Science Foundation of China (41525019 and 41830538) and the State Oceanic Administration of China (GASI-IPOVAI-02), and the Key Special Project for Introduced Talents Team of Southern Marine Science and Engineering Guangdong Laboratory (Guangzhou) (GML2019ZD0303). T. Eldevik and L. H. Smedsrud were supported by The Nansen Legacy (Research Council of Norway, grant 272721); further support for T. Eldevik was provided by the Blue-Action project (European Union's Horizon 2020 research and innovation program, grant 727852). S. T. Gille was supported by the National Science Foundation under grants OCE-1658001 and PLR-1425989. M. J. McPhaden was supported by NOAA. This is PMEL contribution no. 4964.</t>
  </si>
  <si>
    <t>CAMBRIDGE UNIV PRESS</t>
  </si>
  <si>
    <t>CAMBRIDGE</t>
  </si>
  <si>
    <t>THE PITT BUILDING, TRUMPINGTON ST, CAMBRIDGE CB2 1RP, CAMBS, ENGLAND</t>
  </si>
  <si>
    <t>978-1-108-49270-6</t>
  </si>
  <si>
    <t>10.1017/9781108610995</t>
  </si>
  <si>
    <t>Meteorology &amp; Atmospheric Sciences; Oceanography</t>
  </si>
  <si>
    <t>Book Citation Index – Science (BKCI-S)</t>
  </si>
  <si>
    <t>BW1DR</t>
  </si>
  <si>
    <t>WOS:001105801500002</t>
  </si>
  <si>
    <t>Cribb, TH; Chapman, PA; Cutmore, SC; Huston, DC</t>
  </si>
  <si>
    <t>Cribb, T. H.; Chapman, P. A.; Cutmore, S. C.; Huston, D. C.</t>
  </si>
  <si>
    <t>Pronocephaloid cercariae (Platyhelminthes: Trematoda) from gastropods of the Queensland coast, Australia</t>
  </si>
  <si>
    <t>JOURNAL OF HELMINTHOLOGY</t>
  </si>
  <si>
    <t>Pronocephalidae; Cerithiidae; Nassariidae; Vermetidae; turtles; cercariae; life cycle; phylogenetics</t>
  </si>
  <si>
    <t>DIGENEAN PARASITES; LIFE-CYCLE; NOTOCOTYLIDAE; IDENTIFICATION; LITTORINIDAE; DIVERSITY; HISTORY</t>
  </si>
  <si>
    <t>The superfamily Pronocephaloidea Looss, 1899 comprises digeneans occurring in the gut and respiratory organs of fishes, turtles, marine iguanas, birds and mammals. Although many life cycles are known for species of the Notocotylidae Luhe, 1909 maturing in birds and mammals, relatively few are known for the remaining pronocephaloid lineages. We report the cercariae of five pronocephaloid species from marine gastropods of the Queensland coast, Australia. From Lizard Island, northern Great Barrier Reef, we report three cercariae, two from Rhinoclavis vertagus (Cerithiidae) and one from Nassarius coronatus (Nassariidae). From Moreton Bay, southern Queensland, an additional two cercariae are reported from two genotypes of the gastropod worm shell Thylacodes sp. (Vermetidae). Phylogenetic analysis using 28S rRNA gene sequences shows all five species are nested within the Pronocephaloidea, but not matching or particularly close to any previously sequenced taxon. In combination, phylogenetic and ecological evidence suggests that most of these species will prove to be pronocephalids parasitic in marine turtles. The Vermetidae is a new host family for the Pronocephaloidea.</t>
  </si>
  <si>
    <t>[Cribb, T. H.; Cutmore, S. C.] Univ Queensland, Sch Biol Sci, St Lucia, Qld 4072, Australia; [Chapman, P. A.] Univ Queensland, Sch Vet Sci, Vet Marine Anim Res Teaching &amp; Invest, Gatton, Qld 4343, Australia; [Huston, D. C.] Univ Tasmania, Inst Marine &amp; Antarctic Studies, Hobart, Tas 7001, Australia</t>
  </si>
  <si>
    <t>University of Queensland; University of Queensland; University of Tasmania</t>
  </si>
  <si>
    <t>Huston, DC (corresponding author), Univ Tasmania, Inst Marine &amp; Antarctic Studies, Hobart, Tas 7001, Australia.</t>
  </si>
  <si>
    <t>daniel.huston@uqconnect.edu.au</t>
  </si>
  <si>
    <t>Cutmore, Scott C/B-7385-2012; Chapman, Phoebe/E-5044-2016</t>
  </si>
  <si>
    <t>Cutmore, Scott C/0000-0002-5648-3684; Chapman, Phoebe/0000-0002-3303-9134; Huston, Daniel Colgan/0000-0002-1015-4703</t>
  </si>
  <si>
    <t>Sea World Research and Rescue Foundation Inc.</t>
  </si>
  <si>
    <t>This work was generously supported by a research grant from the Sea World Research and Rescue Foundation Inc.</t>
  </si>
  <si>
    <t>EDINBURGH BLDG, SHAFTESBURY RD, CB2 8RU CAMBRIDGE, ENGLAND</t>
  </si>
  <si>
    <t>0022-149X</t>
  </si>
  <si>
    <t>1475-2697</t>
  </si>
  <si>
    <t>J HELMINTHOL</t>
  </si>
  <si>
    <t>J. Helminthol.</t>
  </si>
  <si>
    <t>e105</t>
  </si>
  <si>
    <t>10.1017/S0022149X19000981</t>
  </si>
  <si>
    <t>Parasitology; Zoology</t>
  </si>
  <si>
    <t>LW0CN</t>
  </si>
  <si>
    <t>Green Accepted</t>
  </si>
  <si>
    <t>WOS:000538814800055</t>
  </si>
  <si>
    <t>Hurd, CL; Beardall, J; Comeau, S; Cornwall, CE; Havenhand, JN; Munday, PL; Parker, LM; Raven, JA; McGraw, CM</t>
  </si>
  <si>
    <t>Hurd, Catriona L.; Beardall, John; Comeau, Steeve; Cornwall, Christopher E.; Havenhand, Jonathan N.; Munday, Philip L.; Parker, Laura M.; Raven, John A.; McGraw, Christina M.</t>
  </si>
  <si>
    <t>Ocean acidification as a multiple driver: how interactions between changing seawater carbonate parameters affect marine life</t>
  </si>
  <si>
    <t>MARINE AND FRESHWATER RESEARCH</t>
  </si>
  <si>
    <t>coccolithophores; coralline algae; corals; diatoms; fertilisation; fish; macroalgae; molluscs; seaweed</t>
  </si>
  <si>
    <t>DISSOLVED INORGANIC CARBON; NEAR-FUTURE LEVELS; FERTILIZATION SUCCESS; SATURATION STATE; ELEVATED PCO(2); CORAL CALCIFICATION; ION CONCENTRATION; SPERM MOTILITY; LOWERED PH; SEA-WATER</t>
  </si>
  <si>
    <t>'Multiple drivers' (also termed 'multiple stressors') is the term used to describe the cumulative effects of multiple environmental factors on organisms or ecosystems. Here, we consider ocean acidification as a multiple driver because many inorganic carbon parameters are changing simultaneously, including total dissolved inorganic carbon, CO2, HCO3-, CO32-, H+ and CaCO3 saturation state. With the rapid expansion of ocean acidification research has come a greater understanding of the complexity and intricacies of how these simultaneous changes to the seawater carbonate system are affecting marine life. We start by clarifying key terms used by chemists and biologists to describe the changing seawater inorganic carbon system. Then, using key groups of non-calcifying (fish, seaweeds, diatoms) and calcifying (coralline algae, coccolithophores, corals, molluscs) organisms, we consider how various physiological processes are affected by different components of the carbonate system.</t>
  </si>
  <si>
    <t>[Hurd, Catriona L.] Univ Tasmania, Inst Marine &amp; Antarctic Studies, 20 Castray Esplanade, Hobart, Tas 7004, Australia; [Hurd, Catriona L.] Discipline Biol Sci, Private Bag 55, Hobart, Tas 7001, Australia; [Beardall, John] Monash Univ, Sch Biol Sci, Clayton, Vic 3800, Australia; [Comeau, Steeve] Sorbonne Univ, CNRS, Inst Natl Sci Univers, Lab Oceanog Villefranche, 181 Chemin Lazaret, F-06230 Villefranche Sur Mer, France; [Cornwall, Christopher E.] Victoria Univ, Sch Biol Sci, Wellington 6140, New Zealand; [Havenhand, Jonathan N.] Univ Gothenburg, Tjarno Marine Lab, Dept Marine Sci, SE-45296 Stromstad, Sweden; [Munday, Philip L.] James Cook Univ, Australian Res Council, Ctr Excellence Coral Reef Studies, Townsville, Qld 4811, Australia; [Parker, Laura M.] Univ New South Wales, Sch Biol Earth &amp; Environm Sci, Sydney, NSW 2052, Australia; [Raven, John A.] Univ Dundee, James Hutton Inst, Div Plant Sci, Dundee DD2 5DA, Scotland; [Raven, John A.] Univ Technol Sydney, Climate Change Cluster, Ultimo, NSW 2007, Australia; [Raven, John A.] Univ Western Australia, Sch Biol Sci, 35 Stirling Highway, Crawley, WA 6008, Australia; [McGraw, Christina M.] Univ Otago, Dept Chem, Dunedin 9054, New Zealand</t>
  </si>
  <si>
    <t>University of Tasmania; Monash University; Centre National de la Recherche Scientifique (CNRS); Sorbonne Universite; Victoria University Wellington; University of Gothenburg; James Cook University; University of New South Wales Sydney; University of Dundee; James Hutton Institute; University of Technology Sydney; University of Western Australia; University of Otago</t>
  </si>
  <si>
    <t>Hurd, CL (corresponding author), Univ Tasmania, Inst Marine &amp; Antarctic Studies, 20 Castray Esplanade, Hobart, Tas 7004, Australia.;Hurd, CL (corresponding author), Discipline Biol Sci, Private Bag 55, Hobart, Tas 7001, Australia.;McGraw, CM (corresponding author), Univ Otago, Dept Chem, Dunedin 9054, New Zealand.</t>
  </si>
  <si>
    <t>catriona.hurd@utas.edu.au; christina.mcgraw@otago.ac.nz</t>
  </si>
  <si>
    <t>Havenhand, Jon N/F-5435-2013; Cornwall, Christopher Edward/J-3982-2012; Raven, John/JFS-3447-2023; Munday, Philip L/F-5443-2011; Beardall, John/L-5262-2019; Hurd, Catriona/J-2411-2013</t>
  </si>
  <si>
    <t>Cornwall, Christopher Edward/0000-0002-6154-4082; Munday, Philip L/0000-0001-9725-2498; Beardall, John/0000-0001-7684-446X; McGraw, Christina/0000-0001-5841-0748; Hurd, Catriona/0000-0001-9965-4917</t>
  </si>
  <si>
    <t>Royal Society of New Zealand Te Aparangi [RDF-VUW1701]</t>
  </si>
  <si>
    <t>Royal Society of New Zealand Te Aparangi(Royal Society of New Zealand)</t>
  </si>
  <si>
    <t>This work was not funded by a specific funding body. Christopher E. Cornwall was supported by a Rutherford Discovery Fellowship from The Royal Society of New Zealand Te Aparangi (RDF-VUW1701).</t>
  </si>
  <si>
    <t>CSIRO PUBLISHING</t>
  </si>
  <si>
    <t>CLAYTON</t>
  </si>
  <si>
    <t>UNIPARK, BLDG 1, LEVEL 1, 195 WELLINGTON RD, LOCKED BAG 10, CLAYTON, VIC 3168, AUSTRALIA</t>
  </si>
  <si>
    <t>1323-1650</t>
  </si>
  <si>
    <t>1448-6059</t>
  </si>
  <si>
    <t>MAR FRESHWATER RES</t>
  </si>
  <si>
    <t>Mar. Freshw. Res.</t>
  </si>
  <si>
    <t>10.1071/MF19267</t>
  </si>
  <si>
    <t>Fisheries; Limnology; Marine &amp; Freshwater Biology; Oceanography</t>
  </si>
  <si>
    <t>KR4GQ</t>
  </si>
  <si>
    <t>Green Submitted</t>
  </si>
  <si>
    <t>WOS:000517577700002</t>
  </si>
  <si>
    <t>John, MS; Nagoth, JA; Ramasamy, KP; Mancini, A; Giuli, G; Natalello, A; Ballarini, P; Miceli, C; Pucciarelli, S</t>
  </si>
  <si>
    <t>John, Maria Sindhura; Nagoth, Joseph Amruthraj; Ramasamy, Kesava Priyan; Mancini, Alessio; Giuli, Gabriele; Natalello, Antonino; Ballarini, Patrizia; Miceli, Cristina; Pucciarelli, Sandra</t>
  </si>
  <si>
    <t>Synthesis of Bioactive Silver Nanoparticles by a Pseudomonas Strain Associated with the Antarctic Psychrophilic Protozoon Euplotes focardii</t>
  </si>
  <si>
    <t>MARINE DRUGS</t>
  </si>
  <si>
    <t>green synthesis biomaterials; silver nitrate; antibiotics; nanotechnology</t>
  </si>
  <si>
    <t>EXTRACELLULAR BIOSYNTHESIS; ANTIBACTERIAL ACTIVITY; BIOGENIC SYNTHESIS; NANOCLUSTERS; SPECTROSCOPY; ANTIBIOTICS; AERUGINOSA; PARTICLES; EXTRACT</t>
  </si>
  <si>
    <t>The synthesis of silver nanoparticles (AgNPs) by microorganisms recently gained a greater interest due to its potential to produce them in various sizes and morphologies. In this study, for AgNP biosynthesis, we used a new Pseudomonas strain isolated from a consortium associated with the Antarctic marine ciliate Euplotes focardii. After incubation of Pseudomonas cultures with 1 mM of AgNO3 at 22 degrees C, we obtained AgNPs within 24 h. Scanning electron (SEM) and transmission electron microscopy (TEM) revealed spherical polydispersed AgNPs in the size range of 20-70 nm. The average size was approximately 50 nm. Energy dispersive X-ray spectroscopy (EDS) showed the presence of a high intensity absorption peak at 3 keV, a distinctive property of nanocrystalline silver products. Fourier transform infrared (FTIR) spectroscopy found the presence of a high amount of AgNP-stabilizing proteins and other secondary metabolites. X-ray diffraction (XRD) revealed a face-centred cubic (fcc) diffraction spectrum with a crystalline nature. A comparative study between the chemically synthesized and Pseudomonas AgNPs revealed a higher antibacterial activity of the latter against common nosocomial pathogen microorganisms, including Escherichia coli, Staphylococcus aureus and Candida albicans. This study reports an efficient, rapid synthesis of stable AgNPs by a new Pseudomonas strain with high antimicrobial activity.</t>
  </si>
  <si>
    <t>[John, Maria Sindhura; Nagoth, Joseph Amruthraj; Ramasamy, Kesava Priyan; Mancini, Alessio; Ballarini, Patrizia; Miceli, Cristina; Pucciarelli, Sandra] Univ Camerino, Sch Biosci &amp; Vet Med, I-62032 Camerino, Italy; [Giuli, Gabriele] Univ Camerino, Sch Sci &amp; Technol, I-62032 Camerino, Italy; [Natalello, Antonino] Univ Milano Bicocca, Dept Biotechnol &amp; Biosci, I-20126 Milan, Italy</t>
  </si>
  <si>
    <t>University of Camerino; University of Camerino; University of Milano-Bicocca</t>
  </si>
  <si>
    <t>Pucciarelli, S (corresponding author), Univ Camerino, Sch Biosci &amp; Vet Med, I-62032 Camerino, Italy.</t>
  </si>
  <si>
    <t>sindhuramaria@gmail.com; amruthjon@gmail.com; kesavanlife@gmail.com; alessio.mancini@unicam.it; gabriele.giuli@unicam.it; antonino.natalello@unimib.it; patrizia.ballarini@unicam.it; cristina.miceli@unicam.it; sandra.pucciarelli@unicam.it</t>
  </si>
  <si>
    <t>Natalello, Antonino/B-9659-2012</t>
  </si>
  <si>
    <t>Natalello, Antonino/0000-0002-1489-272X; Nagoth, Joseph Amruthraj/0000-0002-8230-2365; John, Maria Sindhura/0000-0003-0745-9968; Mancini, Alessio/0000-0002-4388-3769; RAMASAMY, KESAVA PRIYAN/0000-0003-0276-2239; GIULI, Gabriele/0000-0002-2984-5045</t>
  </si>
  <si>
    <t>EC MSCA</t>
  </si>
  <si>
    <t>This work was supported by the EC MSCA H2020 RISE Metable-645693.</t>
  </si>
  <si>
    <t>MDPI</t>
  </si>
  <si>
    <t>BASEL</t>
  </si>
  <si>
    <t>ST ALBAN-ANLAGE 66, CH-4052 BASEL, SWITZERLAND</t>
  </si>
  <si>
    <t>1660-3397</t>
  </si>
  <si>
    <t>MAR DRUGS</t>
  </si>
  <si>
    <t>Mar. Drugs</t>
  </si>
  <si>
    <t>10.3390/md18010038</t>
  </si>
  <si>
    <t>Chemistry, Medicinal; Pharmacology &amp; Pharmacy</t>
  </si>
  <si>
    <t>Pharmacology &amp; Pharmacy</t>
  </si>
  <si>
    <t>KL1IL</t>
  </si>
  <si>
    <t>Green Published, gold</t>
  </si>
  <si>
    <t>WOS:000513184600042</t>
  </si>
  <si>
    <t>Sylvester, ZT; Brooks, CM</t>
  </si>
  <si>
    <t>Sylvester, Zephyr T.; Brooks, Cassandra M.</t>
  </si>
  <si>
    <t>Protecting Antarctica through Co-production of actionable science: Lessons from the CCAMLR marine protected area process</t>
  </si>
  <si>
    <t>MARINE POLICY</t>
  </si>
  <si>
    <t>Southern ocean; CCAMLR; Marine protected areas; Antarctic Peninsula; Science-policy; Useable science</t>
  </si>
  <si>
    <t>MANAGEMENT; ECOSYSTEMS; PRIORITIES; RESERVES; MPAS</t>
  </si>
  <si>
    <t>Global threats to ocean biodiversity have driven international targets calling for a worldwide network of marine protected areas (MPAs). In line with these targets, the Commission on the Conservation of Marine Living Resources (CCAMLR) has been working towards adopting MPAs in the Southern Ocean. CCAMLR is considered a leader in science-based management and has been guiding the way on international MPAs. The west Antarctic Peninsula, threatened by climate change and industrial fishing, has been a priority area for MPA planning in CCAMLR. Since 2011, Chile and Argentina have worked to develop an Antarctic Peninsula MPA proposal which they submitted to CCAMLR in 2018. We use the Antarctic Peninsula MPA proposal process as a case study for understanding the science-policy interface in this international conservation regime. Specifically, we use existing frameworks for co-production of actionable science to examine the Antarctic Peninsula MPA process. We show that the Antarctic Peninsula MPA Proponents engaged in a highly collaborative, transparent, and science-based process which exemplified best practices for actionable science and co-production. Despite following best practices for actionable science, the MPA proposal has not yet been adopted, largely due to political barriers. We elaborate on the importance of co-production of actionable science and its effectiveness as well as to limitations in the Southern Ocean and beyond. Finally, we highlight that science-policy best practices may not be sufficient to drive consensus and the ultimate need for political will in the decision-making underpinning MPA designation in the Southern Ocean.</t>
  </si>
  <si>
    <t>[Sylvester, Zephyr T.; Brooks, Cassandra M.] Univ Colorado, Environm Studies Program, Boulder, CO 80309 USA</t>
  </si>
  <si>
    <t>University of Colorado System; University of Colorado Boulder</t>
  </si>
  <si>
    <t>Sylvester, ZT (corresponding author), Univ Colorado, SEEC Bldg,4001 Discovery Dr,Mailstop 397 UCB, Boulder, CO 80303 USA.</t>
  </si>
  <si>
    <t>zephyr.sylvester@colorado.edu</t>
  </si>
  <si>
    <t>Sylvester, Zephyr/0000-0002-2057-3741</t>
  </si>
  <si>
    <t>Pew Charitable Trusts</t>
  </si>
  <si>
    <t>The authors were supported by the Pew Charitable Trusts. Thanks to Mercedes Santos and Andrea Capurro for their support and assistance in completing this study, and also for their feedback on the manuscript. Thanks also to Rodolfo Werner and Denzil Miller for their valuable feedback. Thanks to Lisa Dilling for her guidance on the science -policy interface. Thanks to the CCAMLR Secretariat, Members States and Observers for allowing authors to participate in their meetings. Lastly, we would like to highlight the role women played in the leadership of the D1MPA process.</t>
  </si>
  <si>
    <t>ELSEVIER SCI LTD</t>
  </si>
  <si>
    <t>THE BOULEVARD, LANGFORD LANE, KIDLINGTON, OXFORD OX5 1GB, OXON, ENGLAND</t>
  </si>
  <si>
    <t>0308-597X</t>
  </si>
  <si>
    <t>1872-9460</t>
  </si>
  <si>
    <t>MAR POLICY</t>
  </si>
  <si>
    <t>Mar. Pol.</t>
  </si>
  <si>
    <t>10.1016/j.marpol.2019.103720</t>
  </si>
  <si>
    <t>Environmental Studies; International Relations</t>
  </si>
  <si>
    <t>Social Science Citation Index (SSCI)</t>
  </si>
  <si>
    <t>Environmental Sciences &amp; Ecology; International Relations</t>
  </si>
  <si>
    <t>JW8TI</t>
  </si>
  <si>
    <t>WOS:000503319000007</t>
  </si>
  <si>
    <t>Cornelison, J; Ade, PAR; Ahmed, Z; Amiri, M; Barkats, D; Thakur, RB; Bischoff, CA; Bock, JJ; Boenish, H; Bullock, E; Buza, V; Cheshire, JR; Connors, J; Crumrine, M; Cukierman, A; Denison, M; Dierickx, M; Duband, L; Eiben, M; Fatigoni, S; Filippini, JP; Fliescher, S; Goeckner-Wald, N; Goldfinger, DC; Grayson, JA; Grimes, P; Hall, G; Halpern, M; Harrison, A; Henderson, S; Hildebrandt, SR; Hilton, GC; Hubmayr, J; Hui, H; Irwin, KD; Kang, J; Karkare, KS; Karpel, E; Kefeli, S; Kernasovskiy, SA; Kovac, JM; Kuo, CL; Lau, K; Leitch, EM; Megerian, KG; Minutolo, L; Moncelsi, L; Nakato, Y; Namikawa, T; Nguyen, HT; Ogburn, RW; Palladino, S; Precup, N; Prouve, T; Pryke, C; Racine, B; Reintsema, CD; Richter, S; Schillaci, A; Schmitt, BL; Schwarz, R; Sheehy, CD; Soliman, A; St Germaine, T; Steinbach, B; Sudiwala, RV; Teply, GP; Thompson, KL; Tolan, JE; Tucker, C; Turner, AD; Umiltà, C; Vieregg, AG; Wandui, A; Weber, AC; Wiebe, DV; Willmert, J; Wong, CL; Wu, WLK; Yang, E; Yoon, KW; Young, E; Yu, C; Zeng, L; Zhang, C; Zhang, S</t>
  </si>
  <si>
    <t>Zmuidzinas, J; Gao, JR</t>
  </si>
  <si>
    <t>Cornelison, J.; Ade, P. A. R.; Ahmed, Z.; Amiri, M.; Barkats, D.; Thakur, R. Basu; Bischoff, C. A.; Bock, J. J.; Boenish, H.; Bullock, E.; Buza, V; Cheshire, J. R.; Connors, J.; Crumrine, M.; Cukierman, A.; Denison, M.; Dierickx, M.; Duband, L.; Eiben, M.; Fatigoni, S.; Filippini, J. P.; Fliescher, S.; Goeckner-Wald, N.; Goldfinger, D. C.; Grayson, J. A.; Grimes, P.; Hall, G.; Halpern, M.; Harrison, A.; Henderson, S.; Hildebrandt, S. R.; Hilton, G. C.; Hubmayr, J.; Hui, H.; Irwin, K. D.; Kang, J.; Karkare, K. S.; Karpel, E.; Kefeli, S.; Kernasovskiy, S. A.; Kovac, J. M.; Kuo, C. L.; Lau, K.; Leitch, E. M.; Megerian, K. G.; Minutolo, L.; Moncelsi, L.; Nakato, Y.; Namikawa, T.; Nguyen, H. T.; Ogburn, R. W.; Palladino, S.; Precup, N.; Prouve, T.; Pryke, C.; Racine, B.; Reintsema, C. D.; Richter, S.; Schillaci, A.; Schmitt, B. L.; Schwarz, R.; Sheehy, C. D.; Soliman, A.; St Germaine, T.; Steinbach, B.; Sudiwala, R., V; Teply, G. P.; Thompson, K. L.; Tolan, J. E.; Tucker, C.; Turner, A. D.; Umilta, C.; Vieregg, A. G.; Wandui, A.; Weber, A. C.; Wiebe, D., V; Willmert, J.; Wong, C. L.; Wu, W. L. K.; Yang, E.; Yoon, K. W.; Young, E.; Yu, C.; Zeng, L.; Zhang, C.; Zhang, S.</t>
  </si>
  <si>
    <t>Polarization Calibration of the BICEP3 CMB polarimeter at the South Pole</t>
  </si>
  <si>
    <t>MILLIMETER, SUBMILLIMETER, AND FAR-INFRARED DETECTORS AND INSTRUMENTATION FOR ASTRONOMY X</t>
  </si>
  <si>
    <t>Conference on Millimeter, Submillimeter, and Far-Infrared Detectors and Instrumentation for Astronomy X</t>
  </si>
  <si>
    <t>Cosmic Microwave Background; Polarization; Calibration</t>
  </si>
  <si>
    <t>PARITY CONSERVATION</t>
  </si>
  <si>
    <t>The BICEP3 CMB Polarimeter is a small-aperture refracting telescope located at the South Pole and is specifically designed to search for the possible signature of inflationary gravitational waves in the Cosmic Microwave Background (CMB). The experiment measures polarization on the sky by differencing the signal of co-located, orthogonally polarized antennas coupled to Transition Edge Sensor (TES) detectors. We present precise measurements of the absolute polarization response angles and polarization efficiencies for nearly all of BICEP3's similar to 800 functioning polarization-sensitive detector pairs from calibration data taken in January 2018. Using a Rotating Polarized Source (RPS), we mapped polarization response for each detector over a full 360 degrees of source rotation and at multiple telescope boresight rotations from which per-pair polarization properties were estimated. In future work, these results will be used to constrain signals predicted by exotic physical models such as Cosmic Birefringence.</t>
  </si>
  <si>
    <t>[Cornelison, J.; Barkats, D.; Boenish, H.; Dierickx, M.; Eiben, M.; Goldfinger, D. C.; Grimes, P.; Harrison, A.; Kovac, J. M.; Racine, B.; Richter, S.; Schmitt, B. L.; St Germaine, T.; Wong, C. L.; Zeng, L.] Harvard &amp; Smithsonian, Ctr Astrophys, Cambridge, MA 02138 USA; [Ade, P. A. R.; Sudiwala, R., V; Tucker, C.; Young, E.] Cardiff Univ, Sch Phys &amp; Astron, Cardiff CF24 3AA, Wales; [Ahmed, Z.; Cukierman, A.; Henderson, S.; Irwin, K. D.; Kuo, C. L.; Wu, W. L. K.; Yoon, K. W.; Young, E.] SLAC Natl Accelerator Lab, 2575 Sand Hill Rd, Menlo Pk, CA 94025 USA; [Ahmed, Z.; Cukierman, A.; Goeckner-Wald, N.; Henderson, S.; Irwin, K. D.; Kuo, C. L.; Thompson, K. L.; Wu, W. L. K.; Yoon, K. W.; Young, E.] Stanford Univ, Kavli Inst Particle Astrophys &amp; Cosmol, 452 Lomita Mall, Stanford, CA 94305 USA; [Amiri, M.; Fatigoni, S.; Halpern, M.; Wiebe, D., V] Univ British Columbia, Dept Phys &amp; Astron, Vancouver, BC V6T 1Z1, Canada; [Barkats, D.] Inst Laue Langevin, F-38042 Grenoble 9, France; [Thakur, R. Basu; Bock, J. J.; Hildebrandt, S. R.; Hui, H.; Kang, J.; Kefeli, S.; Minutolo, L.; Moncelsi, L.; Nguyen, H. T.; Schillaci, A.; Soliman, A.; Steinbach, B.; Zhang, C.; Zhang, S.] CALTECH, Dept Phys, Pasadena, CA 91125 USA; [Bischoff, C. A.; Palladino, S.; Wandui, A.] Univ Cincinnati, Dept Phys, Cincinnati, OH 45221 USA; [Bock, J. J.; Hildebrandt, S. R.; Megerian, K. G.; Nguyen, H. T.; Turner, A. D.; Weber, A. C.] Jet Prop Lab, Pasadena, CA 91109 USA; [Bullock, E.; Sheehy, C. D.] Univ Minnesota, Minnesota Inst Astrophys, Minneapolis, MN 55455 USA; [Buza, V; Karkare, K. S.; Leitch, E. M.; Pryke, C.; Vieregg, A. G.] Univ Chicago, Kavli Inst Cosmol Phys, Chicago, IL 60637 USA; [Cheshire, J. R.; Crumrine, M.; Fliescher, S.; Hall, G.; Lau, K.; Nakato, Y.; Precup, N.; Pryke, C.; Schwarz, R.; Willmert, J.] Univ Minnesota, Sch Phys &amp; Astron, Minneapolis, MN 55455 USA; [Connors, J.; Denison, M.; Hilton, G. C.; Hubmayr, J.; Irwin, K. D.; Reintsema, C. D.] NIST, Boulder, CO 80305 USA; [Cukierman, A.; Goeckner-Wald, N.; Grayson, J. A.; Irwin, K. D.; Kang, J.; Karpel, E.; Kernasovskiy, S. A.; Kuo, C. L.; Ogburn, R. W.; Thompson, K. L.; Tolan, J. E.; Wu, W. L. K.; Yang, E.; Yoon, K. W.; Yu, C.] Stanford Univ, Dept Phys, Stanford, CA 94305 USA; [Duband, L.; Prouve, T.] Commissariat Energie Atom, Serv Basses Temp, F-38054 Grenoble, France; [Filippini, J. P.; Umilta, C.] Univ Illinois, Dept Phys, Urbana, IL 61801 USA; [Filippini, J. P.; St Germaine, T.; Umilta, C.] Univ Illinois, Dept Astron, Urbana, IL 61801 USA; [Kovac, J. M.; Wong, C. L.] Harvard Univ, Dept Phys, Cambridge, MA 02138 USA; [Namikawa, T.] Univ Cambridge, Dept Appl Math &amp; Theoret Phys, Cambridge CB3 0WA, England; [Teply, G. P.] Univ Calif San Diego, Dept Phys, La Jolla, CA 92093 USA</t>
  </si>
  <si>
    <t>Smithsonian Institution; Cardiff University; Stanford University; United States Department of Energy (DOE); SLAC National Accelerator Laboratory; Stanford University; University of British Columbia; Institut Laue-Langevin (ILL); California Institute of Technology; University System of Ohio; University of Cincinnati; National Aeronautics &amp; Space Administration (NASA); NASA Jet Propulsion Laboratory (JPL); University of Minnesota System; University of Minnesota Twin Cities; University of Chicago; University of Minnesota System; University of Minnesota Twin Cities; National Institute of Standards &amp; Technology (NIST) - USA; Stanford University; CEA; Communaute Universite Grenoble Alpes; Universite Grenoble Alpes (UGA); University of Illinois System; University of Illinois Urbana-Champaign; University of Illinois System; University of Illinois Urbana-Champaign; Harvard University; University of Cambridge; University of California System; University of California San Diego</t>
  </si>
  <si>
    <t>Cornelison, J (corresponding author), Harvard &amp; Smithsonian, Ctr Astrophys, Cambridge, MA 02138 USA.</t>
  </si>
  <si>
    <t>Nguyễn, Hương/JUV-6128-2023; Moncelsi, Lorenzo/AAU-1009-2020; Nguyen, H.T/AAG-1974-2021; Chen, Shuo/JEO-6350-2023; sun, huan/JEO-7152-2023; Zeng, Lingzhen/V-4602-2019</t>
  </si>
  <si>
    <t>Moncelsi, Lorenzo/0000-0002-4242-3015; Nguyen, H.T/0000-0001-5580-2877; Zeng, Lingzhen/0000-0001-6924-9072; Hui, Howard/0000-0001-5812-1903; Grimes, Paul/0000-0001-9292-6297; Irwin, Kent/0000-0002-2998-9743; Schillaci, Alessandro/0000-0002-0512-1042; Tucker, Carole/0000-0002-1851-3918; Dierickx, Marion/0000-0002-3519-8593; Namikawa, Toshiya/0000-0003-3070-9240; Racine, Benjamin/0000-0001-8861-3052; Cheshire, James/0000-0002-1630-7854; Ahmed, Zeeshan/0000-0002-9957-448X; Halal, George/0000-0003-2221-3018; Kang, Jae Hwan/0000-0002-3470-2954; Lau, King/0000-0002-6445-2407; Kovac, John/0009-0003-5432-7180</t>
  </si>
  <si>
    <t>National Science Foundation [0742818, 0742592, 1044978, 1110087, 1145172, 1145143, 1145248, 1639040, 1638957, 1638978, 1638970, 1726917, 1313010, 1313062, 1313158, 1313287, 0960243, 1836010, 1056465, 1255358]; Keck Foundation; JPL Research and Technology Development Fund; NASA [06-ARPA2060040, 10-SAT10-0017, 12-SAT12-0031, 14-SAT14-0009, 16-SAT16-0002, 18-SAT18-0017]; Gordon and Betty Moore Foundation at Caltech; Department of Energy [DE-AC02-76SF00515]; Division Of Astronomical Sciences; Direct For Mathematical &amp; Physical Scien [1836010, 1056465] Funding Source: National Science Foundation; Division Of Astronomical Sciences; Direct For Mathematical &amp; Physical Scien [1255358] Funding Source: National Science Foundation</t>
  </si>
  <si>
    <t>National Science Foundation(National Science Foundation (NSF)); Keck Foundation(W.M. Keck Foundation); JPL Research and Technology Development Fund; NASA(National Aeronautics &amp; Space Administration (NASA)); Gordon and Betty Moore Foundation at Caltech(Gordon and Betty Moore Foundation); Department of Energy(United States Department of Energy (DOE)); Division Of Astronomical Sciences; Direct For Mathematical &amp; Physical Scien(National Science Foundation (NSF)NSF - Directorate for Mathematical &amp; Physical Sciences (MPS)); Division Of Astronomical Sciences; Direct For Mathematical &amp; Physical Scien(National Science Foundation (NSF)NSF - Directorate for Mathematical &amp; Physical Sciences (MPS))</t>
  </si>
  <si>
    <t>The BICEP/Keck project (including BICEP2, BICEP3 and BICEP Array) have been made possible through a series of grants from the National Science Foundation including 0742818, 0742592, 1044978, 1110087, 1145172, 1145143, 1145248, 1639040, 1638957, 1638978, 1638970, 1726917, 1313010, 1313062, 1313158, 1313287, 0960243, 1836010, 1056465, &amp; 1255358 and by the Keck Foundation. The development of antenna-coupled detector technology was supported by the JPL Research and Technology Development Fund and NASA Grants 06-ARPA2060040, 10-SAT10-0017, 12-SAT12-0031, 14-SAT14-0009, 16-SAT16-0002, &amp; 18-SAT18-0017. The development and testing of focal planes were supported by the Gordon and Betty Moore Foundation at Caltech. Readout electronics were supported by a Canada Foundation for Innovation grant to UBC. The computations in this paper were run on the Odyssey cluster supported by the FAS Science Division Research Computing Group at Harvard University. The analysis effort at Stanford and SLAC was partially supported by the Department of Energy, Contract DE-AC02-76SF00515. We thank the staff of the U.S. Antarctic Program and in particular the South Pole Station without whose help this research would not have been possible. Tireless administrative support was provided by Kathy Deniston, Sheri Stoll, Irene Coyle, Donna Hernandez, and Dana Volponi.</t>
  </si>
  <si>
    <t>978-1-5106-3694-1</t>
  </si>
  <si>
    <t>10.1117/12.2562905</t>
  </si>
  <si>
    <t>BT7TN</t>
  </si>
  <si>
    <t>Green Submitted, Green Accepted</t>
  </si>
  <si>
    <t>WOS:000850905600032</t>
  </si>
  <si>
    <t>Kang, JH; Ade, PAR; Ahmed, Z; Amiri, M; Barkats, D; Thakur, RB; Bischoff, CA; Bock, JJ; Boenish, H; Bullock, E; Buza, V; Cheshire, JR; Connors, J; Cornelison, J; Crumrine, M; Cukierman, A; Denison, E; Dierickx, M; Duband, L; Eiben, M; Fatigoni, S; Filippini, JP; Fliescher, S; Goeckner-Wald, N; Goldfinger, DC; Grayson, JA; Grimes, P; Hall, G; Halpern, M; Harrison, SA; Henderson, S; Hildebrandt, SR; Hilton, GC; Hubmayr, J; Hui, H; Irwin, KD; Karkare, KS; Karpel, E; Kefeli, S; Kernasovskiy, SA; Kovac, JM; Kuo, CL; Lau, K; Leitch, EM; Megerian, KG; Minutolo, L; Moncelsi, L; Nakato, Y; Namikawa, T; Nguyen, HT; O'Brient, R; Ogburn, RW; Palladino, S; Precup, N; Prouve, T; Pryke, C; Racine, B; Reintsema, CD; Richter, S; Schillaci, A; Schmitt, BL; Schwarz, R; Sheehy, CD; Soliman, A; St Germaine, T; Steinbach, B; Sudiwala, RV; Teply, GP; Thompson, KL; Tolan, JE; Tucker, C; Turner, AD; Umilta, C; Vieregg, AG; Wandui, A; Weber, AC; Wiebe, DV; Willmert, J; Wong, CL; Wu, WLK; Yang, E; Yoon, KW; Young, E; Yu, C; Zeng, L; Zhang, C; Zhang, S</t>
  </si>
  <si>
    <t>Kang, Jae Hwan; Ade, P. A. R.; Ahmed, Z.; Amiri, M.; Barkats, D.; Thakur, R. Basu; Bischoff, C. A.; Bock, J. J.; Boenish, H.; Bullock, E.; Buza, V; Cheshire, J. R.; Connors, J.; Cornelison, J.; Crumrine, M.; Cukierman, A.; Denison, E.; Dierickx, M.; Duband, L.; Eiben, M.; Fatigoni, S.; Filippini, J. P.; Fliescher, S.; Goeckner-Wald, N.; Goldfinger, D. C.; Grayson, J. A.; Grimes, P.; Hall, G.; Halpern, M.; Harrison, S. A.; Henderson, S.; Hildebrandt, S. R.; Hilton, G. C.; Hubmayr, J.; Hui, H.; Irwin, K. D.; Karkare, K. S.; Karpel, E.; Kefeli, S.; Kernasovskiy, S. A.; Kovac, J. M.; Kuo, C. L.; Lau, K.; Leitch, E. M.; Megerian, K. G.; Minutolo, L.; Moncelsi, L.; Nakato, Y.; Namikawa, T.; Nguyen, H. T.; O'Brient, R.; Ogburn, R. W.; Palladino, S.; Precup, N.; Prouve, T.; Pryke, C.; Racine, B.; Reintsema, C. D.; Richter, S.; Schillaci, A.; Schmitt, B. L.; Schwarz, R.; Sheehy, C. D.; Soliman, A.; St Germaine, T.; Steinbach, B.; Sudiwala, R., V; Teply, G. P.; Thompson, K. L.; Tolan, J. E.; Tucker, C.; Turner, A. D.; Umilta, C.; Vieregg, A. G.; Wandui, A.; Weber, A. C.; Wiebe, D., V; Willmert, J.; Wong, C. L.; Wu, W. L. K.; Yang, E.; Yoon, K. W.; Young, E.; Yu, C.; Zeng, L.; Zhang, C.; Zhang, S.</t>
  </si>
  <si>
    <t>Observing low elevation sky and the CMB Cold Spot with BICEP3 at the South Pole</t>
  </si>
  <si>
    <t>Cosmic Microwave Background; Inflation; Gravitational Waves; Polarization; BICEP3; Cold Spot</t>
  </si>
  <si>
    <t>MICROWAVE; POLARIZATION</t>
  </si>
  <si>
    <t>BICEP3 is a 520 mm aperture on-axis refracting telescope at the South Pole, which observes the polarization of the cosmic microwave background (CMB) at 95 GHz to search for the B-mode signal from inflationary gravitational waves. In addition to this main target, we have developed a low-elevation observation strategy to extend coverage of the Southern sky at the South Pole, where BICEP3 can quickly achieve degree-scale E-mode measurements over a large area. An interesting E-mode measurement is probing a potential polarization anomaly around the CMB Cold Spot. During the austral summer seasons of 2018-19 and 2019-20, BICEP3 observed the sky with a flat mirror to redirect the beams to various low elevation ranges. The preliminary data analysis shows degree-scale E-modes measured with high signal-to-noise ratio.</t>
  </si>
  <si>
    <t>[Kang, Jae Hwan; Thakur, R. Basu; Bock, J. J.; Hildebrandt, S. R.; Hui, H.; Kefeli, S.; Minutolo, L.; Moncelsi, L.; Nguyen, H. T.; O'Brient, R.; Schillaci, A.; Soliman, A.; Steinbach, B.; Wandui, A.; Zhang, C.; Zhang, S.] CALTECH, Dept Phys, Pasadena, CA 91125 USA; [Kang, Jae Hwan; Cukierman, A.; Goeckner-Wald, N.; Grayson, J. A.; Irwin, K. D.; Karpel, E.; Kernasovskiy, S. A.; Kuo, C. L.; Ogburn, R. W.; Thompson, K. L.; Tolan, J. E.; Wu, W. L. K.; Yang, E.; Yoon, K. W.; Young, E.; Yu, C.] Stanford Univ, Dept Phys, Stanford, CA 94305 USA; [Ahmed, Z.; Cukierman, A.; Henderson, S.; Irwin, K. D.; Kuo, C. L.; Wu, W. L. K.; Yoon, K. W.; Young, E.] SLAC Natl Accelerator Lab, 2575 Sand Hill Rd, Menlo Pk, CA 94025 USA; [Ahmed, Z.; Cukierman, A.; Goeckner-Wald, N.; Henderson, S.; Irwin, K. D.; Kuo, C. L.; Thompson, K. L.; Wu, W. L. K.; Yoon, K. W.; Young, E.] Stanford Univ, Kavli Inst Particle Astrophys &amp; Cosmol, 452 Lomita Mall, Stanford, CA 94305 USA; [Amiri, M.; Fatigoni, S.; Halpern, M.; Wiebe, D., V] Univ British Columbia, Dept Phys &amp; Astron, Vancouver, BC V6T 1Z1, Canada; [Barkats, D.] Inst Laue Langevin, F-38042 Grenoble 9, France; [Barkats, D.; Boenish, H.; Cornelison, J.; Dierickx, M.; Eiben, M.; Goldfinger, D. C.; Grimes, P.; Harrison, S. A.; Kovac, J. M.; Racine, B.; Richter, S.; Schmitt, B. L.; St Germaine, T.; Wong, C. L.; Zeng, L.] Ctr Astrophys Harvard &amp; Smithsonian, Cambridge, MA 02138 USA; [Bischoff, C. A.; Palladino, S.] Univ Cincinnati, Dept Phys, Cincinnati, OH 45221 USA; [Bock, J. J.; Hildebrandt, S. R.; Megerian, K. G.; Nguyen, H. T.; O'Brient, R.; Turner, A. D.; Weber, A. C.] Jet Prop Lab, Pasadena, CA 91109 USA; [Bullock, E.; Sheehy, C. D.] Univ Minnesota, Minnesota Inst Astrophys, Minneapolis, MN 55455 USA; [Buza, V; Karkare, K. S.; Leitch, E. M.; Pryke, C.; Vieregg, A. G.] Univ Chicago, Kavli Inst Cosmol Phys, Chicago, IL 60637 USA; [Cheshire, J. R.; Crumrine, M.; Fliescher, S.; Hall, G.; Lau, K.; Nakato, Y.; Precup, N.; Pryke, C.; Schwarz, R.; Willmert, J.] Univ Minnesota, Sch Phys &amp; Astron, Minneapolis, MN 55455 USA; [Connors, J.; Denison, E.; Hilton, G. C.; Hubmayr, J.; Irwin, K. D.; Reintsema, C. D.] NIST, Boulder, CO 80305 USA; [Ade, P. A. R.; Sudiwala, R., V; Tucker, C.] Cardiff Univ, Sch Phys &amp; Astron, Cardiff CF24 3AA, Wales; [Duband, L.; Prouve, T.] Commissariat Energie Atom, Serv Basses Temp, F-38054 Grenoble, France; [Filippini, J. P.; Umilta, C.] Univ Illinois, Dept Phys, Urbana, IL 61801 USA; [Filippini, J. P.; Umilta, C.] Univ Illinois, Dept Astron, Urbana, IL 61801 USA; [Kovac, J. M.; St Germaine, T.; Wong, C. L.] Harvard Univ, Dept Phys, Cambridge, MA 02138 USA; [Namikawa, T.] Univ Cambridge, Dept Appl Math &amp; Theoret Phys, Cambridge CB3 0WA, England; [Teply, G. P.] Univ Calif San Diego, Dept Phys, La Jolla, CA 92093 USA</t>
  </si>
  <si>
    <t>California Institute of Technology; Stanford University; Stanford University; United States Department of Energy (DOE); SLAC National Accelerator Laboratory; Stanford University; University of British Columbia; Institut Laue-Langevin (ILL); University System of Ohio; University of Cincinnati; National Aeronautics &amp; Space Administration (NASA); NASA Jet Propulsion Laboratory (JPL); University of Minnesota System; University of Minnesota Twin Cities; University of Chicago; University of Minnesota System; University of Minnesota Twin Cities; National Institute of Standards &amp; Technology (NIST) - USA; Cardiff University; CEA; Communaute Universite Grenoble Alpes; Universite Grenoble Alpes (UGA); University of Illinois System; University of Illinois Urbana-Champaign; University of Illinois System; University of Illinois Urbana-Champaign; Harvard University; University of Cambridge; University of California System; University of California San Diego</t>
  </si>
  <si>
    <t>Kang, JH (corresponding author), CALTECH, Dept Phys, Pasadena, CA 91125 USA.;Kang, JH (corresponding author), Stanford Univ, Dept Phys, Stanford, CA 94305 USA.</t>
  </si>
  <si>
    <t>jkang7@caltech.edu</t>
  </si>
  <si>
    <t>Zeng, Lingzhen/V-4602-2019; Nguyen, H.T/AAG-1974-2021; Moncelsi, Lorenzo/AAU-1009-2020; Nguyễn, Hương/JUV-6128-2023; sun, huan/JEO-7152-2023; Chen, Shuo/JEO-6350-2023</t>
  </si>
  <si>
    <t>Zeng, Lingzhen/0000-0001-6924-9072; Nguyen, H.T/0000-0001-5580-2877; Moncelsi, Lorenzo/0000-0002-4242-3015; Lau, King/0000-0002-6445-2407; Ahmed, Zeeshan/0000-0002-9957-448X; Tucker, Carole/0000-0002-1851-3918; Namikawa, Toshiya/0000-0003-3070-9240; Kovac, John/0009-0003-5432-7180; Hui, Howard/0000-0001-5812-1903; Schillaci, Alessandro/0000-0002-0512-1042; Grimes, Paul/0000-0001-9292-6297; Cheshire, James/0000-0002-1630-7854; Dierickx, Marion/0000-0002-3519-8593; Kang, Jae Hwan/0000-0002-3470-2954; Irwin, Kent/0000-0002-2998-9743; Racine, Benjamin/0000-0001-8861-3052</t>
  </si>
  <si>
    <t>National Science Foundation [0742818, 0742592, 1044978, 1110087, 1145172, 1145143, 1145248, 1639040, 1638957, 1638978, 1638970, 1726917, 1313010, 1313062, 1313158, 1313287, 0960243, 1836010, 1056465, 1255358]; Keck Foundation; JPL Research and Technology Development Fund; NASA [06-ARPA2060040, 10-SAT10-0017, 12-SAT12-0031, 14-SAT14-0009, 16-SAT16-0002, 18-SAT18-0017]; Gordon and Betty Moore Foundation at Caltech; Canada Foundation for Innovation; FAS Science Division Research Computing Group at Harvard University; Department of Energy [DE-AC02-76SF00515]; Division Of Astronomical Sciences; Direct For Mathematical &amp; Physical Scien [1056465, 1836010, 1255358] Funding Source: National Science Foundation; STFC [ST/S00033X/1] Funding Source: UKRI</t>
  </si>
  <si>
    <t>National Science Foundation(National Science Foundation (NSF)); Keck Foundation(W.M. Keck Foundation); JPL Research and Technology Development Fund; NASA(National Aeronautics &amp; Space Administration (NASA)); Gordon and Betty Moore Foundation at Caltech(Gordon and Betty Moore Foundation); Canada Foundation for Innovation(Canada Foundation for InnovationCGIARSpanish Government); FAS Science Division Research Computing Group at Harvard University; Department of Energy(United States Department of Energy (DOE)); Division Of Astronomical Sciences; Direct For Mathematical &amp; Physical Scien(National Science Foundation (NSF)NSF - Directorate for Mathematical &amp; Physical Sciences (MPS)); STFC(UK Research &amp; Innovation (UKRI)Science &amp; Technology Facilities Council (STFC))</t>
  </si>
  <si>
    <t>The BICEP/Keck project (including BICEP2, BICEP3 and BICEP Array) have been made possible through a series of grants from the National Science Foundation including 0742818, 0742592, 1044978, 1110087, 1145172, 1145143, 1145248, 1639040, 1638957, 1638978, 1638970, 1726917, 1313010, 1313062, 1313158, 1313287, 0960243, 1836010, 1056465, &amp; 1255358 and by the Keck Foundation. The development of antenna-coupled detector technology was supported by the JPL Research and Technology Development Fund and NASA Grants 06-ARPA2060040, 10-SAT10-0017, 12-SAT12-0031, 14-SAT14-0009, 16-SAT16-0002, &amp; 18-SAT18-0017. The development and testing of focal planes were supported by the Gordon and Betty Moore Foundation at Caltech. Readout electronics were supported by a Canada Foundation for Innovation grant to UBC. The computations in this paper were run on the Odyssey cluster supported by the FAS Science Division Research Computing Group at Harvard University. The analysis effort at Stanford and SLAC was partially supported by the Department of Energy, Contract DE-AC02-76SF00515. We thank the staff of the U.S. Antarctic Program and in particular the South Pole Station without whose help this research would not have been possible. Tireless administrative support was provided by Kathy Deniston, Sheri Stoll, Irene Coyle, Donna Hernandez, and Dana Volponi, and Julie Shih.</t>
  </si>
  <si>
    <t>114532D</t>
  </si>
  <si>
    <t>10.1117/12.2562066</t>
  </si>
  <si>
    <t>WOS:000850905600037</t>
  </si>
  <si>
    <t>Lowe, I; Ade, PAR; Ashton, PC; Austermann, JE; Coppi, G; Cox, EG; Devlin, MJ; Dober, BJ; Fanfani, V; Fissel, LM; Galitzki, N; Gao, JS; Gordon, S; Groppi, CE; Hilton, GC; Hubmayr, J; Klein, J; Li, D; Lourie, NP; Mani, H; Mauskopf, P; McKenney, C; Nati, F; Novak, G; Pisano, G; Romualdez, LJ; Soler, JD; Sinclair, A; Tucker, C; Ullom, J; Vissers, M; Wheeler, C; Williams, PA</t>
  </si>
  <si>
    <t>Lowe, Ian; Ade, Peter A. R.; Ashton, Peter C.; Austermann, Jason E.; Coppi, Gabriele; Cox, Erin G.; Devlin, Mark J.; Dober, Bradley J.; Fanfani, Valentina; Fissel, Laura M.; Galitzki, Nicholas; Gao, Jiansong; Gordon, Samuel; Groppi, Christopher E.; Hilton, Gene C.; Hubmayr, Johannes; Klein, Jeffrey; Li, Dale; Lourie, Nathan P.; Mani, Hamdi; Mauskopf, Philip; McKenney, Christopher; Nati, Federico; Novak, Giles; Pisano, Giampaolo; Romualdez, L. Javier; Soler, Juan D.; Sinclair, Adrian; Tucker, Carole; Ullom, Joel; Vissers, Michael; Wheeler, Caleb; Williams, Paul A.</t>
  </si>
  <si>
    <t>Characterization, deployment, and in-flight performance of the BLAST-TNG cryogenic receiver</t>
  </si>
  <si>
    <t>The Next Generation Balloon-borne Large Aperture Submillimeter Telescope (BLAST-TNG) is a submillimeter polarimeter designed to map interstellar dust and galactic foregrounds at 250, 350, and 500 microns during a 24-day Antarctic flight. The BLAST-TNG detector arrays are comprised of 918, 469, and 272 MKID pixels, respectively. The pixels are formed from two orthogonally oriented, crossed, linear-polarization sensitive MKID antennae. The arrays are cooled to sub 300 mK temperatures and stabilized via a closed cycle He-3 sorption fridge in combination with a He-4 vacuum pot. The detectors are read out through a combination of the second-generation Reconfigurable Open Architecture Computing Hardware (ROACH2) and custom RF electronics designed for BLAST-TNG. The firmware and software designed to readout and characterize these detectors was built from scratch by the BLAST team around these detectors, and has been adapted for use by other MKID instruments such as TolTEC and OLIMPO.(1) We present an overview of these systems as well as in-depth methodology of the ground-based characterization and the measured in-flight performance.</t>
  </si>
  <si>
    <t>[Lowe, Ian; Devlin, Mark J.; Klein, Jeffrey] Univ Penn, 209 South 33rd St, Philadelphia, PA 19104 USA; [Ade, Peter A. R.; Pisano, Giampaolo; Tucker, Carole] Cardiff Univ, Cardiff CF24 3AA, Wales; [Ashton, Peter C.] Lawrence Berkeley Natl Lab, 1 Cyclotron Rd, Berkeley, CA 94720 USA; [Austermann, Jason E.; Dober, Bradley J.; Gao, Jiansong; Hilton, Gene C.; Hubmayr, Johannes; McKenney, Christopher; Ullom, Joel; Vissers, Michael] NIST Boulder, 325 Broadway, Boulder, CO 80305 USA; [Coppi, Gabriele; Fanfani, Valentina; Nati, Federico] Univ Milano Bicocca, Piazza Sci 3, I-20126 Milan, MI, Italy; [Cox, Erin G.; Novak, Giles; Williams, Paul A.] Northwestern Univ, 1800 Sherman Ave, Evanston, IL 60201 USA; [Fissel, Laura M.] Queens Univ, 99 Univ Ave, Kingston, ON K7L 3N6, Canada; [Galitzki, Nicholas] Univ Calif San Diego, 9500 Gilman Dr, La Jolla, CA 92093 USA; [Gordon, Samuel; Groppi, Christopher E.; Mani, Hamdi; Mauskopf, Philip; Sinclair, Adrian] Arizona State Univ, 550 E Tyler Dr, Tempe, AZ 85287 USA; [Li, Dale] SLAC Natl Accelerator Lab, 2575 Sand Hill Rd, Menlo Pk, CA 94025 USA; [Lourie, Nathan P.] MIT, Kavli Inst Astrophys &amp; Space Res, 70 Vassar St, Cambridge, MA 02139 USA; [Romualdez, L. Javier] Princeton Univ, Jadwin Hall,Washington Rd, Princeton, NJ 08544 USA; [Wheeler, Caleb] Underground Instruments, 224 Claremont Ave, San Antonio, TX 78209 USA; [Soler, Juan D.] Max Planck Inst Astron, Konigstuhl 17, D-69117 Heidelberg, Germany</t>
  </si>
  <si>
    <t>University of Pennsylvania; Cardiff University; United States Department of Energy (DOE); Lawrence Berkeley National Laboratory; National Institute of Standards &amp; Technology (NIST) - USA; University of Milano-Bicocca; Northwestern University; Queens University - Canada; University of California System; University of California San Diego; Arizona State University; Arizona State University-Tempe; Stanford University; United States Department of Energy (DOE); SLAC National Accelerator Laboratory; Massachusetts Institute of Technology (MIT); Princeton University; Max Planck Society</t>
  </si>
  <si>
    <t>Lowe, I (corresponding author), Univ Penn, 209 South 33rd St, Philadelphia, PA 19104 USA.</t>
  </si>
  <si>
    <t>ianlowe@sas.upenn.edu</t>
  </si>
  <si>
    <t>Pisano, Giampaolo/M-7218-2016; Groppi, Christopher E/L-5284-2013; Nati, Federico/O-6551-2019</t>
  </si>
  <si>
    <t>Pisano, Giampaolo/0000-0003-4302-5681; Nati, Federico/0000-0002-8307-5088; Cox, Erin/0000-0002-5216-8062; Coppi, Gabriele/0000-0002-6362-6524; Tucker, Carole/0000-0002-1851-3918</t>
  </si>
  <si>
    <t>10.1117/12.2560854</t>
  </si>
  <si>
    <t>WOS:000850905600003</t>
  </si>
  <si>
    <t>Moncelsi, L; Ade, PAR; Ahmed, Z; Amiri, M; Barkats, D; Thakur, RB; Bischoff, CA; Bock, JJ; Buza, V; Cheshire, J; Connors, J; Cornelison, J; Crumrine, M; Cukierman, A; Denison, EV; Dierickx, M; Duband, L; Eiben, M; Fatigoni, S; Filippini, JP; Goeckner-Wald, N; Goldfinger, DC; Grayson, J; Grimes, P; Hall, G; Halpern, M; Harrison, S; Henderson, S; Hildebrandt, SR; Hilton, GC; Hubmayr, J; Hui, H; Irwin, KD; Kang, J; Karkare, KS; Kefeli, S; Kovac, JM; Kuo, CL; Lau, K; Leitch, EM; Megerian, KG; Minutolo, L; Nakato, Y; Namikawa, T; Nguyen, HT; O'Brient, R; Palladino, S; Precup, N; Prouve, T; Pryke, C; Racine, B; Reintsema, CD; Schillaci, A; Schmitt, BL; Soliman, A; St Germaine, T; Steinbach, B; Sudiwala, RV; Thompson, KL; Tucker, C; Turner, AD; Umiltà, C; Vieregg, AG; Wandui, A; Weber, AC; Wiebe, DV; Willmert, J; Wu, WLK; Yang, E; Yoon, KW; Young, E; Yu, C; Zeng, L; Zhang, C; Zhang, S</t>
  </si>
  <si>
    <t>Moncelsi, L.; Ade, P. A. R.; Ahmed, Z.; Amiri, M.; Barkats, D.; Thakur, R. Basu; Bischoff, C. A.; Bock, J. J.; Buza, V; Cheshire, J.; Connors, J.; Cornelison, J.; Crumrine, M.; Cukierman, A.; Denison, E., V; Dierickx, M.; Duband, L.; Eiben, M.; Fatigoni, S.; Filippini, J. P.; Goeckner-Wald, N.; Goldfinger, D. C.; Grayson, J.; Grimes, P.; Hall, G.; Halpern, M.; Harrison, S.; Henderson, S.; Hildebrandt, S. R.; Hilton, G. C.; Hubmayr, J.; Hui, H.; Irwin, K. D.; Kang, J.; Karkare, K. S.; Kefeli, S.; Kovac, J. M.; Kuo, C. L.; Lau, K.; Leitch, E. M.; Megerian, K. G.; Minutolo, L.; Nakato, Y.; Namikawa, T.; Nguyen, H. T.; O'Brient, R.; Palladino, S.; Precup, N.; Prouve, T.; Pryke, C.; Racine, B.; Reintsema, C. D.; Schillaci, A.; Schmitt, B. L.; Soliman, A.; St Germaine, T.; Steinbach, B.; Sudiwala, R., V; Thompson, K. L.; Tucker, C.; Turner, A. D.; Umilta, C.; Vieregg, A. G.; Wandui, A.; Weber, A. C.; Wiebe, D., V; Willmert, J.; Wu, W. L. K.; Yang, E.; Yoon, K. W.; Young, E.; Yu, C.; Zeng, L.; Zhang, C.; Zhang, S.</t>
  </si>
  <si>
    <t>Receiver development for BICEP Array, a next-generation CMB polarimeter at the South Pole</t>
  </si>
  <si>
    <t>Cosmic Microwave Background; Polarization; Instrumentation; Cosmology; B-Modes; Inflation</t>
  </si>
  <si>
    <t>THERMAL-CONDUCTIVITY; MILLIMETER</t>
  </si>
  <si>
    <t>A detection of curl-type (B-mode) polarization of the primary CMB would be direct evidence for the inflationary paradigm of the origin of the Universe. The BICEP/Keck Array (BK) program targets the degree angular scales, where the power from primordial B-mode polarization is expected to peak, with ever-increasing sensitivity and has published the most stringent constraints on inflation to date. BICEP Array (BA) is the Stage-3 instrument of the BK program and will comprise four BICEP3-class receivers observing at 30/40, 95, 150 and 220/270 GHz with a combined 32,000+ detectors; such wide frequency coverage is necessary for control of the Galactic foregrounds, which also produce degree-scale B-mode signal. The 30/40 GHz receiver is designed to constrain the synchrotron foreground and has begun observing at the South Pole in early 2020. By the end of a 3-year observing campaign, the full BICEP Array instrument is projected to reach sigma(r) between 0.002 and 0.004, depending on foreground complexity and degree of removal of B-modes due to gravitational lensing (delensing). This paper presents an overview of the design, measured on-sky performance and calibration of the first BA receiver. We also give a preview of the added complexity in the time-domain multiplexed readout of the 7,776-detector 150 GHz receiver.</t>
  </si>
  <si>
    <t>[Moncelsi, L.; Thakur, R. Basu; Bock, J. J.; Hildebrandt, S. R.; Hui, H.; Kang, J.; Kefeli, S.; Minutolo, L.; O'Brient, R.; Schillaci, A.; Soliman, A.; Steinbach, B.; Wandui, A.; Zhang, C.; Zhang, S.] CALTECH, Dept Phys, Pasadena, CA 91125 USA; [Ade, P. A. R.; Sudiwala, R., V; Tucker, C.] Cardiff Univ, Sch Phys &amp; Astron, Cardiff CF24 3AA, Wales; [Ahmed, Z.; Cukierman, A.; Henderson, S.; Irwin, K. D.; Kuo, C. L.; Wu, W. L. K.; Yoon, K. W.; Young, E.] SLAC Natl Accelerator Lab, 2575 Sand Hill Rd, Menlo Pk, CA 94025 USA; [Ahmed, Z.; Cukierman, A.; Goeckner-Wald, N.; Henderson, S.; Irwin, K. D.; Kuo, C. L.; Thompson, K. L.; Wu, W. L. K.; Yoon, K. W.; Young, E.] Stanford Univ, Kavli Inst Particle Astrophys &amp; Cosmol, 452 Lomita Mall, Stanford, CA 94305 USA; [Amiri, M.; Fatigoni, S.; Halpern, M.; Wiebe, D., V] Univ British Columbia, Dept Phys &amp; Astron, Vancouver, BC V6T 1Z1, Canada; [Barkats, D.; Connors, J.; Cornelison, J.; Dierickx, M.; Eiben, M.; Goldfinger, D. C.; Grimes, P.; Harrison, S.; Karkare, K. S.; Kovac, J. M.; Racine, B.; Schmitt, B. L.; St Germaine, T.; Zeng, L.] Harvard &amp; Smithsonian, Ctr Astrophys, Cambridge, MA 02138 USA; [Bischoff, C. A.; Palladino, S.; Umilta, C.] Univ Cincinnati, Dept Phys, Cincinnati, OH 45221 USA; [Bock, J. J.; Hildebrandt, S. R.; Megerian, K. G.; Nguyen, H. T.; O'Brient, R.; Turner, A. D.; Weber, A. C.] Jet Prop Lab, Pasadena, CA 91109 USA; [Buza, V; Karkare, K. S.; Leitch, E. M.; Vieregg, A. G.] Univ Chicago, Kavli Inst Cosmol Phys, Chicago, IL 60637 USA; [Buza, V; Kovac, J. M.; St Germaine, T.] Harvard Univ, Dept Phys, Cambridge, MA 02138 USA; [Cheshire, J.; Hall, G.; Pryke, C.] Univ Minnesota, Minnesota Inst Astrophys, Minneapolis, MN 55455 USA; [Connors, J.; Denison, E., V; Hilton, G. C.; Hubmayr, J.; Irwin, K. D.; Reintsema, C. D.] NIST, Boulder, CO 80305 USA; [Crumrine, M.; Lau, K.; Nakato, Y.; Precup, N.; Pryke, C.; Willmert, J.] Univ Minnesota, Sch Phys &amp; Astron, Minneapolis, MN 55455 USA; [Cukierman, A.; Goeckner-Wald, N.; Grayson, J.; Hall, G.; Irwin, K. D.; Kang, J.; Kuo, C. L.; Nakato, Y.; Namikawa, T.; Thompson, K. L.; Wu, W. L. K.; Yang, E.; Yoon, K. W.; Young, E.; Yu, C.] Stanford Univ, Dept Phys, 382 Via Pueblo Mall, Stanford, CA 94305 USA; [Duband, L.; Prouve, T.] Commissariat Energie Atom, Serv Basses Temp, F-38054 Grenoble, France; [Filippini, J. P.; Umilta, C.] Univ Illinois, Dept Phys, Urbana, IL 61801 USA; [Filippini, J. P.] Univ Illinois, Dept Astron, Urbana, IL 61801 USA; [Namikawa, T.] Univ Cambridge, Dept Appl Math &amp; Theoret Phys, Cambridge CB3 0WA, England; [Vieregg, A. G.] Univ Chicago, Enrico Fermi Inst, Dept Phys, Chicago, IL 60637 USA</t>
  </si>
  <si>
    <t>California Institute of Technology; Cardiff University; Stanford University; United States Department of Energy (DOE); SLAC National Accelerator Laboratory; Stanford University; University of British Columbia; Smithsonian Institution; University System of Ohio; University of Cincinnati; National Aeronautics &amp; Space Administration (NASA); NASA Jet Propulsion Laboratory (JPL); University of Chicago; Harvard University; University of Minnesota System; University of Minnesota Twin Cities; National Institute of Standards &amp; Technology (NIST) - USA; University of Minnesota System; University of Minnesota Twin Cities; Stanford University; Communaute Universite Grenoble Alpes; Universite Grenoble Alpes (UGA); CEA; University of Illinois System; University of Illinois Urbana-Champaign; University of Illinois System; University of Illinois Urbana-Champaign; University of Cambridge; University of Chicago</t>
  </si>
  <si>
    <t>Moncelsi, L (corresponding author), CALTECH, Dept Phys, Pasadena, CA 91125 USA.</t>
  </si>
  <si>
    <t>moncelsi@caltech.edu</t>
  </si>
  <si>
    <t>Nguyễn, Hương/JUV-6128-2023; Moncelsi, Lorenzo/AAU-1009-2020; Nguyen, H.T/AAG-1974-2021; sun, huan/JEO-7152-2023; Chen, Shuo/JEO-6350-2023; Zeng, Lingzhen/V-4602-2019</t>
  </si>
  <si>
    <t>Moncelsi, Lorenzo/0000-0002-4242-3015; Nguyen, H.T/0000-0001-5580-2877; Zeng, Lingzhen/0000-0001-6924-9072; Schillaci, Alessandro/0000-0002-0512-1042; Irwin, Kent/0000-0002-2998-9743; Namikawa, Toshiya/0000-0003-3070-9240; Cheshire, James/0000-0002-1630-7854; Tucker, Carole/0000-0002-1851-3918; Hui, Howard/0000-0001-5812-1903; Racine, Benjamin/0000-0001-8861-3052; Dierickx, Marion/0000-0002-3519-8593; Zhang, Cheng/0000-0001-8288-5823; Kang, Jae Hwan/0000-0002-3470-2954; Kovac, John/0009-0003-5432-7180; Grimes, Paul/0000-0001-9292-6297; Lau, King/0000-0002-6445-2407</t>
  </si>
  <si>
    <t>National Science Foundation [0742818, 0742592, 1044978, 1110087, 1145172, 1145143, 1145248, 1639040, 1638957, 1638978, 1638970, 1726917, 1313010, 1313062, 1313158, 1313287, 0960243, 1836010, 1056465, 1255358]; Keck Foundation; JPL Research and Technology Development Fund; NASA [06-ARPA2060040, 10-SAT10-0017, 12-SAT12-0031, 14-SAT14-0009, 16-SAT16-0002, 18-SAT18-0017]; Gordon and Betty Moore Foundation at Caltech; Canada Foundation for Innovation grant; Department of Energy [DE-AC02-76SF00515]; FAS Science Division Research Computing Group at Harvard University; STFC [ST/S00033X/1] Funding Source: UKRI; Direct For Mathematical &amp; Physical Scien; Division Of Astronomical Sciences [1255358] Funding Source: National Science Foundation; Division Of Astronomical Sciences; Direct For Mathematical &amp; Physical Scien [1836010, 1056465] Funding Source: National Science Foundation</t>
  </si>
  <si>
    <t>National Science Foundation(National Science Foundation (NSF)); Keck Foundation(W.M. Keck Foundation); JPL Research and Technology Development Fund; NASA(National Aeronautics &amp; Space Administration (NASA)); Gordon and Betty Moore Foundation at Caltech(Gordon and Betty Moore Foundation); Canada Foundation for Innovation grant(Canada Foundation for Innovation); Department of Energy(United States Department of Energy (DOE)); FAS Science Division Research Computing Group at Harvard University; STFC(UK Research &amp; Innovation (UKRI)Science &amp; Technology Facilities Council (STFC)); Direct For Mathematical &amp; Physical Scien; Division Of Astronomical Sciences(National Science Foundation (NSF)NSF - Directorate for Mathematical &amp; Physical Sciences (MPS)); Division Of Astronomical Sciences; Direct For Mathematical &amp; Physical Scien(National Science Foundation (NSF)NSF - Directorate for Mathematical &amp; Physical Sciences (MPS))</t>
  </si>
  <si>
    <t>Bicep/Keck Array project (including Bicep2 Bicep3 and Bicep Array) have been made possible through a series of grants from the National Science Foundation (including 0742818, 0742592, 1044978, 1110087, 1145172, 1145143, 1145248, 1639040, 1638957, 1638978, 1638970, 1726917, 1313010, 1313062, 1313158, 1313287, 0960243, 1836010, 1056465, 1255358) and by the Keck Foundation. The development of antenna-coupled detector technology was supported by the JPL Research and Technology Development Fund and NASA Grants 06-ARPA2060040, 10-SAT10-0017, 12-SAT12-0031, 14-SAT14-0009, 16-SAT16-0002, &amp; 18-SAT18-0017. The development and testing of focal planes were supported by the Gordon and Betty Moore Foundation at Caltech. Readout electronics were supported by a Canada Foundation for Innovation grant to UBC. The computations in this paper were run on the Odyssey cluster supported by the FAS Science Division Research Computing Group at Harvard University. The analysis effort at Stanford and SLAC was partially supported by the Department of Energy, Contract DE-AC02-76SF00515. We thank the staff of the U.S. Antarctic Program and in particular the South Pole Station without whose help this research would not have been possible. Tireless administrative support was provided by Kathy Deniston, Sheri Stoll, Irene Coyle, Donna Hernandez, and Dana Volponi.</t>
  </si>
  <si>
    <t>10.1117/12.2561995</t>
  </si>
  <si>
    <t>Green Accepted, Green Submitted</t>
  </si>
  <si>
    <t>WOS:000850905600018</t>
  </si>
  <si>
    <t>Shaw, EC; Ade, PAR; Akers, S; Amiri, M; Austermann, J; Beall, J; Becker, DT; Benton, SJ; Bergman, AS; Bock, JJ; Bond, JR; Bryan, SA; Chiang, HC; Contaldi, CR; Domagalski, RS; Doré, O; Duff, SM; Duivenvoorden, AJ; Eriksen, HK; Farhang, M; Filippini, JP; Fissel, LM; Fraisse, AA; Freese, K; Galloway, M; Gambrel, AE; Gandilo, NN; Ganga, K; Grigorian, A; Gualtieri, R; Gudmundsson, JE; Halpern, M; Hartley, J; Hasselfield, M; Hilton, G; Holmes, W; Hristov, VV; Huang, Z; Hubmayr, J; Irwin, KD; Jones, WC; Kahn, A; Kuo, CL; Kermish, ZD; Lennox, A; Leung, JSY; Li, S; Mason, PV; Megerian, K; Mocanu, LM; Moncelsi, L; Morford, TA; Nagy, JM; Nie, R; Netterfield, CB; Nolta, M; Osherson, B; Padilla, IL; Rahlin, AS; Redmond, S; Reintsemae, C; Romualdez, LJ; Ruhl, JE; Runyan, MC; Shariff, JA; Shiu, C; Soler, JD; Song, X; Thommesen, H; Trangsrud, A; Tucker, C; Tucker, RS; Turner, AD; Ullom, J; van der List, JF; Van Lanen, J; Vissers, MR; Weber, AC; Wen, S; Wehus, IK; Wiebe, DV; Young, EY</t>
  </si>
  <si>
    <t>Shaw, E. C.; Ade, P. A. R.; Akers, S.; Amiri, M.; Austermann, J.; Beall, J.; Becker, D. T.; Benton, S. J.; Bergman, A. S.; Bock, J. J.; Bond, J. R.; Bryan, S. A.; Chiang, H. C.; Contaldi, C. R.; Domagalski, R. S.; Dore, O.; Duff, S. M.; Duivenvoorden, A. J.; Eriksen, H. K.; Farhang, M.; Filippini, J. P.; Fissel, L. M.; Fraisse, A. A.; Freese, K.; Galloway, M.; Gambrel, A. E.; Gandilo, N. N.; Ganga, K.; Grigorian, A.; Gualtieri, R.; Gudmundsson, J. E.; Halpern, M.; Hartley, J.; Hasselfield, M.; Hilton, G.; Holmes, W.; Hristov, V. V.; Huang, Z.; Hubmayr, J.; Irwin, K. D.; Jones, W. C.; Kahn, A.; Kuo, C. L.; Kermish, Z. D.; Lennox, A.; Leung, J. S-Y; Li, S.; Mason, P., V; Megerian, K.; Mocanu, L. M.; Moncelsi, L.; Morford, T. A.; Nagy, J. M.; Nie, R.; Netterfield, C. B.; Nolta, M.; Osherson, B.; Padilla, I. L.; Rahlin, A. S.; Redmond, S.; Reintsemae, C.; Romualdez, L. J.; Ruhl, J. E.; Runyan, M. C.; Shariff, J. A.; Shiu, C.; Soler, J. D.; Song, X.; Thommesen, H.; Trangsrud, A.; Tucker, C.; Tucker, R. S.; Turner, A. D.; Ullom, J.; van der List, J. F.; Van Lanen, J.; Vissers, M. R.; Weber, A. C.; Wen, S.; Wehus, I. K.; Wiebe, D., V; Young, E. Y.</t>
  </si>
  <si>
    <t>Design and pre-flight performance of SPIDER 280 GHz receivers</t>
  </si>
  <si>
    <t>SPIDER; cosmic microwave background; polarization; transition-edge sensor; scientific instrumentation; millimeter wave instrumentation; cosmology; scientific ballooning</t>
  </si>
  <si>
    <t>MILLIMETER</t>
  </si>
  <si>
    <t>In this work we describe upgrades to the SPIDER balloon-borne telescope in preparation for its second flight, currently planned for December 2021. The SPIDER instrument is optimized to search for a primordial B-mode polarization signature in the cosmic microwave background at degree angular scales. During its first flight in 2015, SPIDER mapped similar to 10% of the sky at 95 and 150 GHz. The payload for the second Antarctic flight will incorporate three new 280 GHz receivers alongside three refurbished 95- and 150 GHz receivers from SPIDER'S first flight. In this work we discuss the design and characterization of these new receivers, which employ over 1500 feedhorn-coupled transition-edge sensors. We describe pre-flight laboratory measurements of detector properties, and the optical performance of completed receivers. These receivers will map a wide area of the sky at 280 GHz, providing new information on polarized Galactic dust emission that will help to separate it from the cosmological signal.</t>
  </si>
  <si>
    <t>[Shaw, E. C.; Filippini, J. P.; Kahn, A.; Lennox, A.; Nie, R.; Osherson, B.] Univ Illinois, Dept Phys, Urbana, IL 61801 USA; [Ade, P. A. R.; Tucker, C.] Cardiff Univ, Sch Phys &amp; Astron, Cardiff, Wales; [Akers, S.; Ruhl, J. E.; Wen, S.] Case Western Reserve Univ, Dept Phys, Cleveland, OH 44106 USA; [Amiri, M.; Halpern, M.; Wiebe, D., V] Univ British Columbia, Dept Phys &amp; Astron, Vancouver, BC, Canada; [Austermann, J.; Beall, J.; Becker, D. T.; Duff, S. M.; Grigorian, A.; Hilton, G.; Hubmayr, J.; Reintsemae, C.; Ullom, J.; Van Lanen, J.; Vissers, M. R.] NIST, Boulder, CO USA; [Benton, S. J.; Bergman, A. S.; Duivenvoorden, A. J.; Fraisse, A. A.; Jones, W. C.; Kermish, Z. D.; Li, S.; Shiu, C.; Song, X.; van der List, J. F.] Princeton Univ, Dept Phys, Princeton, NJ 08544 USA; [Bock, J. J.; Dore, O.; Hristov, V. V.; Mason, P., V; Moncelsi, L.; Morford, T. A.; Trangsrud, A.; Tucker, R. S.] CALTECH, Div Phys Math &amp; Astron, Pasadena, CA 91125 USA; [Bock, J. J.; Dore, O.; Holmes, W.; Megerian, K.; Runyan, M. C.; Trangsrud, A.; Turner, A. D.; Weber, A. C.] Jet Prop Lab, Pasadena, CA USA; [Bond, J. R.; Huang, Z.; Nolta, M.; Shariff, J. A.] Univ Toronto, Canadian Inst Theoret Astrophys, Toronto, ON, Canada; [Bryan, S. A.] Arizona State Univ, Sch Elect Comp &amp; Energy Engn, Tempe, AZ USA; [Chiang, H. C.] McGill Univ, Dept Phys, Montreal, PQ, Canada; [Contaldi, C. R.] Imperial Coll London, Blackett Lab, London, England; [Domagalski, R. S.; Gandilo, N. N.; Hartley, J.; Leung, J. S-Y; Netterfield, C. B.] Univ Toronto, Dept Astron &amp; Astrophys, Toronto, ON, Canada; [Eriksen, H. K.; Galloway, M.; Mocanu, L. M.; Thommesen, H.; Wehus, I. K.] Univ Oslo, Inst Theoret Astrophys, Oslo, Norway; [Farhang, M.] Shahid Beheshti Univ, Dept Phys, Tehran, Iran; [Filippini, J. P.] Univ Illinois, Dept Astron, Urbana, IL USA; [Fissel, L. M.] Queens Univ, Dept Phys Engn Phys &amp; Astron, Kingston, ON, Canada; [Freese, K.] Univ Texas Austin, Dept Phys, Austin, TX 78712 USA; [Freese, K.; Gudmundsson, J. E.] Stockholm Univ, Oskar Klein Ctr Cosmoparticle Phys, Dept Phys, SE-10691 Stockholm, Sweden; [Gambrel, A. E.; Rahlin, A. S.] Univ Chicago, Kavli Inst Cosmol Phys, Chicago, IL 60637 USA; [Ganga, K.] Univ Paris, CNRS, AstroParticule &amp; Cosmol, F-75013 Paris, France; [Gualtieri, R.] Argonne Natl Lab, HEP, Lemont, IL USA; [Hasselfield, M.] Penn State Univ, Dept Astron &amp; Astrophys, University, PA USA; [Irwin, K. D.; Kuo, C. L.; Young, E. Y.] Stanford Univ, Dept Phys, Stanford, CA 94305 USA; [Irwin, K. D.] SLAC Natl Accelerator Lab, Menlo Pk, CA USA; [Leung, J. S-Y; Netterfield, C. B.] Univ Toronto, Dunlap Inst Astron &amp; Astrophys, Toronto, ON M55 3H4, Canada; [Nagy, J. M.] Washington Univ, Dept Phys, St Louis, MO 63130 USA; [Nagy, J. M.] Washington Univ, McDonnell Ctr Space Sci, St Louis, MO 63110 USA; [Netterfield, C. B.; Padilla, I. L.] Univ Toronto, Dept Phys, Toronto, ON, Canada; [Padilla, I. L.] Johns Hopkins Univ, Dept Phys &amp; Astron, Baltimore, MD USA; [Rahlin, A. S.] Fermilab Natl Accelerator Lab, POB 500, Batavia, IL 60510 USA; [Redmond, S.] Princeton Univ, Dept Mech &amp; Aerosp Engn, Princeton, NJ 08544 USA; [Romualdez, L. J.] Univ Toronto, Inst Aerosp Studies, Toronto, ON, Canada; [Soler, J. D.] Max Planck Inst Astron, Heidelberg, Germany; [Soler, J. D.] Univ Paris Diderot, CNRS, CEA IRFU SAp, Lab AIM,Paris Saclay, F-91191 Gif Sur Yvette, France; [Young, E. Y.] Kavli Inst Particle Astrophys &amp; Cosmol, Menlo Pk, CA USA</t>
  </si>
  <si>
    <t>University of Illinois System; University of Illinois Urbana-Champaign; Cardiff University; University System of Ohio; Case Western Reserve University; University of British Columbia; National Institute of Standards &amp; Technology (NIST) - USA; Princeton University; California Institute of Technology; National Aeronautics &amp; Space Administration (NASA); NASA Jet Propulsion Laboratory (JPL); University of Toronto; Arizona State University; Arizona State University-Tempe; McGill University; Imperial College London; University of Toronto; University of Oslo; Shahid Beheshti University; University of Illinois System; University of Illinois Urbana-Champaign; Queens University - Canada; University of Texas System; University of Texas Austin; Stockholm University; Oskar Klein Centre; University of Chicago; Universite PSL; Observatoire de Paris; CEA; Centre National de la Recherche Scientifique (CNRS); Universite Paris Cite; United States Department of Energy (DOE); Argonne National Laboratory; Pennsylvania Commonwealth System of Higher Education (PCSHE); Pennsylvania State University; Stanford University; Stanford University; United States Department of Energy (DOE); SLAC National Accelerator Laboratory; University of Toronto; Washington University (WUSTL); Washington University (WUSTL); University of Toronto; Johns Hopkins University; United States Department of Energy (DOE); University of Chicago; Fermi National Accelerator Laboratory; Princeton University; University of Toronto; Max Planck Society; Universite Paris Saclay; CEA; Centre National de la Recherche Scientifique (CNRS); Universite Paris Cite</t>
  </si>
  <si>
    <t>Shaw, EC (corresponding author), Univ Illinois, Dept Phys, Urbana, IL 61801 USA.</t>
  </si>
  <si>
    <t>ecshaw2@illinois.edu</t>
  </si>
  <si>
    <t>Ruhl, John/HHS-2212-2022; Gualtieri, Riccardo/AAH-2961-2019; Huang, Zhiqi/JVN-7317-2024; Moncelsi, Lorenzo/AAU-1009-2020; jones, william C/AGJ-6132-2022</t>
  </si>
  <si>
    <t>Ruhl, John/0000-0001-5875-4751; Gualtieri, Riccardo/0000-0003-4245-2315; Huang, Zhiqi/0000-0002-1506-1063; Moncelsi, Lorenzo/0000-0002-4242-3015; jones, william C/0000-0002-3636-1241; Tucker, Carole/0000-0002-1851-3918; Leung, Jason/0000-0001-7116-3710; Li, Lun/0000-0002-8896-911X; Irwin, Kent/0000-0002-2998-9743; Duivenvoorden, Adri/0000-0003-2856-2382; Nagy, Johanna/0000-0002-2036-7008; Contaldi, Carlo/0000-0001-7285-0707; Galloway, Mathew/0000-0001-9279-137X</t>
  </si>
  <si>
    <t>National Aeronautics and Space Administration [NNX07AL64G, NNX12AE95G, NNX17AC55G]; National Science Foundation [PLR-1043515]; Natural Sciences and Engineering Research Council; Canadian Space Agency; Research Council of Norway; Swedish Research Council through the Oskar Klein Centre [638-2013-8993]; David Dunlap family; University of Toronto; Swedish Research Council [638-2013-8993]; U.S. Department of Energy [DE-SC007859]; Lucile Packard Foundation; STFC [ST/S00033X/1, ST/P000762/1, ST/N000838/1, ST/L00044X/1] Funding Source: UKRI</t>
  </si>
  <si>
    <t>National Aeronautics and Space Administration(National Aeronautics &amp; Space Administration (NASA)); National Science Foundation(National Science Foundation (NSF)); Natural Sciences and Engineering Research Council(Natural Sciences and Engineering Research Council of Canada (NSERC)); Canadian Space Agency(Canadian Space Agency); Research Council of Norway(Research Council of Norway); Swedish Research Council through the Oskar Klein Centre(Swedish Research Council); David Dunlap family; University of Toronto(University of Toronto); Swedish Research Council(Swedish Research Council); U.S. Department of Energy(United States Department of Energy (DOE)); Lucile Packard Foundation(The David &amp; Lucile Packard Foundation); STFC(UK Research &amp; Innovation (UKRI)Science &amp; Technology Facilities Council (STFC))</t>
  </si>
  <si>
    <t>Spider is supported in the U.S. by the National Aeronautics and Space Administration under grants NNX07AL64G, NNX12AE95G, and NNX17AC55G issued through the Science Mission Directorate and by the National Science Foundation through PLR-1043515. Logistical support for the Antarctic deployment and operations was provided by the NSF through the U.S. Antarctic Program. Support in Canada is provided by the Natural Sciences and Engineering Research Council and the Canadian Space Agency. Support in Norway is provided by the Research Council of Norway. Support in Sweden is provided by the Swedish Research Council through the Oskar Klein Centre (Contract No. 638-2013-8993). The Dunlap Institute is funded through an endowment established by the David Dunlap family and the University of Toronto. K.F. is Jeff &amp; Gail Kodosky Endowed Chair in Physics at the University of Texas at Austin and is grateful for support. K.F. acknowledges support by the Swedish Research Council (Contract No. 638-2013-8993) and from the U.S. Department of Energy, grant DE-SC007859. We also wish to acknowledge the generous support of the Lucile Packard Foundation, which has been crucial to the success of this project. The collaboration is grateful to the British Antarctic Survey, particularly Sam Burrell, for invaluable assistance with data and payload recovery after the 2015 ~ight. We thank Brendan Crill and Tom Montroy for significant contributions to Spider's development.</t>
  </si>
  <si>
    <t>114532F</t>
  </si>
  <si>
    <t>10.1117/12.2562941</t>
  </si>
  <si>
    <t>WOS:000850905600039</t>
  </si>
  <si>
    <t>St Germaine, T; Ade, PAR; Ahmed, Z; Amiri, M; Barkats, D; Thakur, RB; Bischoff, CA; Bock, JJ; Boenish, H; Bullock, E; Buza, V; Cheshire, JR; Connors, JA; Cornelison, J; Crumrine, M; Cukierman, A; Denison, E; Dierickx, M; Duband, L; Eiben, M; Fatigoni, S; Filippini, JP; Fliescher, S; Goeckner-Wald, N; Goldfinger, DC; Grayson, JA; Grimes, P; Hall, G; Halpern, M; Harrison, SA; Henderson, S; Hildebrandt, SR; Hilton, GC; Hubmayr, J; Hui, H; Irwin, KD; Kang, J; Karkare, KS; Karpel, E; Kefeli, S; Kernasovskiy, SA; Kovac, JM; Kuo, CL; Lau, K; Leitch, EM; Megerian, KG; Minutolo, L; Moncelsi, L; Nakato, Y; Namikawa, T; Nguyen, HT; O'Brient, R; Ogburn, RW; Palladino, S; Precup, N; Prouve, T; Pryke, C; Racine, B; Reintsema, CD; Richter, S; Schillaci, A; Schmitt, BL; Schwarz, R; Sheehy, CD; Soliman, A; Steinbach, B; Sudiwala, R; Teply, GP; Thompson, KL; Tolan, JE; Tucker, C; Turner, AD; Umiltà, C; Vieregg, AG; Wandui, A; Weber, AC; Wiebe, DV; Willmert, J; Wong, CL; Wu, WLK; Yang, E; Yoon, KW; Young, E; Yu, C; Zeng, L; Zhang, C; Zhang, S</t>
  </si>
  <si>
    <t>St Germaine, T.; Ade, P. A. R.; Ahmed, Z.; Amiri, M.; Barkats, D.; Thakur, R. Basu; Bischoff, C. A.; Bock, J. J.; Boenish, H.; Bullock, E.; Buza, V; Cheshire, J. R.; Connors, J. A.; Cornelison, J.; Crumrine, M.; Cukierman, A.; Denison, E.; Dierickx, M.; Duband, L.; Eiben, M.; Fatigoni, S.; Filippini, J. P.; Fliescher, S.; Goeckner-Wald, N.; Goldfinger, D. C.; Grayson, J. A.; Grimes, P.; Hall, G.; Halpern, M.; Harrison, S. A.; Henderson, S.; Hildebrandt, S. R.; Hilton, G. C.; Hubmayr, J.; Hui, H.; Irwin, K. D.; Kang, J.; Karkare, K. S.; Karpel, E.; Kefeli, S.; Kernasovskiy, S. A.; Kovac, J. M.; Kuo, C. L.; Lau, K.; Leitch, E. M.; Megerian, K. G.; Minutolo, L.; Moncelsi, L.; Nakato, Y.; Namikawa, T.; Nguyen, H. T.; O'Brient, R.; Ogburn, R. W.; Palladino, S.; Precup, N.; Prouve, T.; Pryke, C.; Racine, B.; Reintsema, C. D.; Richter, S.; Schillaci, A.; Schmitt, B. L.; Schwarz, R.; Sheehy, C. D.; Soliman, A.; Steinbach, B.; Sudiwala, R.; Teply, G. P.; Thompson, K. L.; Tolan, J. E.; Tucker, C.; Turner, A. D.; Umilta, C.; Vieregg, A. G.; Wandui, A.; Weber, A. C.; Wiebe, D., V; Willmert, J.; Wong, C. L.; Wu, W. L. K.; Yang, E.; Yoon, K. W.; Young, E.; Yu, C.; Zeng, L.; Zhang, C.; Zhang, S.</t>
  </si>
  <si>
    <t>Analysis of Temperature-to-Polarization Leakage in BICEP3 and Keck CMB Data from 2016 to 2018</t>
  </si>
  <si>
    <t>Inflation; Gravitational waves; Cosmic microwave background; Polarization; BICEP; Keck Array</t>
  </si>
  <si>
    <t>The BICEP/Keck Array experiment is a series of small-aperture refracting telescopes observing degree-scale Cosmic Microwave Background polarization from the South Pole in search of a primordial B-mode signature. As a pair differencing experiment, an important systematic that must be controlled is the differential beam response between the co-located, orthogonally polarized detectors. We use high-fidelity, in-situ measurements of the beam response to estimate the temperature-to-polarization (T -&gt; P) leakage in our latest data including observations from 2016 through 2018. This includes three years of BICEP3 observing at 95 GHz, and multifrequency data from Keck Array. Here we present band-averaged far-field beam maps, differential beam mismatch, and residual beam power (after filtering out the leading difference modes via deprojection) for these receivers. We show preliminary results of beam map simulations, which use these beam maps to observe a simulated temperature (no Q/U) sky to estimate T -&gt; P leakage in our real data.</t>
  </si>
  <si>
    <t>[St Germaine, T.; Barkats, D.; Boenish, H.; Cornelison, J.; Dierickx, M.; Eiben, M.; Goldfinger, D. C.; Grimes, P.; Harrison, S. A.; Kovac, J. M.; Racine, B.; Richter, S.; Schmitt, B. L.; Wong, C. L.; Zeng, L.] Harvard &amp; Smithsonian, Ctr Astrophys, Cambridge, MA 02138 USA; [St Germaine, T.; Kovac, J. M.; Wong, C. L.] Harvard Univ, Dept Phys, Cambridge, MA 02138 USA; [Ade, P. A. R.; Sudiwala, R.; Tucker, C.] Cardiff Univ, Sch Phys &amp; Astron, Cardiff CF24 3AA, Wales; [Ahmed, Z.; Cukierman, A.; Henderson, S.; Irwin, K. D.; Kuo, C. L.; Wu, W. L. K.; Yoon, K. W.; Young, E.] SLAC Natl Accelerator Lab, 2575 Sand Hill Rd, Menlo Pk, CA 94025 USA; [Ahmed, Z.; Cukierman, A.; Goeckner-Wald, N.; Henderson, S.; Irwin, K. D.; Kuo, C. L.; Thompson, K. L.; Wu, W. L. K.; Yoon, K. W.; Young, E.] Stanford Univ, Kavli Inst Particle Astrophys &amp; Cosmol, 452 Lomita Mall, Stanford, CA 94305 USA; [Amiri, M.; Fatigoni, S.; Halpern, M.; Wiebe, D., V] Univ British Columbia, Dept Phys &amp; Astron, Vancouver, BC V6T 1Z1, Canada; [Barkats, D.] Inst Laue Langevin, F-38042 Grenoble 9, France; [Thakur, R. Basu; Bock, J. J.; Hildebrandt, S. R.; Hui, H.; Kang, J.; Kefeli, S.; Minutolo, L.; Moncelsi, L.; Nguyen, H. T.; O'Brient, R.; Schillaci, A.; Soliman, A.; Steinbach, B.; Wandui, A.; Zhang, C.; Zhang, S.] CALTECH, Dept Phys, Pasadena, CA 91125 USA; [Bischoff, C. A.; Palladino, S.] Univ Cincinnati, Dept Phys, Cincinnati, OH 45221 USA; [Bock, J. J.; Hildebrandt, S. R.; Megerian, K. G.; Nguyen, H. T.; O'Brient, R.; Turner, A. D.; Weber, A. C.] Jet Prop Lab, Pasadena, CA 91109 USA; [Bullock, E.; Pryke, C.; Sheehy, C. D.] Univ Minnesota, Minnesota Inst Astrophys, Minneapolis, MN 55455 USA; [Buza, V; Karkare, K. S.; Leitch, E. M.; Vieregg, A. G.] Univ Chicago, Kavli Inst Cosmol Phys, Chicago, IL 60637 USA; [Cheshire, J. R.; Crumrine, M.; Fliescher, S.; Hall, G.; Lau, K.; Nakato, Y.; Precup, N.; Pryke, C.; Schwarz, R.; Willmert, J.] Univ Minnesota, Sch Phys &amp; Astron, Minneapolis, MN 55455 USA; [Connors, J. A.; Denison, E.; Hilton, G. C.; Hubmayr, J.; Irwin, K. D.; Reintsema, C. D.] NIST, Boulder, CO 80305 USA; [Cukierman, A.; Goeckner-Wald, N.; Grayson, J. A.; Irwin, K. D.; Kang, J.; Karpel, E.; Kernasovskiy, S. A.; Kuo, C. L.; Ogburn, R. W.; Thompson, K. L.; Tolan, J. E.; Wu, W. L. K.; Yang, E.; Yoon, K. W.; Young, E.; Yu, C.] Stanford Univ, Dept Phys, Stanford, CA 94305 USA; [Duband, L.; Prouve, T.] Commissariat Energie Atom, Serv Basses Temp, F-38054 Grenoble, France; [Filippini, J. P.; Umilta, C.] Univ Illinois, Dept Phys, Urbana, IL 61801 USA; [Filippini, J. P.; Umilta, C.] Univ Illinois, Dept Astron, Urbana, IL 61801 USA; [Namikawa, T.] Univ Cambridge, Dept Appl Math &amp; Theoret Phys, Cambridge CB3 0WA, England; [Teply, G. P.] Univ Calif San Diego, Dept Phys, La Jolla, CA 92093 USA</t>
  </si>
  <si>
    <t>Smithsonian Institution; Harvard University; Cardiff University; Stanford University; United States Department of Energy (DOE); SLAC National Accelerator Laboratory; Stanford University; University of British Columbia; Institut Laue-Langevin (ILL); California Institute of Technology; University System of Ohio; University of Cincinnati; National Aeronautics &amp; Space Administration (NASA); NASA Jet Propulsion Laboratory (JPL); University of Minnesota System; University of Minnesota Twin Cities; University of Chicago; University of Minnesota System; University of Minnesota Twin Cities; National Institute of Standards &amp; Technology (NIST) - USA; Stanford University; CEA; Communaute Universite Grenoble Alpes; Universite Grenoble Alpes (UGA); University of Illinois System; University of Illinois Urbana-Champaign; University of Illinois System; University of Illinois Urbana-Champaign; University of Cambridge; University of California System; University of California San Diego</t>
  </si>
  <si>
    <t>St Germaine, T (corresponding author), Harvard &amp; Smithsonian, Ctr Astrophys, Cambridge, MA 02138 USA.</t>
  </si>
  <si>
    <t>stgermaine@g.harvard.edu</t>
  </si>
  <si>
    <t>Zeng, Lingzhen/V-4602-2019; Moncelsi, Lorenzo/AAU-1009-2020; sun, huan/JEO-7152-2023; Chen, Shuo/JEO-6350-2023; Nguyễn, Hương/JUV-6128-2023; Nguyen, H.T/AAG-1974-2021</t>
  </si>
  <si>
    <t>Zeng, Lingzhen/0000-0001-6924-9072; Moncelsi, Lorenzo/0000-0002-4242-3015; Nguyen, H.T/0000-0001-5580-2877; Dierickx, Marion/0000-0002-3519-8593; Tucker, Carole/0000-0002-1851-3918; Racine, Benjamin/0000-0001-8861-3052; Hui, Howard/0000-0001-5812-1903; Lau, King/0000-0002-6445-2407; Namikawa, Toshiya/0000-0003-3070-9240; Cheshire, James/0000-0002-1630-7854; Kang, Jae Hwan/0000-0002-3470-2954; Irwin, Kent/0000-0002-2998-9743; Grimes, Paul/0000-0001-9292-6297; Kovac, John/0009-0003-5432-7180; Schillaci, Alessandro/0000-0002-0512-1042; Ahmed, Zeeshan/0000-0002-9957-448X</t>
  </si>
  <si>
    <t>National Science Foundation [0742818, 0742592, 1044978, 1110087, 1145172, 1145143, 1145248, 1639040, 1638957, 1638978, 1638970, 1726917, 1313010, 1313062, 1313158, 1313287, 0960243, 1836010, 1056465, 1255358]; Keck Foundation; JPL Research and Technology Development Fund; NASA [06-ARPA2060040, 10-SAT10-0017, 12-SAT12-0031, 14-SAT14-0009, 16-SAT16-0002, 18-SAT18-0017]; Gordon and Betty Moore Foundation at Caltech; Department of Energy [DE-AC02-76SF00515]; STFC [ST/S00033X/1] Funding Source: UKRI; Division Of Astronomical Sciences; Direct For Mathematical &amp; Physical Scien [1836010, 1255358, 1056465] Funding Source: National Science Foundation</t>
  </si>
  <si>
    <t>National Science Foundation(National Science Foundation (NSF)); Keck Foundation(W.M. Keck Foundation); JPL Research and Technology Development Fund; NASA(National Aeronautics &amp; Space Administration (NASA)); Gordon and Betty Moore Foundation at Caltech(Gordon and Betty Moore Foundation); Department of Energy(United States Department of Energy (DOE)); STFC(UK Research &amp; Innovation (UKRI)Science &amp; Technology Facilities Council (STFC)); Division Of Astronomical Sciences; Direct For Mathematical &amp; Physical Scien(National Science Foundation (NSF)NSF - Directorate for Mathematical &amp; Physical Sciences (MPS))</t>
  </si>
  <si>
    <t>114532E</t>
  </si>
  <si>
    <t>10.1117/12.2562729</t>
  </si>
  <si>
    <t>WOS:000850905600038</t>
  </si>
  <si>
    <t>Siegelman, L; Klein, P; Riviere, P; Thompson, AF; Torres, HS; Flexas, M; Menemenlis, D</t>
  </si>
  <si>
    <t>Siegelman, Lia; Klein, Patrice; Riviere, Pascal; Thompson, Andrew F.; Torres, Hector S.; Flexas, Mar; Menemenlis, Dimitris</t>
  </si>
  <si>
    <t>Enhanced upward heat transport at deep submesoscale ocean fronts</t>
  </si>
  <si>
    <t>NATURE GEOSCIENCE</t>
  </si>
  <si>
    <t>SIZE LYAPUNOV EXPONENTS; BAROCLINIC INSTABILITY; SEA; MESOSCALE; ALTIMETRY; RESTRATIFICATION</t>
  </si>
  <si>
    <t>The ocean is the largest solar energy collector on Earth. The amount of heat it can store is modulated by its complex circulation, which spans a broad range of spatial scales, from metres to thousands of kilometres. In the classical paradigm, fine oceanic scales, less than 20 km in size, are thought to drive a significant downward heat transport from the surface to the ocean interior, which increases oceanic heat uptake. Here we use a combination of satellite and in situ observations in the Antarctic Circumpolar Current to diagnose oceanic vertical heat transport. The results explicitly demonstrate how deep-reaching submesoscale fronts, with a size smaller than 20 km, are generated by mesoscale eddies of size 50-300 km. In contrast to the classical paradigm, these submesoscale fronts are shown to drive an anomalous upward heat transport from the ocean interior back to the surface that is larger than other contributions to vertical heat transport and of comparable magnitude to air-sea fluxes. This effect can remarkably alter the oceanic heat uptake and will be strongest in eddy-rich regions, such as the Antarctic Circumpolar Current, the Kuroshio Extension and the Gulf Stream, all of which are key players in the climate system.</t>
  </si>
  <si>
    <t>[Siegelman, Lia; Klein, Patrice; Thompson, Andrew F.; Flexas, Mar] CALTECH, Environm Sci &amp; Engn, Pasadena, CA 91125 USA; [Siegelman, Lia; Klein, Patrice; Torres, Hector S.; Menemenlis, Dimitris] CALTECH, Jet Prop Lab, Pasadena, CA 91125 USA; [Siegelman, Lia; Riviere, Pascal] Univ Brest, CNRS, IFREMER, IRD,LEMAR, Plouzane, France; [Klein, Patrice] Univ Brest, CNRS, IFREMER, IRD,LOPS, Plouzane, France</t>
  </si>
  <si>
    <t>California Institute of Technology; California Institute of Technology; National Aeronautics &amp; Space Administration (NASA); NASA Jet Propulsion Laboratory (JPL); Centre National de la Recherche Scientifique (CNRS); Ifremer; Institut de Recherche pour le Developpement (IRD); Universite de Bretagne Occidentale; Centre National de la Recherche Scientifique (CNRS); Institut de Recherche pour le Developpement (IRD); Ifremer; Universite de Bretagne Occidentale</t>
  </si>
  <si>
    <t>Siegelman, L (corresponding author), CALTECH, Environm Sci &amp; Engn, Pasadena, CA 91125 USA.;Siegelman, L (corresponding author), CALTECH, Jet Prop Lab, Pasadena, CA 91125 USA.;Siegelman, L (corresponding author), Univ Brest, CNRS, IFREMER, IRD,LEMAR, Plouzane, France.</t>
  </si>
  <si>
    <t>lsiegelman@caltech.edu</t>
  </si>
  <si>
    <t>Klein, Patrice/M-4279-2015; Torres, Héctor/GXG-1780-2022; Menemenlis, Dimitris/G-8091-2017; Flexas, Mar/GOV-3308-2022</t>
  </si>
  <si>
    <t>Klein, Patrice/0000-0002-3089-3896; Menemenlis, Dimitris/0000-0001-9940-8409; Flexas, Mar/0000-0002-0617-3004</t>
  </si>
  <si>
    <t>SNO-MEMO; CNES-TOSCA project; French Polar Institute [109, 1201]; National Aeronautics and Space Administration (NASA); CNES (OSTST-OSIW); Laboratoire d'Excellence LabexMER [ANR-10-LABX-19]; CNES-Region Bretagne doctoral grant; NASA-CNES SWOT mission; NASA Senior NPP Fellowship; David and Lucille Packard Foundation; NASA [NNX16AG42G, NNX15AG42G]; NASA [905005, NNX16AG42G, 803355, NNX15AG42G] Funding Source: Federal RePORTER</t>
  </si>
  <si>
    <t>SNO-MEMO; CNES-TOSCA project; French Polar Institute; National Aeronautics and Space Administration (NASA)(National Aeronautics &amp; Space Administration (NASA)); CNES (OSTST-OSIW); Laboratoire d'Excellence LabexMER; CNES-Region Bretagne doctoral grant; NASA-CNES SWOT mission; NASA Senior NPP Fellowship; David and Lucille Packard Foundation(The David &amp; Lucile Packard Foundation); NASA(National Aeronautics &amp; Space Administration (NASA)); NASA(National Aeronautics &amp; Space Administration (NASA))</t>
  </si>
  <si>
    <t>We thank K. Richards for his insightful comments, F. d'Ovidio for providing the code to compute FSLE. The elephant seal work was supported as part of the SNO-MEMO and by the CNES-TOSCA project Elephant seals as Oceanographic Samplers of submesoscale features led by C. Guinet with support of the French Polar Institute (programmes 109 and 1201). This research was carried out, in part, at the Jet Propulsion Laboratory, California Institute of Technology, under a contract with the National Aeronautics and Space Administration (NASA). High-end computing resources for the numerical simulation were provided by the NASA Advanced Supercomputing Division at the Ames Research Center. This work was partly funded by the CNES (OSTST-OSIW) and the Laboratoire d'Excellence LabexMER (ANR-10-LABX-19). L.S. is a NASA-JVSRP affiliate and is supported by a joint CNES-Region Bretagne doctoral grant. P.K. is supported by the NASA-CNES SWOT mission and a NASA Senior NPP Fellowship. A.F.T. is supported by the David and Lucille Packard Foundation and NASA grant NNX16AG42G. M.F. is supported by NASA grant NNX15AG42G.</t>
  </si>
  <si>
    <t>NATURE RESEARCH</t>
  </si>
  <si>
    <t>BERLIN</t>
  </si>
  <si>
    <t>HEIDELBERGER PLATZ 3, BERLIN, 14197, GERMANY</t>
  </si>
  <si>
    <t>1752-0894</t>
  </si>
  <si>
    <t>1752-0908</t>
  </si>
  <si>
    <t>NAT GEOSCI</t>
  </si>
  <si>
    <t>Nat. Geosci.</t>
  </si>
  <si>
    <t>+</t>
  </si>
  <si>
    <t>10.1038/s41561-019-0489-1</t>
  </si>
  <si>
    <t>Geosciences, Multidisciplinary</t>
  </si>
  <si>
    <t>Geology</t>
  </si>
  <si>
    <t>KI8OX</t>
  </si>
  <si>
    <t>WOS:000511618700013</t>
  </si>
  <si>
    <t>Strong, K; Simpson, WR; Bognar, K; Lindenmaier, R; Roche, S</t>
  </si>
  <si>
    <t>Kokhanovsky, A; Tomasi, C</t>
  </si>
  <si>
    <t>Strong, Kimberly; Simpson, William R.; Bognar, Kristof; Lindenmaier, Rodica; Roche, Sebastien</t>
  </si>
  <si>
    <t>Trace Gases in the Arctic Atmosphere</t>
  </si>
  <si>
    <t>PHYSICS AND CHEMISTRY OF THE ARCTIC ATMOSPHERE</t>
  </si>
  <si>
    <t>Springer Polar Sciences</t>
  </si>
  <si>
    <t>Arctic atmospheric composition; Arctic air quality; Greenhouse gases; Carbon cycle; Tropospheric ozone; Halogen chemistry; Bromine explosion events; Stratospheric ozone depletion and recovery; Dynamical and chemical processes in the Arctic stratosphere</t>
  </si>
  <si>
    <t>OZONE DEPLETION EVENTS; TOTAL REACTIVE NITROGEN; SEA-SALT AEROSOLS; TROPOSPHERIC EMISSION SPECTROMETER; ANTARCTIC SPRING STRATOSPHERE; BROMINE EXPLOSION EVENT; LONG-RANGE TRANSPORT; SURFACE OZONE; BOUNDARY-LAYER; CARBON-DIOXIDE</t>
  </si>
  <si>
    <t>The Arctic atmosphere is coupled to lower latitudes, both as a receptor for global pollution and as a driver for the global climate system. Arctic atmospheric composition is variable and changing, making measurements of trace gas concentrations essential for understanding atmospheric processes. The atmospheric concentrations of carbon dioxide (CO2) and methane in the Arctic are increasing in concert with global trends. Meanwhile, the Arctic represents up to 25% of the global land carbon sink and the Arctic Ocean accounts for 10-12% of the global ocean CO2 sink. The Arctic thus has a strong influence on the global carbon cycle, while also responding more strongly to changes in climate than do mid-latitude regions. However, many processes that lead to carbon emissions and exchange in the Arctic are poorly understood and the region is sparsely sampled, resulting in large uncertainties in the quantification of carbon stocks, sources, and sinks. The Arctic experiences poor air quality due to local sources and transport from diverse mid-latitude emission sources such as wildfires. The springtime Arctic troposphere frequently experiences ozone depletion episodes that are linked to surface-based production of reactive halogen species that then deplete ozone, particularly associated with bromine explosions. A major source of bromine in the Arctic is sea salt, but the importance of blowing snow and the mechanisms involved in the heterogeneous bromine release are the focus of ongoing research. In the stratosphere, springtime ozone depletion continues in the Arctic, with significant interannual variability driven by atmospheric dynamics, transport, and temperature. Ozone recovery is anticipated due to reduction of chlorofluorocarbons under the Montreal Protocol and its Amendments, but there are uncertainties due to coupling between stratospheric chemistry and climate. This chapter provides a review of the trace gas composition of the Arctic atmosphere. It surveys our current knowledge and discusses outstanding questions, with a focus on tropospheric ozone and halogens, greenhouse gases, and the stratosphere.</t>
  </si>
  <si>
    <t>[Strong, Kimberly; Bognar, Kristof; Lindenmaier, Rodica; Roche, Sebastien] Univ Toronto, Dept Phys, Toronto, ON, Canada; [Simpson, William R.] Univ Alaska Fairbanks, Dept Chem, Biochem, Fairbanks, AK USA; [Simpson, William R.] Univ Alaska Fairbanks, Inst Geophys, Fairbanks, AK 99775 USA</t>
  </si>
  <si>
    <t>University of Toronto; University of Alaska System; University of Alaska Fairbanks; University of Alaska System; University of Alaska Fairbanks</t>
  </si>
  <si>
    <t>Strong, K (corresponding author), Univ Toronto, Dept Phys, Toronto, ON, Canada.</t>
  </si>
  <si>
    <t>strong@atmosp.physics.utoronto.ca; wrsimpson@alaska.edu; kbognar@atmosp.physics.utoronto.ca; sebastien.roche@mail.utoronto.ca</t>
  </si>
  <si>
    <t>Strong, Kimberly/D-2563-2012; Simpson, William R./I-2859-2014</t>
  </si>
  <si>
    <t>Bognar, Kristof/0000-0003-4619-2020</t>
  </si>
  <si>
    <t>University of Alaska Fairbanks</t>
  </si>
  <si>
    <t>Kimberly Strong and the co-authors of Chap. 3 from the University of Toronto would like to acknowledge the ongoing support from the Natural Sciences and Engineering Research Council of Canada (NSERC), the Canadian Space Agency (CSA), and Environment and Climate Change Canada (ECCC), as well as the many agencies who have supported the operation of the Polar Environment Atmospheric Research Laboratory (PEARL) by the Canadian Network for the Detection of Atmospheric Change (CANDAC). William Simpson (Chap. 3) acknowledges the support from the University of Alaska Fairbanks and ongoing support from NASA, NOAA, and NSF.</t>
  </si>
  <si>
    <t>SPRINGER INTERNATIONAL PUBLISHING AG</t>
  </si>
  <si>
    <t>CHAM</t>
  </si>
  <si>
    <t>GEWERBESTRASSE 11, CHAM, CH-6330, SWITZERLAND</t>
  </si>
  <si>
    <t>2510-0475</t>
  </si>
  <si>
    <t>2510-0483</t>
  </si>
  <si>
    <t>978-3-030-33566-3; 978-3-030-33565-6</t>
  </si>
  <si>
    <t>SPR POLAR SCI</t>
  </si>
  <si>
    <t>10.1007/978-3-030-33566-3_3</t>
  </si>
  <si>
    <t>10.1007/978-3-030-33566-3</t>
  </si>
  <si>
    <t>BR9TN</t>
  </si>
  <si>
    <t>WOS:000679977700004</t>
  </si>
  <si>
    <t>Cui, LH; Byun, MY; Oh, HG; Kim, SJ; Lee, J; Park, H; Lee, H; Kim, WT</t>
  </si>
  <si>
    <t>Cui, Li Hua; Byun, Mi Young; Oh, Hyeong Geun; Kim, Sung Jin; Lee, Jungeun; Park, Hyun; Lee, Hyoungseok; Kim, Woo Taek</t>
  </si>
  <si>
    <t>Poaceae Type II Galactinol Synthase 2 from Antarctic Flowering Plant Deschampsia antarctica and rice Improves Cold and Drought Tolerance by Accumulation of Raffinose Family Oligosaccharides in Transgenic Rice Plants</t>
  </si>
  <si>
    <t>PLANT AND CELL PHYSIOLOGY</t>
  </si>
  <si>
    <t>Antarctic flowering plant; Deschampsia antarctica; Cold and drought tolerance; Poaceae type II galactinol synthase; Raffinose family oligosaccharides; Transgenic rice plants</t>
  </si>
  <si>
    <t>CONSTITUTIVE EXPRESSION; STRESS TOLERANCE; GRAIN-YIELD; MYOINOSITOL; ACCLIMATION; GROWTH; GENES; OVEREXPRESSION; PROTECTION; RESPONSES</t>
  </si>
  <si>
    <t>Deschampsia antarctica is a Poaceae grass that has adapted to and colonized Antarctica. When D. antarctica plants were subjected to cold and dehydration stress both in the Antarctic field and in laboratory experiments, galactinol, a precursor of raffinose family oligosaccharides (RFOs) and raffinose were highly accumulated, which was accompanied by upregulation of galactinol synthase (GolS). The Poaceae monocots have a small family of GolS genes, which are divided into two distinct groups called types I and II. Type II GolSs are highly expanded in cold-adapted monocot plants. Transgenic rice plants, in which type II D. antarctica GolS2 (DaGolS2) and rice GolS2 (OsGolS2) were constitutively expressed, were markedly tolerant to cold and drought stress as compared to the wild-type rice plants. The RFO contents and GolS enzyme activities were higher in the DaGolS2 and OsGolS2-overexpressing progeny than in the wild-type plants under both normal and stress conditions. DaGolS2 and OsGolS2 overexpressors contained reduced levels of reactive oxygen species (ROS) relative to the wild-type plants after cold and drought treatments. Overall, these results suggest that Poaceae type II GolS2s play a conserved role in D. antarctica and rice in response to drought and cold stress by inducing the accumulation of RFO and decreasing ROS levels.</t>
  </si>
  <si>
    <t>[Cui, Li Hua; Oh, Hyeong Geun; Kim, Woo Taek] Yonsei Univ, Div Life Sci, Dept Syst Biol, Seoul 03722, South Korea; [Cui, Li Hua; Oh, Hyeong Geun; Kim, Woo Taek] Yonsei Univ, Inst Life Sci &amp; Biotechnol, Seoul 03722, South Korea; [Byun, Mi Young; Lee, Jungeun; Park, Hyun; Lee, Hyoungseok] Korea Polar Res Inst, Unit Polar Genom, Incheon 21990, South Korea; [Kim, Sung Jin] Korea Polar Res Inst, Div Life Sci, Incheon 21990, South Korea; [Lee, Jungeun; Park, Hyun; Lee, Hyoungseok] Univ Sci &amp; Technol, Polar Sci, Daejeon 34113, South Korea</t>
  </si>
  <si>
    <t>Yonsei University; Yonsei University; Korea Polar Research Institute (KOPRI); Korea Polar Research Institute (KOPRI); University of Science &amp; Technology (UST)</t>
  </si>
  <si>
    <t>Kim, WT (corresponding author), Yonsei Univ, Div Life Sci, Dept Syst Biol, Seoul 03722, South Korea.;Kim, WT (corresponding author), Yonsei Univ, Inst Life Sci &amp; Biotechnol, Seoul 03722, South Korea.;Lee, H (corresponding author), Korea Polar Res Inst, Unit Polar Genom, Incheon 21990, South Korea.;Lee, H (corresponding author), Univ Sci &amp; Technol, Polar Sci, Daejeon 34113, South Korea.</t>
  </si>
  <si>
    <t>soulaid@kopri.re.kr; wtkim@yonsei.ac.kr</t>
  </si>
  <si>
    <t>, Jungeun/0000-0002-6934-0199; Park, Hyun/0000-0002-8055-2010; Lee, Hyoungseok/0000-0002-5831-6345</t>
  </si>
  <si>
    <t>Polar Genomics 101 Project: Genome analysis of polar organisms and establishment of application platform - Korea Polar Research Institute [PE19080]; Next-Generation BioGreen 21 Program for Agriculture and Technology Development - Rural Development Administration [PJ01113801, PJ01334901]; Basic Science Research Program through the National Research Foundation (NRF) - Ministry of Education, Republic of Korea [2018R1A6A1A03025607]</t>
  </si>
  <si>
    <t>Polar Genomics 101 Project: Genome analysis of polar organisms and establishment of application platform - Korea Polar Research Institute; Next-Generation BioGreen 21 Program for Agriculture and Technology Development - Rural Development Administration(Rural Development Administration (RDA), Republic of Korea); Basic Science Research Program through the National Research Foundation (NRF) - Ministry of Education, Republic of Korea</t>
  </si>
  <si>
    <t>This work was supported by The Polar Genomics 101 Project: Genome analysis of polar organisms and establishment of application platform [PE19080] to H.P., funded by the Korea Polar Research Institute, the Next-Generation BioGreen 21 Program for Agriculture and Technology Development [project numbers PJ01113801 (NCGC) and PJ01334901 (SSAC)], funded by the Rural Development Administration and the Basic Science Research Program through the National Research Foundation (NRF) [grant number 2018R1A6A1A03025607], funded by the Ministry of Education, Republic of Korea, to W.T.</t>
  </si>
  <si>
    <t>0032-0781</t>
  </si>
  <si>
    <t>1471-9053</t>
  </si>
  <si>
    <t>PLANT CELL PHYSIOL</t>
  </si>
  <si>
    <t>Plant Cell Physiol.</t>
  </si>
  <si>
    <t>10.1093/pcp/pcz180</t>
  </si>
  <si>
    <t>Plant Sciences; Cell Biology</t>
  </si>
  <si>
    <t>KY8VP</t>
  </si>
  <si>
    <t>WOS:000522854500009</t>
  </si>
  <si>
    <t>Ali, NSM; Salleh, A; Abd Rahman, RNZR; Leow, TC; Ali, MSM</t>
  </si>
  <si>
    <t>Ali, Nur Shidaa Mohd; Salleh, Abu Bakar; Abd Rahman, Raja Noor Zaliha Raja; Leow, Thean Chor; Ali, Mohd Shukuri Mohamad</t>
  </si>
  <si>
    <t>Calcium-Induced Activity and Folding of a Repeat in Toxin Lipase from Antarctic Pseudomonas fluorescens Strain AMS8</t>
  </si>
  <si>
    <t>TOXINS</t>
  </si>
  <si>
    <t>RTX lipase; AMS8 lipase; family I.3; RTX parallel beta-roll motif repeat; Ca2+ ion; calcium binding; folding; activity</t>
  </si>
  <si>
    <t>BORDETELLA-PERTUSSIS; ADENYLATE-CYCLASE; ESCHERICHIA-COLI; BINDING; PROTEINS</t>
  </si>
  <si>
    <t>It is hypothesized that the Ca2+ ions were involved in the activity, folding and stabilization of many protein structures. Many of these proteins contain repeat in toxin (RTX) motifs. AMS8 lipase from Antarctic Pseudomonas fluorescens strain AMS8 was found to have three RTX motifs. So, this research aimed to examine the influence of Ca2+ ion towards the activity and folding of AMS8 lipase through various biophysical characterizations. The results showed that CaCl2 increased lipase activity. The far-UV circular dichroism (CD) and Fourier-transform infrared (FTIR) analysis suggested that the secondary structure content was improved with the addition of CaCl2. Fluorescence spectroscopy analysis showed that the presence of CaCl2 increased protein folding and compactness. Dynamic light scattering (DLS) analysis suggested that AMS8 lipase became aggregated at a high concentration of CaCl2.The binding constant (K-d) value from the isothermal titration calorimetry (ITC) analysis proved that the Ca2+ ion was tightly bound to the AMS8 lipase. In conclusion, Ca2+ ions play crucial roles in the activity and folding of the AMS8 lipase. Calcium binding to RTX nonapeptide repeats sequences will induced the formation and folding of the RTX parallel beta-roll motif repeat structure.</t>
  </si>
  <si>
    <t>[Ali, Nur Shidaa Mohd; Salleh, Abu Bakar; Abd Rahman, Raja Noor Zaliha Raja; Leow, Thean Chor; Ali, Mohd Shukuri Mohamad] Univ Putra Malaysia, Fac Biotechnol &amp; Biomol Sci, Enzyme &amp; Microbial Technol Res Ctr, Serdang 43400, Selangor, Malaysia; [Ali, Nur Shidaa Mohd; Ali, Mohd Shukuri Mohamad] Univ Putra Malaysia, Fac Biotechnol &amp; Biomol Sci, Dept Biochem, Serdang 43400, Selangor, Malaysia; [Abd Rahman, Raja Noor Zaliha Raja] Univ Putra Malaysia, Fac Biotechnol &amp; Biomol Sci, Dept Microbiol, Serdang 43400, Selangor, Malaysia; [Leow, Thean Chor] Univ Putra Malaysia, Fac Biotechnol &amp; Biomol Sci, Dept Cell &amp; Mol Biol, Serdang 43400, Selangor, Malaysia</t>
  </si>
  <si>
    <t>Universiti Putra Malaysia; Universiti Putra Malaysia; Universiti Putra Malaysia; Universiti Putra Malaysia</t>
  </si>
  <si>
    <t>Ali, MSM (corresponding author), Univ Putra Malaysia, Fac Biotechnol &amp; Biomol Sci, Enzyme &amp; Microbial Technol Res Ctr, Serdang 43400, Selangor, Malaysia.;Ali, MSM (corresponding author), Univ Putra Malaysia, Fac Biotechnol &amp; Biomol Sci, Dept Biochem, Serdang 43400, Selangor, Malaysia.</t>
  </si>
  <si>
    <t>nur_shidaa@yahoo.com; abubakar@upm.edu.my; rnzaliha@upm.edu.my; adamleow@upm.edu.my; mshukuri@upm.edu.my</t>
  </si>
  <si>
    <t>Ali, Mohd Shukuri Mohamad/AAG-5453-2021; ALI, MOHD/IUM-6916-2023</t>
  </si>
  <si>
    <t>Ali, Mohd Shukuri Mohamad/0000-0003-2751-9649; Leow, Adam [Thean Chor]/0000-0002-0280-7735; Raja Abd. Rahman, Raja Noor Zaliha/0000-0002-6316-6177</t>
  </si>
  <si>
    <t>Putra Grant [9551100]; Graduate Research Fellowship (GRF)</t>
  </si>
  <si>
    <t>Putra Grant; Graduate Research Fellowship (GRF)</t>
  </si>
  <si>
    <t>Putra Grant funded this research, grant number 9551100, and N.S.M.A. was sponsored by a Graduate Research Fellowship (GRF).</t>
  </si>
  <si>
    <t>2072-6651</t>
  </si>
  <si>
    <t>Toxins</t>
  </si>
  <si>
    <t>10.3390/toxins12010027</t>
  </si>
  <si>
    <t>Food Science &amp; Technology; Toxicology</t>
  </si>
  <si>
    <t>KN1VZ</t>
  </si>
  <si>
    <t>WOS:000514630000022</t>
  </si>
  <si>
    <t>Sutherland, WJ; Dias, MP; Dicks, LV; Doran, H; Entwistle, AC; Fleishman, E; Gibbons, DW; Hails, R; Hughes, AC; Hughes, J; Kelman, R; Le Roux, X; LeAnstey, B; Lickorish, FA; Maggs, L; Pearce-Higgins, JW; Peck, LS; Pettorelli, N; Pretty, J; Spalding, MD; Tonneijck, FH; Wentworth, J; Thornton, A</t>
  </si>
  <si>
    <t>Sutherland, William J.; Dias, Maria P.; Dicks, Lynn V.; Doran, Helen; Entwistle, Abigail C.; Fleishman, Erica; Gibbons, David W.; Hails, Rosie; Hughes, Alice C.; Hughes, Jonathan; Kelman, Ruth; Le Roux, Xavier; LeAnstey, Becky; Lickorish, Fiona A.; Maggs, Luke; Pearce-Higgins, James W.; Peck, Lloyd S.; Pettorelli, Nathalie; Pretty, Jules; Spalding, Mark D.; Tonneijck, Femke H.; Wentworth, Jonathan; Thornton, Ann</t>
  </si>
  <si>
    <t>A Horizon Scan of Emerging Global Biological Conservation Issues for 2020</t>
  </si>
  <si>
    <t>TRENDS IN ECOLOGY &amp; EVOLUTION</t>
  </si>
  <si>
    <t>Review</t>
  </si>
  <si>
    <t>SMALL HYDROPOWER PLANTS; IMPACTS; FISH</t>
  </si>
  <si>
    <t>In this horizon scan, we highlight 15 emerging issues of potential relevance to global conservation in 2020. Seven relate to potentially extensive changes in vegetation or ecological systems. These changes are either relatively new, for example, conversion of kelp forests to simpler macroalgal systems, or may occur in the future, for example, as a result of the derivation of nanocelluose from wood or the rapid expansion of small hydropower schemes. Other topics highlight potential changes in national legislation that may have global effect on international agreements. Our panel of 23 scientists and practitioners selected these issues using amodified version of the Delphi technique from a long-list of 89 potential topics.</t>
  </si>
  <si>
    <t>[Sutherland, William J.; Dicks, Lynn V.; Pearce-Higgins, James W.; Thornton, Ann] Univ Cambridge, Dept Zool, Conservat Sci Grp, David Attenborough Bldg, Cambridge CB2 3QZ, England; [Dias, Maria P.] BirdLife Int, David Attenborough Bldg,Pembroke St, Cambridge CB2 3QZ, England; [Dias, Maria P.] Inst Univ, MARE Marine &amp; Environm Sci Ctr, ISPA, R Jardim Tabaco, P-341149041 Lisbon, Portugal; [Dicks, Lynn V.] Univ East Anglia, Sch Biol Sci, Norwich NR4 7TJ, Norfolk, England; [Doran, Helen] Nat England, Shaftesbury Rd, Cambridge CB2 8DR, England; [Entwistle, Abigail C.] Fauna &amp; Flora Int, David Attenborough Bldg,Pembroke St, Cambridge CB2 3QZ, England; [Fleishman, Erica] Colorado State Univ, Dept Fish Wildlife &amp; Conservat Biol, Ft Collins, CO 80523 USA; [Gibbons, David W.] Royal Soc Protect Birds, RSPB Ctr Conservat Sci, Sandy SG19 2DL, Beds, England; [Gibbons, David W.] RSPB, David Attenborough Bldg,Pembroke St, Cambridge CB2 3QZ, England; [Hails, Rosie] Natl Trust, Kemble Dr, Swindon SN2 2NA, Wilts, England; [Hughes, Alice C.] Chinese Acad Sci, Ctr Integrat Conservat, Xishuangbanna Trop Bot Garden, Xishuangbanna 666303, Yunnan, Peoples R China; [Hughes, Jonathan] UNEP WCMC, 219 Huntingdon Rd, Cambridge CB3 0DL, England; [Kelman, Ruth] NERC, Polaris House,North Star Ave, Swindon SN2 1EU, Wilts, England; [Le Roux, Xavier] Univ Lyon 1, Ctr Microbial Ecol, INRA, CNRS,UMR1418, F-69622 Villeurbanne, France; [Le Roux, Xavier] Fdn Rech Biodivers, 195 Rue St Jacques, F-75005 Paris, France; [LeAnstey, Becky] Environm Agcy, Horizon House,Deanery Rd, Bristol BS1 5AH, Avon, England; [Lickorish, Fiona A.] UK Res &amp; Consultancy Serv RCS Ltd, Hereford HR4 8BU, England; [Maggs, Luke] Nat Resources Wales, Cambria House,29 Newport Rd, Cardiff CF24 0TP, S Glam, Wales; [Pearce-Higgins, James W.] British Trust Ornithol, The Nunnery IP24 2PU, Thetford, England; [Peck, Lloyd S.] British Antarctic Survey, Nat Environm Res Council, Madingley Rd, Cambridge CB3 0ET, England; [Pettorelli, Nathalie] Zool Soc London, Inst Zool, Regents Pk, London NW1 4RY, England; [Pretty, Jules] Univ Essex, Sch Life Sci, Colchester CO4 3SQ, Essex, England; [Spalding, Mark D.] Univ Siena, Nat Conservancy, Dept Phys Earth &amp; Environm Sci, I-53100 Siena, Italy; [Tonneijck, Femke H.] Wetlands Int, NL-6700 AL Wageningen, Netherlands; [Wentworth, Jonathan] Parliamentary Off Sci &amp; Technol, 14 Tothill St, London SW1H 9NB, England</t>
  </si>
  <si>
    <t>University of Cambridge; BirdLife International; University of East Anglia; Colorado State University; Royal Society for Protection of Birds; Royal Society for Protection of Birds; Chinese Academy of Sciences; Xishuangbanna Tropical Botanical Garden, CAS; United Nations Environment Programme; UK Research &amp; Innovation (UKRI); Natural Environment Research Council (NERC); Universite Claude Bernard Lyon 1; INRAE; Centre National de la Recherche Scientifique (CNRS); British Trust for Ornithology; UK Research &amp; Innovation (UKRI); Natural Environment Research Council (NERC); NERC British Antarctic Survey; Zoological Society of London; University of Essex; University of Siena</t>
  </si>
  <si>
    <t>Sutherland, WJ (corresponding author), Univ Cambridge, Dept Zool, Conservat Sci Grp, David Attenborough Bldg, Cambridge CB2 3QZ, England.</t>
  </si>
  <si>
    <t>w.sutherland@zoo.cam.ac.uk</t>
  </si>
  <si>
    <t>Sutherland, William/B-1291-2013; Hughes, Alice C./HCH-3838-2022; Pettorelli, Nathalie/AAW-8438-2021; Dicks, Lynn V./AFH-5289-2022; Dias, Maria P./D-1331-2012; Spalding, Mark/GVU-0739-2022</t>
  </si>
  <si>
    <t>Hughes, Alice C./0000-0002-4899-3158; Dicks, Lynn V./0000-0002-8304-4468; Dias, Maria P./0000-0002-7281-4391; LE ROUX, Xavier/0000-0001-9695-0825; Lickorish, Fiona/0000-0002-0696-202X; Spalding, Mark/0000-0001-9456-4533; Pettorelli, Nathalie/0000-0002-1594-6208</t>
  </si>
  <si>
    <t>Natural Environment Research Council; RSPB; Arcadia; NERC [NE/N014472/1, NE/N014472/2, bas0100036] Funding Source: UKRI</t>
  </si>
  <si>
    <t>Natural Environment Research Council(UK Research &amp; Innovation (UKRI)Natural Environment Research Council (NERC)); RSPB; Arcadia; NERC(UK Research &amp; Innovation (UKRI)Natural Environment Research Council (NERC))</t>
  </si>
  <si>
    <t>This exercise was coordinated by the Cambridge Conservation Initiative, and funded by the Natural Environment Research Council and RSPB. We are grateful to everyone who submitted ideas to the exercise. We thank Stefano Basso (effects of small hydropower systems on riverine ecosystems), Jason Dinsdale (use of artificial wombs and ectogenesis in mammalian conservation and rise of blockchain companies with hidden owners), Sarah Durant (new United Nations legal principles to reduce the environmental impact of armed conflict), Lizzie Duthie (new regulations jeopardise net neutrality), Norah Eddy (global declines of kelp forest), Robert Jones (large recirculating aquaculture systems), and Catherine Julliot (policy incentives for derivation of energy from wood) for suggesting some issues that were included in the final scan. W.J.S. is funded by Arcadia.</t>
  </si>
  <si>
    <t>CELL PRESS</t>
  </si>
  <si>
    <t>50 HAMPSHIRE ST, FLOOR 5, CAMBRIDGE, MA 02139 USA</t>
  </si>
  <si>
    <t>0169-5347</t>
  </si>
  <si>
    <t>1872-8383</t>
  </si>
  <si>
    <t>TRENDS ECOL EVOL</t>
  </si>
  <si>
    <t>Trends Ecol. Evol.</t>
  </si>
  <si>
    <t>10.1016/j.tree.2019.10.010</t>
  </si>
  <si>
    <t>Ecology; Evolutionary Biology; Genetics &amp; Heredity</t>
  </si>
  <si>
    <t>Environmental Sciences &amp; Ecology; Evolutionary Biology; Genetics &amp; Heredity</t>
  </si>
  <si>
    <t>JY4QF</t>
  </si>
  <si>
    <t>WOS:000504400600010</t>
  </si>
  <si>
    <t>Cantonati, M; Poikane, S; Pringle, CM; Stevens, LE; Turak, E; Heino, J; Richardson, JS; Bolpagni, R; Borrini, A; Cid, N; Ctvrtlíková, M; Galassi, DMP; Hájek, M; Hawes, I; Levkov, Z; Naselli-Flores, L; Saber, AA; Di Cicco, M; Fiasca, B; Hamilton, PB; Kubacka, J; Segadelli, S; Znachor, P</t>
  </si>
  <si>
    <t>Cantonati, Marco; Poikane, Sandra; Pringle, Catherine M.; Stevens, Lawrence E.; Turak, Eren; Heino, Jani; Richardson, John S.; Bolpagni, Rossano; Borrini, Alex; Cid, Nuria; Ctvrtlikova, Martina; Galassi, Diana M. P.; Hajek, Michal; Hawes, Ian; Levkov, Zlatko; Naselli-Flores, Luigi; Saber, Abdullah A.; Di Cicco, Mattia; Fiasca, Barbara; Hamilton, Paul B.; Kubacka, Jan; Segadelli, Stefano; Znachor, Petr</t>
  </si>
  <si>
    <t>Characteristics, Main Impacts, and Stewardship of Natural and Artificial Freshwater Environments: Consequences for Biodiversity Conservation</t>
  </si>
  <si>
    <t>WATER</t>
  </si>
  <si>
    <t>freshwater; habitat; biodiversity; ecosystem; impact; conservation; stewardship; foundation species; least-impaired habitat relicts</t>
  </si>
  <si>
    <t>GROUNDWATER-DEPENDENT ECOSYSTEMS; EMERGING ORGANIC CONTAMINANTS; GEN. NOV BACILLARIOPHYTA; CALCAREOUS SPRING FENS; SICILIAN INLAND WATERS; GLOBAL CLIMATE-CHANGE; AFRICAN GREAT-LAKES; HIGH-MOUNTAIN LAKES; MACROINVERTEBRATE COMMUNITIES; LEVEL FLUCTUATIONS</t>
  </si>
  <si>
    <t>In this overview (introductory article to a special issue including 14 papers), we consider all main types of natural and artificial inland freshwater habitas (fwh). For each type, we identify the main biodiversity patterns and ecological features, human impacts on the system and environmental issues, and discuss ways to use this information to improve stewardship. Examples of selected key biodiversity/ecological features (habitat type): narrow endemics, sensitive (groundwater and GDEs); crenobionts, LIHRes (springs); unidirectional flow, nutrient spiraling (streams); naturally turbid, floodplains, large-bodied species (large rivers); depth-variation in benthic communities (lakes); endemism and diversity (ancient lakes); threatened, sensitive species (oxbow lakes, SWE); diverse, reduced littoral (reservoirs); cold-adapted species (Boreal and Arctic fwh); endemism, depauperate (Antarctic fwh); flood pulse, intermittent wetlands, biggest river basins (tropical fwh); variable hydrologic regime-periods of drying, flash floods (arid-climate fwh). Selected impacts: eutrophication and other pollution, hydrologic modifications, overexploitation, habitat destruction, invasive species, salinization. Climate change is a threat multiplier, and it is important to quantify resistance, resilience, and recovery to assess the strategic role of the different types of freshwater ecosystems and their value for biodiversity conservation. Effective conservation solutions are dependent on an understanding of connectivity between different freshwater ecosystems (including related terrestrial, coastal and marine systems).</t>
  </si>
  <si>
    <t>[Cantonati, Marco; Borrini, Alex; Saber, Abdullah A.] MUSE Museo Sci, Limnol &amp; Phycol Sect, Corso Lavoro &amp; Sci 3, I-38123 Trento, Italy; [Cantonati, Marco] Drexel Univ, Acad Nat Sci, Patrick Ctr Environm Res, Philadelphia, PA 19103 USA; [Poikane, Sandra] JRC, European Commiss, I-21027 Ispra, Italy; [Pringle, Catherine M.] Univ Georgia, Odum Sch Ecol, Athens, GA 30602 USA; [Stevens, Lawrence E.] Museum Northern Arizona Springs Stewardship Inst, 3101 N Ft Valley Rd, Flagstaff, AZ 86001 USA; [Turak, Eren] NSW Dept Planning Ind &amp; Environm, 10 Valentine Ave, Parramatta, NSW 2150, Australia; [Turak, Eren] UNSW, Sch Biol Earth &amp; Environm Sci, Palaeontol Geobiol &amp; Earth Archives Res Ctr PANGE, Kensington, NSW 2052, Australia; [Heino, Jani] Freshwater Ctr, Finnish Environm Inst, Paavo Havaksen Tie 3, FI-90570 Oulu, Finland; [Richardson, John S.] Univ British Columbia, Dept Forest &amp; Conservat Sci, Vancouver, BC V6T 1Z4, Canada; [Bolpagni, Rossano] Univ Parma, Dept Chem Life Sci &amp; Environm Sustainabil, I-43124 Parma, Italy; [Cid, Nuria] Ctr Lyon Villeurbanne, UR RiverLy, INRAE, 5 Rue Doua CS70077, F-69626 Villeurbanne, France; [Ctvrtlikova, Martina; Kubacka, Jan; Znachor, Petr] Czech Acad Sci, Biol Ctr, Inst Hydrobiol, Na Sadkach 7, Ceske Budejovice 37005, Czech Republic; [Galassi, Diana M. P.; Di Cicco, Mattia; Fiasca, Barbara] Univ LAquila, Dept Life Hlth &amp; Environm Sci, I-67100 Laquila, Italy; [Hajek, Michal] Masaryk Univ, Fac Sci, Dept Bot &amp; Zool, Kotlarska 2, CS-61137 Brno, Czech Republic; [Hawes, Ian] Univ Waikato, Coastal Marine Field Stn, Tauranga 3110, New Zealand; [Levkov, Zlatko] Ss Cyril &amp; Methodius Univ, Fac Nat Sci, Inst Biol, Skopje 1000, North Macedonia; [Naselli-Flores, Luigi] Univ Palermo, Dept Biol Chem &amp; Pharmaceut Sci &amp; Technol, I-90123 Palermo, Italy; [Saber, Abdullah A.] Ain Shams Univ, Fac Sci, Bot Dept, Abbassia Sq, Cairo 11566, Egypt; [Hamilton, Paul B.] Canadian Museum Nat, Phycol Sect, Res &amp; Collect Div, Ottawa, ON K1P 6P4, Canada; [Segadelli, Stefano] Reg Emilia Romagna, Serv Geol Sism &amp; Suoli, Viale Fiera 8, I-40127 Bologna, Italy</t>
  </si>
  <si>
    <t>Drexel University; European Commission Joint Research Centre; EC JRC ISPRA Site; University System of Georgia; University of Georgia; University of New South Wales Sydney; Finnish Environment Institute; University of British Columbia; University of Parma; INRAE; Czech Academy of Sciences; Biology Centre of the Czech Academy of Sciences; University of L'Aquila; Masaryk University Brno; University of Waikato; Saints Cyril &amp; Methodius University of Skopje; University of Palermo; Egyptian Knowledge Bank (EKB); Ain Shams University</t>
  </si>
  <si>
    <t>Cantonati, M (corresponding author), MUSE Museo Sci, Limnol &amp; Phycol Sect, Corso Lavoro &amp; Sci 3, I-38123 Trento, Italy.;Cantonati, M (corresponding author), Drexel Univ, Acad Nat Sci, Patrick Ctr Environm Res, Philadelphia, PA 19103 USA.</t>
  </si>
  <si>
    <t>marco.cantonati@muse.it; sandra.poikane@ec.europa.eu; cpringle@uga.edu; larry@springstewardship.org; eren.turak@environment.nsw.gov.au; jani.heino.eco@gmail.com; john.richardson@ubc.ca; rossano.bolpagni@unipr.it; borrinialex7@gmail.com; nuria.cid-puey@irstea.fr; martina.ctvrtlikova@hbu.cas.cz; dianamariapaola.galassi@univaq.it; hajek@sci.muni.cz; ian.hawes@waikato.ac.nz; zlevkov@pmf.ukim.mk; luigi.naselli@unipa.it; abdullah_elattar@sci.asu.edu.eg; diciccomattiauni@yahoo.it; barbara.fiasca@univaq.it; PHAMILTON@nature.ca; kubecka@hbu.cas.cz; Stefano.Segadelli@regione.emilia-romagna.it; petr.znachor@hbu.cas.cz</t>
  </si>
  <si>
    <t>Heino, Jani/E-6342-2010; Znachor, Petr/AAH-5088-2020; Znachor, Petr/AAC-2289-2021; Hájek, Michal/H-1648-2014; Richardson, John S/G-1513-2012; Naselli-Flores, Luigi/AAE-7756-2022; Cid, Nuria/AAH-1433-2021; Cantonati, Marco/G-4278-2018; Čtvrtlíková, Martina/AAN-1106-2021; Kubecka, Jan/A-8230-2011; Naselli-Flores, Luigi/A-3824-2008; Bolpagni, Rossano/Q-7053-2018; Galassi, Diana M.P./N-1674-2015</t>
  </si>
  <si>
    <t>Heino, Jani/0000-0003-1235-6613; Znachor, Petr/0000-0002-9356-5996; Hájek, Michal/0000-0002-5201-2682; Cid, Nuria/0000-0002-9997-5523; Cantonati, Marco/0000-0003-0179-3842; Kubecka, Jan/0000-0001-9203-4854; Naselli-Flores, Luigi/0000-0003-3748-3862; Bolpagni, Rossano/0000-0001-9283-2821; Saber, Abdullah/0000-0002-4676-6998; Levkov, Zlatko/0000-0002-1184-2356; Di Cicco, Mattia/0000-0002-3432-2492; segadelli, stefano/0000-0001-5260-6256; Galassi, Diana M.P./0000-0002-6448-2710</t>
  </si>
  <si>
    <t>AQUALIFE [LIFE12 BIO/IT/000231]; ERDF/ESF project [CZ.02.1.01/0.0/0.0/16_025/0007417]; [GX19-28491X]</t>
  </si>
  <si>
    <t>AQUALIFE; ERDF/ESF project;</t>
  </si>
  <si>
    <t>Tamar Zohary (IOLR &amp; SIL, comments on an early version &amp; photos). Nicola Angeli (MUSE; Figures 1 and 2 layout), Sebastian Birk (Duisburg-Essen, literature suggestions for Large Rivers). M.H. acknowledges project number GX19-28491X. The `Groundwater' section was supported by AQUALIFE LIFE12 BIO/IT/000231. M.C.., J.K. and P.Z. were supported from ERDF/ESF project No. CZ.02.1.01/0.0/0.0/16_025/0007417. L.E.S. thanks S.W. Carothers and M.E. Melray for supporting his work. Diatom part presented as plenary lecture at the North American Diatom Symposium organized by Kalina Manoylov &amp; James Nienow (supporting M.C. for travel costs). We thank our supporting Institutions. Authors are also grateful for the very valuable suggestions provided by anonymous reviewers and the editor that helped to improve the original manuscript.</t>
  </si>
  <si>
    <t>2073-4441</t>
  </si>
  <si>
    <t>WATER-SUI</t>
  </si>
  <si>
    <t>Water</t>
  </si>
  <si>
    <t>10.3390/w12010260</t>
  </si>
  <si>
    <t>Environmental Sciences; Water Resources</t>
  </si>
  <si>
    <t>Environmental Sciences &amp; Ecology; Water Resources</t>
  </si>
  <si>
    <t>KU6TM</t>
  </si>
  <si>
    <t>Green Submitted, gold</t>
  </si>
  <si>
    <t>WOS:000519847200260</t>
  </si>
  <si>
    <t>Feng, Q; Chen, JT; Tang, QJ; Zhang, J; Zhang, YH; Wang, XB; Chen, J; Zhang, HF; Wang, J</t>
  </si>
  <si>
    <t>Holland, AD; Beletic, J</t>
  </si>
  <si>
    <t>Feng, Qi; Chen, Jin-ting; Tang, Qi-Jie; Zhang, Jun; Zhang, Yi-hao; Wang, Xing-bo; Chen, Jie; Zhang, Hong-fei; Wang, Jian</t>
  </si>
  <si>
    <t>Design of an extended area blackbody for calibration of near infrared sky brightness monitor in the Antarctic</t>
  </si>
  <si>
    <t>X-RAY, OPTICAL, AND INFRARED DETECTORS FOR ASTRONOMY IX</t>
  </si>
  <si>
    <t>Conference on X-Ray, Optical, and Infrared Detectors for Astronomy IX as part of SPIE Astronomical Telescopes + Instrumentation Conference</t>
  </si>
  <si>
    <t>NIR sky brightness monitor; Surface source blackbody; Calibration</t>
  </si>
  <si>
    <t>The Antarctic Plateau is one of the best places for infrared and submillimeter observations in the world, which has the advantages of high altitude, low water vapor and low atmospheric thermal radiation. It is indispensable for the design of instruments to know the environment of the observatory site in advance, especially the infrared sky background brightness. It determines the ultimate magnitude of infrared observation of the equipment, which is an important reference to evaluate whether a candidate site is suitable for constructing corresponding equipment. We have designed a NIR sky brightness monitor (NISBM) based on InGaAs photodiode, which is used to monitor the J, H and Ks bands of sky background brightness at the Dome A. In the Ks band the signal is sensitive to thermal radiation and temperature fluctuations. So, it needs to be calibrated in real time by a surface source blackbody. According to this requirement, we have designed a surface source blackbody that has the property of low temperature resistance, high emissivity, and high temperature uniformity. The device has a compact structure. The control system and the radiation surface are packaged in the same square house, which is suitable for outfield installation and calibration with low ambient temperature.</t>
  </si>
  <si>
    <t>[Feng, Qi; Chen, Jin-ting; Tang, Qi-Jie; Zhang, Jun; Zhang, Yi-hao; Wang, Xing-bo; Chen, Jie; Zhang, Hong-fei; Wang, Jian] Univ Sci &amp; Technol China, State Key Lab Particle Detect &amp; Elect, Dept Modern Phys, Hefei 230026, Peoples R China</t>
  </si>
  <si>
    <t>Chinese Academy of Sciences; University of Science &amp; Technology of China, CAS</t>
  </si>
  <si>
    <t>Wang, J (corresponding author), Univ Sci &amp; Technol China, State Key Lab Particle Detect &amp; Elect, Dept Modern Phys, Hefei 230026, Peoples R China.</t>
  </si>
  <si>
    <t>wangjian@ustc.edu.cn</t>
  </si>
  <si>
    <t>Zhang, Jun/JAN-9995-2023</t>
  </si>
  <si>
    <t>Zhang, Jun/0000-0001-7068-5277</t>
  </si>
  <si>
    <t>Fundamental Research Funds for the Central Universities [WK2360000003, WK 2030040064]; National Natural Science Funds of China [11603023, 11773026]; Research Funds of the State Key Laboratory of Particle Detection and Electronics; CAS Center for Excellence in P article Physics; Strategic Priority Research Program of CAS [XDC07020200, XDA15020605]</t>
  </si>
  <si>
    <t>Fundamental Research Funds for the Central Universities(Fundamental Research Funds for the Central Universities); National Natural Science Funds of China(National Natural Science Foundation of China (NSFC)); Research Funds of the State Key Laboratory of Particle Detection and Electronics; CAS Center for Excellence in P article Physics; Strategic Priority Research Program of CAS</t>
  </si>
  <si>
    <t>This work was supported in part by the Fundamental Research Funds for the Central Universities (WK2360000003, WK 2030040064), in part by National Natural Science Funds of China under Grant No: 11603023, 11773026, in part by Rese arch Funds of the State Key Laboratory of Particle Detection and Electronics, in part by CAS Center for Excellence in P article Physics, in part by the Strategic Priority Research Program of CAS (Grant No. XDC07020200, XDA15020605).</t>
  </si>
  <si>
    <t>978-1-5106-3696-5</t>
  </si>
  <si>
    <t>114542T</t>
  </si>
  <si>
    <t>10.1117/12.2560781</t>
  </si>
  <si>
    <t>BS7UC</t>
  </si>
  <si>
    <t>WOS:000767166800051</t>
  </si>
  <si>
    <t>Powell, E; Gomez, N; Hay, C; Latychev, K; Mitrovica, JX</t>
  </si>
  <si>
    <t>Powell, E.; Gomez, N.; Hay, C.; Latychev, K.; Mitrovica, J. X.</t>
  </si>
  <si>
    <t>Viscous Effects in the Solid Earth Response to Modern Antarctic Ice Mass Flux: Implications for Geodetic Studies of WAIS Stability in a Warming World</t>
  </si>
  <si>
    <t>JOURNAL OF CLIMATE</t>
  </si>
  <si>
    <t>Antarctica; Ice sheets; Ice loss; growth; Global positioning systems (GPS)</t>
  </si>
  <si>
    <t>SEA-LEVEL CHANGE; GLACIAL ISOSTATIC-ADJUSTMENT; UPPER-MANTLE STRUCTURE; RAPID BEDROCK UPLIFT; BENEATH ANTARCTICA; WEST ANTARCTICA; JOINT INVERSION; VELOCITY MODEL; VISCOSITY; SHEET</t>
  </si>
  <si>
    <t>The West Antarctic Ice Sheet (WAIS) overlies a thin, variable-thickness lithosphere and a shallow upper-mantle region of laterally varying and, in some regions, very low (similar to 10(18) Pa s) viscosity. We explore the extent to which viscous effects may affect predictions of present-day geoid and crustal deformation rates resulting from Antarctic ice mass flux over the last quarter century and project these calculations into the next half century, using viscoelastic Earth models of varying complexity. Peak deformation rates at the end of a 25-yr simulation predicted with an elastic model underestimate analogous predictions that are based on a 3D viscoelastic Earth model (with minimum viscosity below West Antarctica of 10(18) Pa s) by similar to 15 and similar to 3 mm yr(-1) in the vertical and horizontal directions, respectively, at sites overlying low-viscosity mantle and close to high rates of ice mass flux. The discrepancy in uplift rate can be reduced by adopting 1D Earth models tuned to the regional average viscosity profile beneath West Antarctica. In the case of horizontal crustal rates, adopting 1D regional viscosity models is no more accurate in recovering predictions that are based on 3D viscosity models than calculations that assume a purely elastic Earth. The magnitude and relative contribution of viscous relaxation to crustal deformation rates will likely increase significantly in the next several decades, and the adoption of 3D viscoelastic Earth models in analyses of geodetic datasets [e.g., Global Navigation Satellite System (GNSS); Gravity Recovery and Climate Experiment (GRACE)] will be required to accurately estimate the magnitude of Antarctic modern ice mass flux in the progressively warming world.</t>
  </si>
  <si>
    <t>[Powell, E.; Latychev, K.; Mitrovica, J. X.] Harvard Univ, Dept Earth &amp; Planetary Sci, 20 Oxford St, Cambridge, MA 02138 USA; [Gomez, N.] McGill Univ, Dept Earth &amp; Planetary Sci, Montreal, PQ, Canada; [Hay, C.; Latychev, K.] Boston Coll, Dept Earth &amp; Environm Sci, Chestnut Hill, MA 02167 USA; [Latychev, K.] Columbia Univ, Dept Earth &amp; Environm Sci, New York, NY USA</t>
  </si>
  <si>
    <t>Harvard University; McGill University; Boston College; Columbia University</t>
  </si>
  <si>
    <t>Powell, E (corresponding author), Harvard Univ, Dept Earth &amp; Planetary Sci, 20 Oxford St, Cambridge, MA 02138 USA.</t>
  </si>
  <si>
    <t>evelynpowell@g.harvard.edu</t>
  </si>
  <si>
    <t>Gomez, Natalya/AAU-4323-2020</t>
  </si>
  <si>
    <t>Gomez, Natalya/0000-0002-2463-7917</t>
  </si>
  <si>
    <t>National Science Foundation Graduate Research Fellowship [DGE1144152, DGE1745303]; NASA [NNX17AE17G]; National Science and Engineering Research Council; Canada Research Chairs Program; Canadian Foundation for Innovation; Harvard University; McGill University; Boston College; NASA [1002858, NNX17AE17G] Funding Source: Federal RePORTER</t>
  </si>
  <si>
    <t>National Science Foundation Graduate Research Fellowship(National Science Foundation (NSF)); NASA(National Aeronautics &amp; Space Administration (NASA)); National Science and Engineering Research Council(Natural Sciences and Engineering Research Council of Canada (NSERC)); Canada Research Chairs Program(Canada Research Chairs); Canadian Foundation for Innovation(Canada Foundation for Innovation); Harvard University; McGill University; Boston College; NASA(National Aeronautics &amp; Space Administration (NASA))</t>
  </si>
  <si>
    <t>This material is based upon work supported by the National Science Foundation Graduate Research Fellowship under Grants DGE1144152 and DGE1745303, NASA under Grant NNX17AE17G, the National Science and Engineering Research Council, the Canada Research Chairs Program, the Canadian Foundation for Innovation, McGill University, Boston College, and Harvard University.</t>
  </si>
  <si>
    <t>AMER METEOROLOGICAL SOC</t>
  </si>
  <si>
    <t>BOSTON</t>
  </si>
  <si>
    <t>45 BEACON ST, BOSTON, MA 02108-3693, UNITED STATES</t>
  </si>
  <si>
    <t>0894-8755</t>
  </si>
  <si>
    <t>1520-0442</t>
  </si>
  <si>
    <t>J CLIMATE</t>
  </si>
  <si>
    <t>J. Clim.</t>
  </si>
  <si>
    <t>10.1175/JCLI-D-19-0479.1</t>
  </si>
  <si>
    <t>Meteorology &amp; Atmospheric Sciences</t>
  </si>
  <si>
    <t>JW0QM</t>
  </si>
  <si>
    <t>Green Submitted, Bronze</t>
  </si>
  <si>
    <t>WOS:000502764400001</t>
  </si>
  <si>
    <t>Carravieri, A; Bustamante, P; Labadie, P; Budzinski, H; Chastel, O; Cherel, Y</t>
  </si>
  <si>
    <t>Carravieri, Alice; Bustamante, Paco; Labadie, Pierre; Budzinski, Helene; Chastel, Olivier; Cherel, Yves</t>
  </si>
  <si>
    <t>Trace elements and persistent organic pollutants in chicks of 13 seabird species from Antarctica to the subtropics</t>
  </si>
  <si>
    <t>Albatrosses; Mercury; Penguins; Petrels; Selenium; Stable isotopes</t>
  </si>
  <si>
    <t>STABLE-ISOTOPE SIGNATURES; MERCURY CONCENTRATIONS; ORGANOCHLORINE CONTAMINANTS; TROPICAL SEABIRD; FORAGING AREAS; SKUA CHICKS; BLOOD; EXPOSURE; SELENIUM; PETRELS</t>
  </si>
  <si>
    <t>Seabirds from remote regions are mainly exposed to environmental contaminants from non-point contamination of their food webs. Pre-fledging seabird chicks are fed by their parents with marine prey captured in the vicinity of breeding colonies. Contaminant concentrations in tissues of pre-fledging chicks can thus be mostly related to local dietary sources, and have the potential to unravel spatial patterns of environmental contamination in marine ecosystems. Here, mercury (Hg), 13 other trace elements, and 18 persistent organic pollutants (POPs) were quantified in blood of chicks across four breeding locations that encompass a large latitudinal range in the southern Indian Ocean (from Antarctica, through subantarctic areas, to the subtropics), over a single breeding season. Thirteen species of penguins, albatrosses and petrels were studied, including endangered and near-threatened species, such as Amsterdam albatrosses and emperor penguins. Blood Hg burdens varied widely between species, with a factor of similar to 50 between the lowest and highest concentrations (mean +/- SD, 0.05 +/- 0.01 and 2.66 +/- 0.81 mu g g(-1) dry weight, in thin-billed prions and Amsterdam albatrosses, respectively). Species relying on Antarctic waters for feeding had low Hg exposure. Concentrations of POPs were low in chicks, with the exception of hexachlorobenzene. Contaminant concentrations were mainly explained by species differences, but feeding habitat (inferred from delta C-13 values) and chicks' body mass also contributed to explain variation. Collectively, our findings call for further toxicological investigations in Amsterdam albatrosses and small petrel species, because they were exposed to high and diverse sources of contaminants, and in macaroni penguins, which specifically showed very high selenium concentrations. Capsule: Seabird chicks from four distant sites in the southern Indian Ocean had contrasted blood metallic and organic contaminant patterns depending on species, feeding habitat and body mass.</t>
  </si>
  <si>
    <t>[Carravieri, Alice; Chastel, Olivier; Cherel, Yves] La Rochelle Univ, CNRS, UMR 7372, CEBC, F-79360 Villiers En Bois, France; [Carravieri, Alice; Bustamante, Paco] La Rochelle Univ, CNRS, UMR 7266, Littoral Environm &amp; Soc LIENSs, 2 Rue Olympe de Gouges, F-17000 La Rochelle, France; [Carravieri, Alice] Univ Liverpool, Sch Environm Sci, Liverpool L69 3GP, Merseyside, England; [Labadie, Pierre; Budzinski, Helene] Univ Bordeaux, UMR 5805, CNRS, EPOC,LPTC Res Grp, 351 Cours Liberat, F-33405 Talence, France</t>
  </si>
  <si>
    <t>Centre National de la Recherche Scientifique (CNRS); CNRS - Institute of Ecology &amp; Environment (INEE); Centre National de la Recherche Scientifique (CNRS); CNRS - Institute of Ecology &amp; Environment (INEE); University of Liverpool; Centre National de la Recherche Scientifique (CNRS); CNRS - National Institute for Earth Sciences &amp; Astronomy (INSU); Universite de Bordeaux</t>
  </si>
  <si>
    <t>Carravieri, A (corresponding author), Univ Liverpool, Sch Environm Sci, Liverpool L69 3GP, Merseyside, England.</t>
  </si>
  <si>
    <t>alice.carravieri@gmail.com</t>
  </si>
  <si>
    <t>Bustamante, Paco/G-5833-2011</t>
  </si>
  <si>
    <t>Bustamante, Paco/0000-0003-3877-9390; BUDZINSKI, Helene/0000-0001-5282-9011</t>
  </si>
  <si>
    <t>Region Poitou-Charentes; Agence Nationale de la Recherche (program POLARTOP); Institut Polaire Francais Paul Emile Victor (IPEV) [109]; Terres Australes et Antarctiques Francaises (TAAF); Aquitaine Region; European Union (CPER A2E project); IUF (Institut Universitaire de France)</t>
  </si>
  <si>
    <t>Region Poitou-Charentes(Region Nouvelle-Aquitaine); Agence Nationale de la Recherche (program POLARTOP)(Agence Nationale de la Recherche (ANR)); Institut Polaire Francais Paul Emile Victor (IPEV); Terres Australes et Antarctiques Francaises (TAAF); Aquitaine Region(Region Nouvelle-Aquitaine); European Union (CPER A2E project)(European Union (EU)Marie Curie Actions); IUF (Institut Universitaire de France)</t>
  </si>
  <si>
    <t>This work was supported financially and logistically by the Region Poitou-Charentes through a PhD grant to A.C., and by the Agence Nationale de la Recherche (program POLARTOP, O. Chastel), the Institut Polaire Francais Paul Emile Victor (IPEV, program no. 109, H. Weimerskirch) and the Terres Australes et Antarctiques Francaises (TAAF). Field procedures were authorised by the Ethics Committee of IPEV and by the Comite de l'Environnement Polaire. The authors thank all the numerous fieldworkers who helped collecting blood samples from chicks over the four sites. The Aquitaine Region and the European Union (CPER A2E project) are also acknowledged for their financial support. Europe is moving in Aquitaine with the European Regional Development Fund. The IUF (Institut Universitaire de France) is acknowledged for its support to P.B. as a Senior Member. The authors are grateful to M. Brault-Favrou and C. Churlaud from the Plateforme Analyses Elementaires and to G. Guillou from the Plateforme Analyses Isotopiques of the LIENSs laboratory, for running trace element and stable isotope analyses, and to L. Peluhet from EPOC-LPTC for carrying out POP quantification. The authors thank three anonymous reviewers who strongly improved the manuscript.</t>
  </si>
  <si>
    <t>10.1016/j.envint.2019.105225</t>
  </si>
  <si>
    <t>WOS:000501344500086</t>
  </si>
  <si>
    <t>Sieber, M; Conway, TM; de Souza, GF; Hassler, CS; Ellwood, MJ; Vance, D</t>
  </si>
  <si>
    <t>Sieber, M.; Conway, T. M.; de Souza, G. F.; Hassler, C. S.; Ellwood, M. J.; Vance, D.</t>
  </si>
  <si>
    <t>Cycling of zinc and its isotopes across multiple zones of the Southern Ocean: Insights from the Antarctic Circumnavigation Expedition</t>
  </si>
  <si>
    <t>GEOCHIMICA ET COSMOCHIMICA ACTA</t>
  </si>
  <si>
    <t>Trace metals; Biogeochemistry; Zinc; Antarctic circumpolar current; Isotopes; Nutrient cycling</t>
  </si>
  <si>
    <t>DISSOLVED ZINC; EMILIANIA-HUXLEYI; CADMIUM; SILICON; ZN; CIRCULATION; PACIFIC; IRON; FRACTIONATION; TRANSECT</t>
  </si>
  <si>
    <t>Zinc (Zn) is an essential micronutrient, playing an important role in several key processes in marine phytoplankton. Here, we present the first high-resolution depth profiles for dissolved Zn and delta Zn-66 from all major zones of the Southern Ocean, collected during the Antarctic Circumnavigation Expedition in Austral Summer 2016/2017. The dataset reveals that Zn cycling changes between different regions of the Southern Ocean. Within the Antarctic Circumpolar Current (ACC), Zn cycling is closely linked to phosphate (PO4), governed by uptake and regeneration, seasonal mixing, and upwelling. Here, uptake by phytoplankton is associated with a very small fractionation (alpha = 0.99995), resulting in slightly elevated surface delta Zn-66 (up to +0.67 parts per thousand), overlying a shallow subsurface delta Zn-6(6) minimum (+0.36 parts per thousand at similar to 200 m). South of the ACC, a partial coupling of Zn and silicate (Si) results in a shift of the Zn isotope systematics and a deep enrichment of Zn and Si. Two possible mechanisms could potentially cause this change: 1) reversible scavenging onto sinking particulates, or, 2) association of isotopically heavy Zn with diatom frustules. We also observe the effects of regional processes on Zn in the surface Southern Ocean: firstly, natural Fe fertilization near the Balleny Islands appears to lead to reduced Zn uptake (relative to phosphate) by phytoplankton, that is associated with a greater apparent Zn isotope fractionation than elsewhere in the Southern Ocean (alpha = 0.99987); secondly, meltwater inputs from the Mertz Glacier add small amounts of isotopically light Zn to surface waters near the Antarctic shelf. Overall, we propose that the lack of distinct delta Zn-66 signatures transported in intermediate waters of the lower latitude global oceans is due to near-complete uptake of Zn by phytoplankton in the surface Southern Ocean with only a small isotope fractionation, in contrast to elements like cadmium and silicon. (C) 2019 Elsevier Ltd. All rights reserved.</t>
  </si>
  <si>
    <t>[Sieber, M.; de Souza, G. F.; Vance, D.] Swiss Fed Inst Technol, Dept Earth Sci, Inst Geochem &amp; Petrol, Zurich, Switzerland; [Conway, T. M.] Univ S Florida, Coll Marine Sci, Tampa, FL 33620 USA; [Conway, T. M.] Univ S Florida, Sch Geosci, Tampa, FL 33620 USA; [Hassler, C. S.] Univ Geneva, Dept FA Forel Environm &amp; Aquat Sci, Geneva, Switzerland; [Hassler, C. S.] EPF Lausanne, Swiss Polar Inst, Lausanne, Switzerland; [Ellwood, M. J.] Australian Natl Univ, Res Sch Earth Sci, Canberra, ACT, Australia</t>
  </si>
  <si>
    <t>Swiss Federal Institutes of Technology Domain; ETH Zurich; State University System of Florida; University of South Florida; State University System of Florida; University of South Florida; University of Geneva; Swiss Federal Institutes of Technology Domain; Ecole Polytechnique Federale de Lausanne; Australian National University</t>
  </si>
  <si>
    <t>Sieber, M (corresponding author), Swiss Fed Inst Technol, Dept Earth Sci, Inst Geochem &amp; Petrol, Zurich, Switzerland.</t>
  </si>
  <si>
    <t>matthias.sieber@erdw.ethz.ch</t>
  </si>
  <si>
    <t>Ellwood, Michael J/G-7390-2011</t>
  </si>
  <si>
    <t>Ellwood, Michael/0000-0003-4288-8530; Hassler, Christel/0000-0002-8976-5469; Sieber, Matthias/0000-0001-5510-6126</t>
  </si>
  <si>
    <t>EPFL; Swiss Polar Institute; Ferring Pharmaceuticals; ETH Zurich</t>
  </si>
  <si>
    <t>EPFL; Swiss Polar Institute; Ferring Pharmaceuticals(Ferring Pharmaceuticals); ETH Zurich(ETH Zurich)</t>
  </si>
  <si>
    <t>We thank the captain, crew and water sampling team aboard R/V Akademik Tryoshnikov on the Antarctic Circumnavigation Expedition, and Corey Archer for assistance in the lab at ETH Zurich. This work forms part of project 15 of the Antarctic Circumnavigation Expedition voyage, which was supported with funds from EPFL, Swiss Polar Institute and Ferring Pharmaceuticals. The PhD studies of MS were supported by ETH Zurich.</t>
  </si>
  <si>
    <t>0016-7037</t>
  </si>
  <si>
    <t>1872-9533</t>
  </si>
  <si>
    <t>GEOCHIM COSMOCHIM AC</t>
  </si>
  <si>
    <t>Geochim. Cosmochim. Acta</t>
  </si>
  <si>
    <t>JAN 1</t>
  </si>
  <si>
    <t>10.1016/j.gca.2019.09.039</t>
  </si>
  <si>
    <t>Geochemistry &amp; Geophysics</t>
  </si>
  <si>
    <t>JT3WM</t>
  </si>
  <si>
    <t>WOS:000500923500017</t>
  </si>
  <si>
    <t>Webb, AL; Hughes, KA; Grand, MM; Lohan, MC; Peck, LS</t>
  </si>
  <si>
    <t>Webb, A. L.; Hughes, K. A.; Grand, M. M.; Lohan, M. C.; Peck, L. S.</t>
  </si>
  <si>
    <t>Sources of elevated heavy metal concentrations in sediments and benthic marine invertebrates of the western Antarctic Peninsula</t>
  </si>
  <si>
    <t>SCIENCE OF THE TOTAL ENVIRONMENT</t>
  </si>
  <si>
    <t>Polar; Biomonitor; Rothera Research Station; Baseline; Pollution; Glacial run-off</t>
  </si>
  <si>
    <t>KING-GEORGE ISLAND; TRACE-ELEMENT CONTAMINATION; CLAM LATERNULA-ELLIPTICA; LIMPET NACELLA-CONCINNA; NORTHERN MARGUERITE BAY; STAR ODONTASTER-VALIDUS; BASE-LINE; ADMIRALTY BAY; PETROLEUM HYDROCARBON; CADMIUM ACCUMULATION</t>
  </si>
  <si>
    <t>Antarctica is one of the least anthropogenically-impacted areas of the world. Metal sources to the marine environment include localised activities of research stations and glacial meltwater containing metals of lithogenic origin. In this study, concentrations of nine metals (Cd, Co, Cr, Cu, Fe, Mn, Ni. Pb, Zn) were examined in three species of benthic invertebrates collected from four locations near Rothera Research Station on the western Antarctic Peninsula: Laternula elliptica (mudclam, filter feeder), Nacella concinna (limpet, grazer) and Odontaster validus (seastar, predator and scavenger). In addition, metals were evaluated in sediments at the same locations. Metal concentrations in different body tissues of invertebrates were equivalent to values recorded in industrialized non-polar sites and were attributed to natural sources including sediment input resulting from glacial erosion of local granodioritic rocks. Anthropogenic activities at Rothera Research Station appeared to have some impact on metal concentrations in the sampled invertebrates, with concentrations of several metals higher in L. elliptica near the runway and aircraft activities, but this was not a trend that was detected in the other species. Sediment analysis from two sites near the station showed lower metal concentrations than the control site 5 km distant and was attributed to differences in bedrock metal content. Differences in metal concentrations between organisms were attributed to feeding mechanisms and habitat, as well as depuration routes. L. elliptica kidneys showed significantly higher concentrations of eight metals, with some an order of magnitude greater than other organs, and the internal structure of O. validus had significantly higher Ni. This study supports previous assessments of N. concinna and L. elliptica as good biomonitors of metal concentrations and suggests O. validus as an additional biomonitor for use in future Antarctic metal monitoring programs. (C) 2019 The Authors. Published by Elsevier B.V.</t>
  </si>
  <si>
    <t>[Webb, A. L.; Grand, M. M.; Lohan, M. C.] Univ Plymouth, Fac Sci, Plymouth PL4 8AA, Devon, England; [Hughes, K. A.; Peck, L. S.] British Antarctic Survey, Nat Environm Res Council, Cambridge CB3 0ET, England; [Webb, A. L.] Univ Warwick, Sch Life Sci, Coventry CV4 7AL, W Midlands, England; [Grand, M. M.] Moss Landing Marine Labs, Pob 450, Moss Landing, CA 95039 USA; [Lohan, M. C.] Univ Southampton, Ocean &amp; Earth Sci, Southampton SO14 3ZH, Hants, England</t>
  </si>
  <si>
    <t>University of Plymouth; UK Research &amp; Innovation (UKRI); Natural Environment Research Council (NERC); NERC British Antarctic Survey; University of Warwick; Moss Landing Marine Laboratories; University of Southampton</t>
  </si>
  <si>
    <t>Webb, AL (corresponding author), Univ Plymouth, Fac Sci, Plymouth PL4 8AA, Devon, England.;Webb, AL (corresponding author), Univ Warwick, Sch Life Sci, Coventry CV4 7AL, W Midlands, England.</t>
  </si>
  <si>
    <t>alison.webb@warwick.ac.uk</t>
  </si>
  <si>
    <t>Hughes, Kevin/JVZ-0793-2024</t>
  </si>
  <si>
    <t>Grand, Maxime/0000-0001-9338-694X</t>
  </si>
  <si>
    <t>University of Plymouth; BAS; NERC [bas010011, bas0100036, dml011000] Funding Source: UKRI</t>
  </si>
  <si>
    <t>University of Plymouth; BAS; NERC(UK Research &amp; Innovation (UKRI)Natural Environment Research Council (NERC))</t>
  </si>
  <si>
    <t>The authors would like to thank the British Antarctic Survey divers at Rothera Research Station for their assistance in collecting the target organisms, and the technical staff at University of Plymouth for assistance in set up and operation of the ICP-MS and AAS. Laura Gerrish is thanked for preparation of the map in Fig. 1 and Simon Morley for providing images of the benthic invertebrates. This paper contributes to the British Antarctic Survey (BAS) Polar Science for Planet Earth (PSPE) Biodiversity, Evolution and Adaptation programme, the BAS Environment Office Long Term Monitoring and Survey (EO-LTMS) project and the 'State of the Antarctic Ecosystem' research programme (AntEco) of the Scientific Committee on Antarctic Research (SCAR). We would also thank the University of Plymouth and BAS Core funding for funding the research projects as part of the completion of the degree of M.Sc. for AW and MG. Thankyou as well to the three anonymous reviewers and their helpful comments to improve this manuscript.</t>
  </si>
  <si>
    <t>0048-9697</t>
  </si>
  <si>
    <t>1879-1026</t>
  </si>
  <si>
    <t>SCI TOTAL ENVIRON</t>
  </si>
  <si>
    <t>Sci. Total Environ.</t>
  </si>
  <si>
    <t>10.1016/j.scitotenv.2019.134268</t>
  </si>
  <si>
    <t>JS8VX</t>
  </si>
  <si>
    <t>Green Accepted, hybrid</t>
  </si>
  <si>
    <t>WOS:000500580700086</t>
  </si>
  <si>
    <t>Fonnesu, M; Palermo, D; Galbiati, M; Marchesini, M; Bonamini, E; Bendias, D</t>
  </si>
  <si>
    <t>Fonnesu, Marco; Palermo, Denis; Galbiati, Mauro; Marchesini, Marco; Bonamini, Enrico; Bendias, Daniel</t>
  </si>
  <si>
    <t>A new world-class deep-water play-type, deposited by the syndepositional interaction of turbidity flows and bottom currents: The giant Eocene Coral Field in northern Mozambique</t>
  </si>
  <si>
    <t>MARINE AND PETROLEUM GEOLOGY</t>
  </si>
  <si>
    <t>Deep-water; Turbidites; Contourites; Channels; Play; Rovuma basin; Coral field; Reservoir modelling</t>
  </si>
  <si>
    <t>MEDITERRANEAN OUTFLOW WATER; CONTINENTAL RISE; ANTARCTIC PENINSULA; SANDY CONTOURITES; LATERAL ACCRETION; MIXED TURBIDITE; SEDIMENT DRIFTS; CHANNEL SYSTEM; FORELAND-BASIN; SLOPE CHANNEL</t>
  </si>
  <si>
    <t>The discovery of the super-giant Coral and Mamba gas fields in the offshore of Northern Mozambique provides a unique insight into the architecture of a new deep-water play-type. High-quality seismic and extensive well data from both fields shows that very clean (clay matrix-poor) sandstone reservoirs, with thickness &gt; 100 m and extended over tens of km can be formed by the syndepositional interaction of down-slope high-density turbulent gravity flows and across-slope bottom currents. This is recorded by: i) the marked asymmetry of submarine channels and lateral stacking in which top-of-fan seismic reflectors show a lateral transition from high to low amplitude response from axis to off-axis locations; ii) the occurrence of laterally-deviated lobe deposits, sediment waves and channel-associated drifts in the inferred bottom current direction; iii) the presence of very clean sandstones forming the bulk of the fan units and the consistent lack of interbedded fine-grained facies; iv) the occurrence of fine-grained and thin-bedded facies adjacent to the main fan axes, which are characterized by repeated transitions between ripples and parallellaminated sandstones, mud-drapes, shale clasts and bi-directional cross-laminae in the same bed, indicating intense traction and velocity pulsations. This association forms a mixed depositional system, in which only the basal and coarse-grained part of the turbidity current load is deposited and preserved in the axial part of the system, whilst all the finer-grained sediments are pirated from the turbulent cloud by laterally flowing bottom currents and deposited in the adjacent sediment drifts. The inferred process results in exceptionally high quality reservoirs whose architectural and facies models were confirmed by the appraisal campaign and production well tests and incorporated into the reservoir model. The results of this study indicate a significant exploration potential in similar geological settings and the definition of a potential new play type, that could lead to the reinterpretation of existing deep-water datasets.</t>
  </si>
  <si>
    <t>[Fonnesu, Marco; Galbiati, Mauro; Marchesini, Marco; Bonamini, Enrico] Eni Upstream &amp; Tech Serv, Via Emilia 1, I-20097 Milan, Italy; [Palermo, Denis] Var Energi, NO-4068 Stavanger, Norway; [Bendias, Daniel] Eni Mozambique Engn, Basingstoke RG21 4YY, Hants, England</t>
  </si>
  <si>
    <t>Eni SpA</t>
  </si>
  <si>
    <t>Fonnesu, M (corresponding author), Eni Upstream &amp; Tech Serv, Via Emilia 1, I-20097 Milan, Italy.</t>
  </si>
  <si>
    <t>marco.fonnesu2@eni.com</t>
  </si>
  <si>
    <t>Fonnesu, Marco/0000-0001-6023-3672</t>
  </si>
  <si>
    <t>0264-8172</t>
  </si>
  <si>
    <t>1873-4073</t>
  </si>
  <si>
    <t>MAR PETROL GEOL</t>
  </si>
  <si>
    <t>Mar. Pet. Geol.</t>
  </si>
  <si>
    <t>10.1016/j.marpetgeo.2019.07.047</t>
  </si>
  <si>
    <t>JQ1XY</t>
  </si>
  <si>
    <t>WOS:000498747300013</t>
  </si>
  <si>
    <t>Ivanova, E; Borisov, D; Dmitrenko, O; Murdmaa, I</t>
  </si>
  <si>
    <t>Ivanova, Elena; Borisov, Dmitrii; Dmitrenko, Olga; Murdmaa, Ivar</t>
  </si>
  <si>
    <t>Hiatuses in the late Pliocene-Pleistocene stratigraphy of the Ioffe calcareous contourite drift, western South Atlantic</t>
  </si>
  <si>
    <t>Hiatuses; Biostratigraphy; MS; XRF scanning; Color reflectance; Contourites; Calcareous drift</t>
  </si>
  <si>
    <t>RIO-GRANDE RISE; ANTARCTIC BOTTOM WATER; VEMA CHANNEL; NANNOFOSSIL BIOSTRATIGRAPHY; NE ATLANTIC; DEEP; CLIMATE; FLOW; MAGNETOBIOSTRATIGRAPHY; CIRCULATION</t>
  </si>
  <si>
    <t>The Ioffe Drift located in the Antarctic Bottom Water pathway from the Vema Channel to the Brazil Basin provides a suitable site to study past variations in bottom contour currents and their contribution to erosion and accumulation of deep-sea sediments. Our previous study of the reference core AI-2436 from the drift summit (Ivanova et al., 2016a) documented the stratigraphic sequence of the uppermost part of the sedimentary cover ranging from the recent through upper Pliocene, the reduced thickness and/or absence of biostratigraphic zones, and the occurrence of several hiatuses. Here, we provide the multi-proxy biostratigraphic, magnetic susceptibility (MS), color reflectance and X-ray fluorescence (XRF) data in the sediment cores AI-3318 from the summit and AI-3316 from the NE slope of the Ioffe Drift. The new data report numerous long- and short-term stratigraphic gaps over the last similar to 3 Ma. An interval of specific high-amplitude peaks representing abrupt changes in volume MS and XRF variability is identified from 2.51/2.59 to similar to 1.9 Ma which can likely serve as a regional stratigraphic benchmark in the future studies of deep-sea contourites. The correlation of three sediment records from the drift suggests that the most pronounced series of hiatuses, associated with enhanced AABW flow intensity occurred from 1.6 to similar to 0.81 Ma (i.e. roughly, during the Mid-Pleistocene Transition), and from 2.51/2.59 to similar to 1.9 Ma (i.e. covers the onset of the modern-type deep-water circulation in the South Atlantic (Turnau and Ledbetter (1989)). Comparison of the studied sediment records with DSDP Site 516 reveals reduced thickness of all recovered biostratigraphic zones and more often occurrence of hiatuses in the Ioffe Drift than on the Rio Grande Rise suggesting more vigorous contour currents in the former area.</t>
  </si>
  <si>
    <t>[Ivanova, Elena; Borisov, Dmitrii; Dmitrenko, Olga; Murdmaa, Ivar] Russian Acad Sci, Shirshov Inst Oceanol, Nakhimovskii Prospekt 36, Moscow 117997, Russia</t>
  </si>
  <si>
    <t>Russian Academy of Sciences; Shirshov Institute of Oceanology</t>
  </si>
  <si>
    <t>Ivanova, E (corresponding author), Russian Acad Sci, Shirshov Inst Oceanol, Nakhimovskii Prospekt 36, Moscow 117997, Russia.</t>
  </si>
  <si>
    <t>e_v_ivanova@ocean.ru</t>
  </si>
  <si>
    <t>Borisov, Dmitrii/Y-9194-2019; Ivanova, Elena/AAW-2881-2020</t>
  </si>
  <si>
    <t>Borisov, Dmitrii/0000-0001-8109-6603; Ivanova, Elena/0000-0003-3926-0590</t>
  </si>
  <si>
    <t>Russian Science Foundation [18-17-00227]; Shirshov Institute [0149-2019-0007]; Russian Science Foundation [18-17-00227] Funding Source: Russian Science Foundation</t>
  </si>
  <si>
    <t>Russian Science Foundation(Russian Science Foundation (RSF)); Shirshov Institute; Russian Science Foundation(Russian Science Foundation (RSF))</t>
  </si>
  <si>
    <t>The authors are grateful to scientific party, master and crew of R/V Akademik loffe cruise 46 for their professional support in the material collection for this study. N. Nemchenko, N. Simagin, I. Klementieva, L. Demina and M. Kornilova are thanked for technical assistance with MS, color reflectance and CaCO3, measurements. We appreciate fruitful discussions with E. Morozov, G. Kazarina, B. Galbrun and E. Moreno. The authors are thankful to D. Yuferov, CEO of LLC Geoelement for professional support in XRF measurements. Appreciation is extended to an anonymous reviewer for the valuable comments which allowed to improve the manuscript. The study was supported by the Russian Science Foundation (grant 18-17-00227). The English editing was provided by XpertEditor Editing Services. The results of nannofossils analyses were obtained in the framework of the Shirshov Institute state assignment (theme No. 0149-2019-0007).</t>
  </si>
  <si>
    <t>10.1016/j.marpetgeo.2019.08.031</t>
  </si>
  <si>
    <t>WOS:000498747300039</t>
  </si>
  <si>
    <t>Seco, J; Xavier, JC; Brierley, AS; Bustamante, P; Coelho, JP; Gregory, S; Fielding, S; Pardal, MA; Pereira, B; Stowasser, G; Tarling, GA; Pereira, E</t>
  </si>
  <si>
    <t>Seco, Jose; Xavier, Jose C.; Brierley, Andrew S.; Bustamante, Paco; Coelho, Joao P.; Gregory, Susan; Fielding, Sophie; Pardal, Miguel A.; Pereira, Barbara; Stowasser, Gabriele; Tarling, Geraint A.; Pereira, Eduarda</t>
  </si>
  <si>
    <t>Mercury levels in Southern Ocean squid: Variability over the last decade</t>
  </si>
  <si>
    <t>CHEMOSPHERE</t>
  </si>
  <si>
    <t>Organic mercury; Antarctic; Gills; Digestive gland; Tissue allocation; Temporal trends</t>
  </si>
  <si>
    <t>TOOTHFISH DISSOSTICHUS-ELEGINOIDES; ENHANCED BIOACCUMULATION; DETOXIFICATION PROCESSES; NORTHEAST ATLANTIC; SEPIA-OFFICINALIS; OCTOPUS-VULGARIS; ELEDONE-CIRRHOSA; ORGANIC MERCURY; CEPHALOPODS; TISSUES</t>
  </si>
  <si>
    <t>The concentrations of total and proportions of organic mercury were measured in tissues of 355 individuals of 8 species of Southern Ocean squid (Alluroteuthis antarcticus, Bathyteuthis abyssicola, Filippovia knipovitchi, Galiteuthis glacialis, Gonatus antarcticus, Kondakovia longimana, Psychroteuthis glacialis and Slosarczykovia circumantarctica). Squid were caught around South Georgia (Scotia Sea) during 5 cruises, between the austral summers of 2006/07 to 2016/17 to evaluate temporal changes in bioaccumulation and tissue partitioning. Total mercury concentrations varied between 4 ng g(-1) and 804 ng g(-1) among all tissues. Net accumulation of mercury in muscle with size was observed in A. antarcticus, B. abyssicola and P. glacialis, but no relationship was found for S. drcumantarctica and lower concentrations were observed in larger individuals of G. glacialis. Muscle tissues had the highest mercury concentrations in the majority of species, except for F. knipovitchi for which the digestive gland contained highest concentrations. In terms of the percentage of organic mercury in the tissues, muscle always contained the highest values (67%-97%), followed by the digestive gland (22%-38%). Lowest organic mercury percentages were found consistently in the gills (9%-19%), suggesting only low levels of incorporation through the dissolved pathway and/or a limited redistribution of dietary organic mercury towards this tissue. Overall, results are indicative of a decreasing trend of mercury concentrations in the majority of analysed species over the last decade. As cephalopods are an important Southern Ocean trophic link between primary consumers and top predators, these changes suggest decreasing mercury levels in lower trophic levels and an alleviation of the mercury burden on higher predators that consume squid. (C) 2019 Elsevier Ltd. All rights reserved.</t>
  </si>
  <si>
    <t>[Seco, Jose; Pereira, Barbara; Pereira, Eduarda] Univ Aveiro, Dept Chem, P-3810193 Aveiro, Portugal; [Seco, Jose; Pereira, Barbara; Pereira, Eduarda] Univ Aveiro, CESAM, REQUIMTE, P-3810193 Aveiro, Portugal; [Seco, Jose; Brierley, Andrew S.] Univ St Andrews, Scottish Oceans Inst, Pelag Ecol Res Grp, St Andrews KY16 8LB, Fife, Scotland; [Xavier, Jose C.; Gregory, Susan; Fielding, Sophie; Stowasser, Gabriele; Tarling, Geraint A.] British Antarctic Survey, NERC, High Cross, Madingley Rd, Cambridge CB3 0ET, England; [Xavier, Jose C.] Univ Coimbra, Dept Life Sci, MARE Marine &amp; Environm Sci Ctr, P-3000456 Coimbra, Portugal; [Bustamante, Paco] La Rochelle Univ, CNRS, Littoral Environm &amp; Soc LIENSs, UMR 7266, 2 Rue Olympe Gouges, F-17000 La Rochelle, France; [Coelho, Joao P.] Univ Aveiro, Dept Biol, P-3810193 Aveiro, Portugal; [Coelho, Joao P.] Univ Aveiro, CESAM, P-3810193 Aveiro, Portugal; [Gregory, Susan] Govt South Georgia &amp; South Sandwich Isl, Stanley, Falkland Island; [Pardal, Miguel A.] Univ Coimbra, Dept Life Sci, CFE Ctr Funct Ecol, P-3000456 Coimbra, Portugal</t>
  </si>
  <si>
    <t>Universidade de Aveiro; Universidade de Aveiro; University of St Andrews; UK Research &amp; Innovation (UKRI); Natural Environment Research Council (NERC); NERC British Antarctic Survey; Universidade de Coimbra; Centre National de la Recherche Scientifique (CNRS); CNRS - Institute of Ecology &amp; Environment (INEE); Universidade de Aveiro; Universidade de Aveiro; Universidade de Coimbra</t>
  </si>
  <si>
    <t>Seco, J (corresponding author), Univ Aveiro, Dept Chem, P-3810193 Aveiro, Portugal.;Seco, J (corresponding author), Univ Aveiro, CESAM, REQUIMTE, P-3810193 Aveiro, Portugal.</t>
  </si>
  <si>
    <t>jseco@ua.pt</t>
  </si>
  <si>
    <t>Seco, José/AAS-4612-2020; Fielding, Sophie/E-5137-2012; Coelho, João Pedro/C-1699-2008; Bustamante, Paco/G-5833-2011; Xavier, José/KFB-6739-2024; Pardal, Miguel Angelo/C-3984-2009; Brierley, Andrew/G-8019-2011</t>
  </si>
  <si>
    <t>Seco, José/0000-0002-7957-6488; Coelho, João Pedro/0000-0003-1975-8308; Bustamante, Paco/0000-0003-3877-9390; /0000-0002-9621-6660; Pardal, Miguel Angelo/0000-0001-6048-7007; Pereira, Barbara/0000-0003-2612-3351; Brierley, Andrew/0000-0002-6438-6892</t>
  </si>
  <si>
    <t>Portuguese Foundation for the Science and Technology (FCT) [SRFH/PD/BD/113487]; Centro (2020) program, Portugal 2020, European Union, through the European Regional Development Fund [Centro-01-0145-FEDER-000018]; IUF (Institut Universitaire de France); Jose Xavier strategic program of MARE [MARE - UID/MAR/04292/2013]; Ecosystems programme at the British Antarctic Survey; NERC [bas010011, bas0100035] Funding Source: UKRI</t>
  </si>
  <si>
    <t>Portuguese Foundation for the Science and Technology (FCT)(Fundacao para a Ciencia e a Tecnologia (FCT)); Centro (2020) program, Portugal 2020, European Union, through the European Regional Development Fund; IUF (Institut Universitaire de France); Jose Xavier strategic program of MARE; Ecosystems programme at the British Antarctic Survey; NERC(UK Research &amp; Innovation (UKRI)Natural Environment Research Council (NERC))</t>
  </si>
  <si>
    <t>We thank the crew, officers and scientists aboard the RSS James Clark Ross during the cruises JR161, JR177, JR200 and JR16003, and on board the FV Sil during research survey SG13, for their assistance in collecting samples, namely Mark Belchier. We also thank Peter Enderlein, Carson McAfee, Daniel Ashurst and Scott Polfrey for assembling and maintaining the net gear, and Giulia Pompeo for her help with the mercury analysis. We acknowledge the Portuguese Foundation for the Science and Technology (FCT) through a PhD grant to Jose Seco (SRFH/PD/BD/113487). Acknowledgments are due also to the Integrated Program of SR&amp;TD 'Smart Valorization of Endogenous Marine Biological Resources Under a Changing Climate' (reference Centro-01-0145-FEDER-000018), co-funded by Centro (2020) program, Portugal 2020, European Union, through the European Regional Development Fund, for personal funding to J.P.Coelho. The IUF (Institut Universitaire de France) is acknowledged for its support to P. Bustamante as a Senior Member. This research was also within Jose Xavier strategic program of MARE (MARE - UID/MAR/04292/2013). GAT, GS and SF were supported by the Ecosystems programme at the British Antarctic Survey.</t>
  </si>
  <si>
    <t>0045-6535</t>
  </si>
  <si>
    <t>1879-1298</t>
  </si>
  <si>
    <t>Chemosphere</t>
  </si>
  <si>
    <t>10.1016/j.chemosphere.2019.124785</t>
  </si>
  <si>
    <t>JP5LH</t>
  </si>
  <si>
    <t>Green Submitted, Green Published, Green Accepted</t>
  </si>
  <si>
    <t>WOS:000498305500043</t>
  </si>
  <si>
    <t>Mormede, S; Parker, SJ; Pinkerton, MH</t>
  </si>
  <si>
    <t>Mormede, Sophie; Parker, Steven J.; Pinkerton, Matthew H.</t>
  </si>
  <si>
    <t>Comparing spatial distribution modelling of fisheries data with single-area or spatially-explicit integrated population models, a case study of toothfish in the Ross Sea region</t>
  </si>
  <si>
    <t>Integrated population modelling; Spatial distribution modelling; Catch per unit effort; Standardization; VAST</t>
  </si>
  <si>
    <t>ANTARCTIC TOOTHFISH; DISSOSTICHUS-MAWSONI; STOCK; AGE; CATCH; HABITAT; GROWTH</t>
  </si>
  <si>
    <t>Most models used for assessing the status of fish stocks and providing quantitative advice for fisheries management are not spatially explicit despite the well-known spatial heterogeneity of fish populations. Statistical spatial distribution modelling, which can derive spatially-resolved biomass from catch rates, is a method increasingly used to infer trends in population biomass, particularly where integrated population models are not available. Although the spatial distribution modelling tool VAST was developed to analyze survey data, such methods have also been used with fisheries-dependent catch and effort data, particularly when survey data are not available. We developed a statistical spatial distribution model for Antarctic toothfish (Dissostichus mawsoni) in the Ross Sea region of the Southern Ocean using the VAST (Vector Autoregressive Spatio-Temporal model) approach. We based the VAST model on catch-rate (catch per unit effort) data from the long-line fishery and compared the biomass time series obtained to that of existing single-area and spatially-explicit integrated population models which have also been developed for this population. The time series obtained from the statistical spatial distribution modelling approach was highly variable between years, inconsistent with constraints imposed on population dynamics by biological parameters, and substantially different from biomass trends obtained from the integrated models. Although it has been used successfully in other analyses, in this instance, the spatial distribution modelling could not overcome fine-scale spatial and vessel-based variability in fishery catch rates to estimate the underlying abundance of toothfish at the scale of the Ross Sea region measurable with the more-informed integrated models.</t>
  </si>
  <si>
    <t>[Mormede, Sophie; Pinkerton, Matthew H.] NIWA, 301 Evans Bay Parade, Wellington 6021, New Zealand; [Parker, Steven J.] NIWA, 217 Akersten St, Port Nelson 7010, Nelson, New Zealand; [Mormede, Sophie] Off Parliamentary Commissioner Environm, 2 Terrace, Wellington 6143, New Zealand</t>
  </si>
  <si>
    <t>National Institute of Water &amp; Atmospheric Research (NIWA) - New Zealand</t>
  </si>
  <si>
    <t>Parker, SJ (corresponding author), NIWA, 217 Akersten St, Port Nelson 7010, Nelson, New Zealand.</t>
  </si>
  <si>
    <t>steve.parker@niwa.co.nz</t>
  </si>
  <si>
    <t>Mormede, Sophie/0000-0003-4668-2046</t>
  </si>
  <si>
    <t>New Zealand Ministry for Business, Innovation and Employment project Ross-RAMP (MBIE contract) [C01 x 1710]</t>
  </si>
  <si>
    <t>New Zealand Ministry for Business, Innovation and Employment project Ross-RAMP (MBIE contract)(New Zealand Ministry of Business, Innovation and Employment (MBIE))</t>
  </si>
  <si>
    <t>This work was funded under the New Zealand Ministry for Business, Innovation and Employment project Ross-RAMP (MBIE contract C01 x 1710). We thank the New Zealand Antarctic Working Group for its input in this work.</t>
  </si>
  <si>
    <t>10.1016/j.fishres.2019.105381</t>
  </si>
  <si>
    <t>WOS:000496874700019</t>
  </si>
  <si>
    <t>Lin, ZY; Han, XB; Jin, XL; Yi, L; Li, ZG</t>
  </si>
  <si>
    <t>Xu, Z; Choo, KKR; Dehghantanha, A; Parizi, R; Hammoudeh, M</t>
  </si>
  <si>
    <t>Lin, Zhongyang; Han, Xibin; Jin, Xianglong; Yi, Liang; Li, Zhenggang</t>
  </si>
  <si>
    <t>Paleomagnetic and Sedimentary Evidence for the Multi-stage Paleoenvironmental Evolution of Prydz Bay Based on Big Data Analytics</t>
  </si>
  <si>
    <t>CYBER SECURITY INTELLIGENCE AND ANALYTICS</t>
  </si>
  <si>
    <t>Advances in Intelligent Systems and Computing</t>
  </si>
  <si>
    <t>International Conference on Cyber Security Intelligence and Analytics (CSIA)</t>
  </si>
  <si>
    <t>FEB 21-22, 2019</t>
  </si>
  <si>
    <t>Shenyang, PEOPLES R CHINA</t>
  </si>
  <si>
    <t>Paleomagnetism; Paleoenvironment; Climate change; Late quaternary; Prydz Bay; Antarctica</t>
  </si>
  <si>
    <t>ENVIRONMENTAL MAGNETISM; PARAMETERS; RECORD; CHINA; BASIN</t>
  </si>
  <si>
    <t>A 324-cm-long sediment core was obtained from Prydz Bay, Antarctica, during the 29th Chinese National Antarctic Research Expedition. Based upon sediment grain size, C-14, TOC, delta C-13, and magnetism data, we show that the major magnetic minerals are ferrimagnetic pseudo single domain (PSD)-multi domain (MD) magnetite. Variations in the paleoenvironmental proxy records allow us to define four zones in the core. These zones broadly delineate climatic variations in the region since the late Early Pleistocene, with a warm period, a transitional period, and a cold period. The magnetic particle assemblage varies with glacial-interglacial cycles. Abrupt changes in particle size, TOC content, and magnetism occur at 102-90 cm depth in the core, indicating a sudden warming in the Antarctic region, signaling the onset of the Holocene. We identified three additional climatic signals in the middle part of the core (232-162 cm) that show unexpected cooling events during the warm period in Prydz Bay.</t>
  </si>
  <si>
    <t>[Lin, Zhongyang; Jin, Xianglong] China Univ Geosci, Coll Marine Sci &amp; Technol, Wuhan 430074, Peoples R China; [Han, Xibin; Jin, Xianglong; Li, Zhenggang] State Ocean Adm, Inst Oceanog 2, Hangzhou 310012, Zhejiang, Peoples R China; [Yi, Liang] Tongji Univ, State Key Lab Marine Geol, Shanghai 200092, Peoples R China; [Lin, Zhongyang] Zhejiang Inst Geol Survey, Hangzhou 311203, Zhejiang, Peoples R China</t>
  </si>
  <si>
    <t>China University of Geosciences; Tongji University</t>
  </si>
  <si>
    <t>Jin, XL (corresponding author), China Univ Geosci, Coll Marine Sci &amp; Technol, Wuhan 430074, Peoples R China.;Jin, XL (corresponding author), State Ocean Adm, Inst Oceanog 2, Hangzhou 310012, Zhejiang, Peoples R China.</t>
  </si>
  <si>
    <t>zhihuo705253@163.com</t>
  </si>
  <si>
    <t>Yi, Liang/AAM-9737-2020</t>
  </si>
  <si>
    <t>Yi, Liang/0000-0003-3377-8591</t>
  </si>
  <si>
    <t>2194-5357</t>
  </si>
  <si>
    <t>2194-5365</t>
  </si>
  <si>
    <t>978-3-030-15235-2; 978-3-030-15234-5</t>
  </si>
  <si>
    <t>ADV INTELL SYST</t>
  </si>
  <si>
    <t>10.1007/978-3-030-15235-2_17</t>
  </si>
  <si>
    <t>Computer Science, Artificial Intelligence; Computer Science, Theory &amp; Methods</t>
  </si>
  <si>
    <t>Computer Science</t>
  </si>
  <si>
    <t>BO0EU</t>
  </si>
  <si>
    <t>WOS:000490430400017</t>
  </si>
  <si>
    <t>Bayartogtokh, B; Ermilov, SG</t>
  </si>
  <si>
    <t>Bayartogtokh, Badamdorj; Ermilov, Sergey G.</t>
  </si>
  <si>
    <t>Ontogeny of morphological traits in Oribatella palustris Hammer, 1962, with remarks on juveniles of Oribatellidae (Acari: Oribatida)</t>
  </si>
  <si>
    <t>ZOOTAXA</t>
  </si>
  <si>
    <t>Oribatellidae; comparative analysis; morphology; ontogeny; juvenile instars</t>
  </si>
  <si>
    <t>MITES ACARI; ISLANDS; INSTARS</t>
  </si>
  <si>
    <t>In this work, the larva and tritonymph of Oribatella palustris, an Antarctic and Subantarctic species of the Neotropical region are investigated along with supplementary re-description of adults. Comparative characteristics of juveniles of Oribatellidae, especially larvae and tritonymphs, are given based on this study and available literature sources; keys for identification of larvae and tritonymphs of Oribatella are also presented. Previous record of Oribatella palustris from a tropical island of Mexico is questioned.</t>
  </si>
  <si>
    <t>[Bayartogtokh, Badamdorj] Natl Univ Mongolia, Dept Biol, Sch Arts &amp; Sci, Ulaanbaatar, Mongolia; [Ermilov, Sergey G.] Tyumen State Univ, Tyumen, Russia</t>
  </si>
  <si>
    <t>National University of Mongolia; Tyumen State University</t>
  </si>
  <si>
    <t>Bayartogtokh, B (corresponding author), Natl Univ Mongolia, Dept Biol, Sch Arts &amp; Sci, Ulaanbaatar, Mongolia.</t>
  </si>
  <si>
    <t>bayartogtokh@num.edu.nm; ermilovacari@yandex.ru</t>
  </si>
  <si>
    <t>Bayartogtokh, Badamdorj/T-5235-2017</t>
  </si>
  <si>
    <t>Bayartogtokh, Badamdorj/0000-0002-6370-5759</t>
  </si>
  <si>
    <t>Science and Technology Foundation of Mongolia; National University of Mongolia</t>
  </si>
  <si>
    <t>We thank A.A. Gubin (Tyumen state University, Tyumen, Russia) for SEM photos, and Drs. V.A. Stolbov and S.A. Ivanov (Tyumen State University, Tyumen, Russia) for collecting mites in Chile. Thanks are also due to anonymous reviewers for their critical reading of the manuscript with valuable comments, which considerably improved this article. This research was partly supported by the Science and Technology Foundation of Mongolia, and the National University of Mongolia.</t>
  </si>
  <si>
    <t>MAGNOLIA PRESS</t>
  </si>
  <si>
    <t>AUCKLAND</t>
  </si>
  <si>
    <t>PO BOX 41383, AUCKLAND, ST LUKES 1030, NEW ZEALAND</t>
  </si>
  <si>
    <t>1175-5326</t>
  </si>
  <si>
    <t>1175-5334</t>
  </si>
  <si>
    <t>Zootaxa</t>
  </si>
  <si>
    <t>DEC 31</t>
  </si>
  <si>
    <t>10.11646/zootaxa.4717.1.8</t>
  </si>
  <si>
    <t>Zoology</t>
  </si>
  <si>
    <t>KA8DV</t>
  </si>
  <si>
    <t>WOS:000506031700006</t>
  </si>
  <si>
    <t>da Silva, JF; Linton, MAO; da Anunciaçao, RR; da Silva, EP; Alves, RP; Schünemann, AL; Victoria, FD; de Albuquerque, MP; Pereira, AB</t>
  </si>
  <si>
    <t>da Silva, Juliana Ferreira; Oliveira Linton, Maria Angelica; da Anunciacao, Raylane Ribeiro; da Silva, Eduardo Pereira; Alves, Rodrigo Paidano; Schunemann, Adriano Luis; Victoria, Filipe de Carvalho; de Albuquerque, Margeli Pereira; Pereira, Antonio Batista</t>
  </si>
  <si>
    <t>Distribution of aerophilous diatom communities associated with terrestrial green macroalgae in the South Shetland Islands, Maritime Antarctica</t>
  </si>
  <si>
    <t>PLOS ONE</t>
  </si>
  <si>
    <t>KING-GEORGE ISLAND; JAMES-ROSS-ISLAND; SP. NOV. BACILLARIOPHYTA; SPECIES BACILLARIOPHYTA; LATITUDINAL GRADIENT; DISTANCE DECAY; WATER BODIES; DIVERSITY; TAXA; BIOMASS</t>
  </si>
  <si>
    <t>The establishment of diatom communities depends on environmental factors such as the type of substrate and geographic conditions that influence the dispersal processes of these organisms. The main goal of this study was to evaluate the similarity between diatom communities associated with the macroalgae Prasiola crispa (Lightfoot) Kutzing in relation to spatial distance from six sampled sites located in the South Shetland Islands, Maritime Antarctica. The diatom flora associated with Prasiola crispa was represented by 23 species distributed in 15 genera. Pinnularia australoschoenfelderi Zidarova, Kopalova &amp; Van de Vijver, Luticola austroatlantica Van de Vijver, Kopalova, S.A.Spaulding &amp; Esposito, Luticola amoena Van der Vijver, Kopalova, Zidarova &amp; Levkov, Pinnularia austroshetlandica (Carlson) Cleve-Euler and Psammothidium papilio (D.E. Kellogg et al.) Kopalova &amp; Zidarova were the most abundant species in our samples, together they represented 68% of the total number of individuals collected. There was great similarity and abundance of the diatom communites among the sampled points, which resulted in the absence of a linear relationship pattern with distance between sampling points. We conclude that distance was not a factor of differentiation of Antarctic diatom communities associated with terrestrial green macroalgae. This suggests that Antarctic environments may have unique characteristics with homogeneous abiotic factors, at least in relation to this substrate.</t>
  </si>
  <si>
    <t>[da Silva, Juliana Ferreira; da Silva, Eduardo Pereira; Schunemann, Adriano Luis; Victoria, Filipe de Carvalho; de Albuquerque, Margeli Pereira; Pereira, Antonio Batista] Fed Univ Pampa, Antarctic Vegetat Studies Ctr, Sao Gabriel, RS, Brazil; [Oliveira Linton, Maria Angelica] Univ Fed Santa Maria, Lab Phycol, Santa Maria, RS, Brazil; [da Anunciacao, Raylane Ribeiro] Univ Fed Rural Pernambuco, Lab Phycol, Recife, PE, Brazil; [Alves, Rodrigo Paidano] Max Planck Inst Chem, Manaus, Amazonas, Brazil; [de Albuquerque, Margeli Pereira] Fed Univ Pampa, Natl Inst Antarctic Sci &amp; Tecnol, Sao Gabriel, RS, Brazil</t>
  </si>
  <si>
    <t>Universidade Federal do Pampa; Universidade Federal de Santa Maria (UFSM); Universidade Federal Rural de Pernambuco (UFRPE); Universidade Federal do Pampa</t>
  </si>
  <si>
    <t>Victoria, FD (corresponding author), Fed Univ Pampa, Antarctic Vegetat Studies Ctr, Sao Gabriel, RS, Brazil.</t>
  </si>
  <si>
    <t>filipevictoria@unipampa.edu.br</t>
  </si>
  <si>
    <t>Pereira, Antonio B/I-8201-2014; Victoria, Filipe/F-6066-2013; Linton, Maria Angélica Oliveira/C-3115-2015; Schünemann, Adriano Luis/AAN-1224-2020; Paidano Alves, Rodrigo/L-6987-2017</t>
  </si>
  <si>
    <t>Pereira, Antonio B/0000-0003-0368-4594; Victoria, Filipe/0000-0002-8580-1813; Linton, Maria Angélica Oliveira/0000-0002-7646-072X; Schünemann, Adriano Luis/0000-0001-7227-7074; Paidano Alves, Rodrigo/0000-0003-1009-5923</t>
  </si>
  <si>
    <t>National Council for Research and Development (CNPq) [574018/2008]; Research Foundation of the State of Rio de Janeiro (FAPERJ) [E-26/170.023/2008]; Coordination of Improvement of Higher-Level Personnel (CAPES)</t>
  </si>
  <si>
    <t>National Council for Research and Development (CNPq)(Conselho Nacional de Desenvolvimento Cientifico e Tecnologico (CNPQ)); Research Foundation of the State of Rio de Janeiro (FAPERJ)(Fundacao Carlos Chagas Filho de Amparo a Pesquisa do Estado do Rio De Janeiro (FAPERJ)); Coordination of Improvement of Higher-Level Personnel (CAPES)(Coordenacao de Aperfeicoamento de Pessoal de Nivel Superior (CAPES))</t>
  </si>
  <si>
    <t>This work are funded by the National Council for Research and Development (CNPq; process no. 574018/2008) and the Research Foundation of the State of Rio de Janeiro (FAPERJ; process E-26/170.023/2008). The funders had no role in study design, data collection and analysis, decision to publish, or preparation of the manuscript.; We acknowledge the Coordination of Improvement of Higher-Level Personnel (CAPES), for the scholarship granted to the first author. The authors would also like to thank the brazilian Ministry of the Environment and the Inter-Ministerial Secretary for Sea Resources (SECIRM) for the autorizations granted for field collection activities under the Brazilian Antarctic Program. We would like to thank the researchers at Luxembourg Institute of Science and Technology, Luc Ector and Carlos Wetzel, for helping to species identification.</t>
  </si>
  <si>
    <t>PUBLIC LIBRARY SCIENCE</t>
  </si>
  <si>
    <t>SAN FRANCISCO</t>
  </si>
  <si>
    <t>1160 BATTERY STREET, STE 100, SAN FRANCISCO, CA 94111 USA</t>
  </si>
  <si>
    <t>1932-6203</t>
  </si>
  <si>
    <t>PLoS One</t>
  </si>
  <si>
    <t>DEC 30</t>
  </si>
  <si>
    <t>e0226691</t>
  </si>
  <si>
    <t>10.1371/journal.pone.0226691</t>
  </si>
  <si>
    <t>Multidisciplinary Sciences</t>
  </si>
  <si>
    <t>Science &amp; Technology - Other Topics</t>
  </si>
  <si>
    <t>KN8JV</t>
  </si>
  <si>
    <t>WOS:000515092200028</t>
  </si>
  <si>
    <t>Lee, DY; Petersen, MR; Lin, W</t>
  </si>
  <si>
    <t>Lee, Doo Young; Petersen, Mark R.; Lin, Wuyin</t>
  </si>
  <si>
    <t>The Southern Annular Mode and Southern Ocean Surface Westerly Winds in E3SM</t>
  </si>
  <si>
    <t>EARTH AND SPACE SCIENCE</t>
  </si>
  <si>
    <t>ANTARCTIC OSCILLATION; EXTRATROPICAL CIRCULATION; HEMISPHERE CIRCULATION; POLEWARD SHIFT; PART II; TRENDS; VARIABILITY; PROJECTION; RESOLUTION</t>
  </si>
  <si>
    <t>Climate variability and change in the Southern Hemisphere (SH) are influenced by the Southern Annular Mode (SAM) and are closely related to changes in the kinematic properties of the SH surface zonal winds. The SAM and SH surface zonal winds have strong effects on the atmospheric and oceanic circulation system. In this study we investigate the variability and trend in the SAM and position and strength of the surface zonal wind stress (TAUX), using two ensembles of simulations covering the historical record from the Energy Exascale Earth System Model (E3SM-HIST and Atmospheric Model Intercomparison Project) for 1979-2014. In addition, performance of two CO2 forcing simulations from the E3SM (E3SM-1pctCO2 and 4xCO2) is assessed to examine the sensitivity of the variability and changes in the SAM and SH surface TAUX to climate forcing. In general, all E3SM simulations tend to capture the dominant feature of the SAM pattern reasonably well. The annual SAM index in the E3SM-HIST simulation shows a significant increasing trend. These features are similar to the trends in the strength (along with poleward shift in the position) of the annual surface TAUX. For the climatological surface TAUX position and strength, the two CO2 forcing simulations show slightly poleward movement and stronger intensity, while the E3SM-HIST is equatorward and weaker than observations. In the relationship between the SAM and surface TAUX, we show that the SAM index exhibits a positive (negative) relationship with the strength (position) of the surface TAUX in the variability for all seasons and annual mean.</t>
  </si>
  <si>
    <t>[Lee, Doo Young; Petersen, Mark R.] Los Alamos Natl Lab, Computat Phys &amp; Methods CCS 2, Los Alamos, NM 87545 USA; [Lin, Wuyin] Brookhaven Natl Lab, Environm &amp; Climate Sci Dept, Upton, NY 11973 USA</t>
  </si>
  <si>
    <t>United States Department of Energy (DOE); Los Alamos National Laboratory; United States Department of Energy (DOE); Brookhaven National Laboratory</t>
  </si>
  <si>
    <t>Lee, DY (corresponding author), Los Alamos Natl Lab, Computat Phys &amp; Methods CCS 2, Los Alamos, NM 87545 USA.</t>
  </si>
  <si>
    <t>dylee@lanl.gov</t>
  </si>
  <si>
    <t>Lee, Doo Young/Y-7588-2019</t>
  </si>
  <si>
    <t>Lee, Doo Young/0000-0002-6129-2241; Petersen, Mark/0000-0001-7170-7511</t>
  </si>
  <si>
    <t>Energy Exascale Earth System Model (E3SM) project - U.S. Department of Energy, Office of Science, Office of Biological and Environmental Research; Argonne Leadership Computing Facility [DEAC0206CH11357]; National Energy Research Scientific Computing Center [DEAC0205CH11231]; Oak Ridge Leadership Computing Facility [DEAC0500OR22725]; Los Alamos National Laboratory Institutional Computing, U.S. DOE NNSA [DEAC0205CH11231]</t>
  </si>
  <si>
    <t>Energy Exascale Earth System Model (E3SM) project - U.S. Department of Energy, Office of Science, Office of Biological and Environmental Research(United States Department of Energy (DOE)); Argonne Leadership Computing Facility; National Energy Research Scientific Computing Center; Oak Ridge Leadership Computing Facility; Los Alamos National Laboratory Institutional Computing, U.S. DOE NNSA</t>
  </si>
  <si>
    <t>This research was supported as part of the Energy Exascale Earth System Model (E3SM) project, funded by the U.S. Department of Energy, Office of Science, Office of Biological and Environmental Research. NCEP Reanalysis data provided by the NOAA/OAR/ESRL PSD, Boulder, Colorado, USA, from theirWeb site (https://www.esrl.noaa.gov/psd/). The ERA-Interim reanalysis data are available online (https://www.ecmwf.int/en/forecasts/datasets/archive-datasets/reanalysis-datasets/era-interim/). E3SM data are freely available through the Earth System Grid Federation (ESGF) distributed archives. See details at the website (https://e3sm.org/data). E3SM simulations are conducted at Argonne Leadership Computing Facility (Contract DEAC0206CH11357); National Energy Research Scientific Computing Center (DEAC0205CH11231); Oak Ridge Leadership Computing Facility (DEAC0500OR22725); Argonne National Laboratory high-performance computing cluster, provided by BER Earth System Modeling; and Los Alamos National Laboratory Institutional Computing, U.S. DOE NNSA (DEAC0205CH11231).</t>
  </si>
  <si>
    <t>AMER GEOPHYSICAL UNION</t>
  </si>
  <si>
    <t>WASHINGTON</t>
  </si>
  <si>
    <t>2000 FLORIDA AVE NW, WASHINGTON, DC 20009 USA</t>
  </si>
  <si>
    <t>2333-5084</t>
  </si>
  <si>
    <t>EARTH SPACE SCI</t>
  </si>
  <si>
    <t>Earth Space Sci.</t>
  </si>
  <si>
    <t>DEC</t>
  </si>
  <si>
    <t>10.1029/2019EA000663</t>
  </si>
  <si>
    <t>DEC 2019</t>
  </si>
  <si>
    <t>Astronomy &amp; Astrophysics; Geosciences, Multidisciplinary</t>
  </si>
  <si>
    <t>Astronomy &amp; Astrophysics; Geology</t>
  </si>
  <si>
    <t>KM4PD</t>
  </si>
  <si>
    <t>gold, Green Submitted</t>
  </si>
  <si>
    <t>WOS:000504807500001</t>
  </si>
  <si>
    <t>Pertierra, LR; Bartlett, JC; Duffy, GA; Vega, GC; Hughes, KA; Hayward, SAL; Convey, P; Olalla-Tarraga, MA; Aragón, P</t>
  </si>
  <si>
    <t>Pertierra, Luis R.; Bartlett, Jesamine C.; Duffy, Grant A.; Vega, Greta C.; Hughes, Kevin A.; Hayward, Scott A. L.; Convey, Peter; Olalla-Tarraga, Miguel A.; Aragon, P.</t>
  </si>
  <si>
    <t>Combining correlative and mechanistic niche models with human activity data to elucidate the invasive potential of a sub-Antarctic insect</t>
  </si>
  <si>
    <t>JOURNAL OF BIOGEOGRAPHY</t>
  </si>
  <si>
    <t>Chironomidae; climate change; conservation paradox; human footprint; Southern Ocean; species distribution models</t>
  </si>
  <si>
    <t>CHIRONOMID ERETMOPTERA-MURPHYI; SPECIES DISTRIBUTION; BIOLOGICAL INVASIONS; BASE-LINE; CLIMATE; DIPTERA; MIDGE; RISK; THRESHOLDS; BARRIERS</t>
  </si>
  <si>
    <t>Aim Correlative species distribution models (SDMs) are subject to substantial spatio-temporal limitations when historical occurrence records of data-poor species provide incomplete and outdated information for niche modelling. Complementary mechanistic modelling techniques can, therefore, offer a valuable contribution to underpin more physiologically informed predictions of biological invasions, the risk of which is often exacerbated by climate change. In this study we integrate physiological and human pressure data to address the uncertainties and limitations of correlative SDMs and to better understand, predict and manage biological invasions. Location Western archipelagos of the Southern Ocean and martime Antarctica. Taxon Eretmoptera murphyi (Chironomidae), invertebrates. Methods Mahalanobis Distances were used for correlative SDM construction for a species with few records. A mechanistic SDM was built around different fitness components (larval survival and life stage progression) as a function of temperature. SDM predictions were combined with human activity levels in Antarctica to generate a site vulnerability index to the assess colonization risk of E. murphyi. Future scenarios of ecophysiological suitability were built around the warming trends in the region. Results Both SDMs converge to predict high environmental suitability in the species' native and introduced ranges. However, the mechanistic model indicates a slightly larger invasive potential based on larval performance at different temperatures. Human activity levels across the Antarctic Peninsula play a key role in discerning site vulnerabilities. Niche suitability in Antarctica grows considerably under long-term climate scenarios, leading to a substantially higher invasive threat to the Antarctic ecosystems. In turn changing conditions result in growing physiological mismatches with the environment in the native range in South Georgia. Main conclusions Long-term studies of invasion potential under climate benefit from integrating correlative predictions with physiological experiments, as the invasion potential varies depending on the area and the timescale examined. This study also highlights a conservation paradox whereby the accidental introduction of an insect represents a threat to the Antarctic ecoystems that contrasts with its endangered status at the native range.</t>
  </si>
  <si>
    <t>[Pertierra, Luis R.; Aragon, P.] CSIC, Museo Nacl Ciencias Nat, Dept Biogeog &amp; Global Change, Madrid, Spain; [Pertierra, Luis R.; Vega, Greta C.; Olalla-Tarraga, Miguel A.] Univ Rey Juan Carlos, Mostoles, Spain; [Bartlett, Jesamine C.; Hayward, Scott A. L.] Univ Birmingham, Sch Biosci, Birmingham, W Midlands, England; [Bartlett, Jesamine C.; Hughes, Kevin A.; Convey, Peter] British Antarctic Survey, Cambridge, England; [Duffy, Grant A.] Monash Univ, Sch Biol Sci, Clayton, Vic, Australia; [Aragon, P.] Univ Complutense Madrid, Fac Biol, Dept Biodivers Ecol &amp; Evolut, Madrid, Spain</t>
  </si>
  <si>
    <t>Consejo Superior de Investigaciones Cientificas (CSIC); CSIC - Museo Nacional de Ciencias Naturales (MNCN); Universidad Rey Juan Carlos; University of Birmingham; UK Research &amp; Innovation (UKRI); Natural Environment Research Council (NERC); NERC British Antarctic Survey; Monash University; Complutense University of Madrid</t>
  </si>
  <si>
    <t>Pertierra, LR (corresponding author), CSIC, Museo Nacl Ciencias Nat, Dept Biogeog &amp; Global Change, Madrid, Spain.</t>
  </si>
  <si>
    <t>luis.pertierra@gmail.com</t>
  </si>
  <si>
    <t>Convey, Peter/AAV-5728-2020; Hughes, Kevin/JVZ-0793-2024; Pertierra, Luis R./K-3727-2017; Aragón, Pedro/B-2598-2009; Olalla-Tárraga, Miguel Ángel/ABE-7880-2020</t>
  </si>
  <si>
    <t>Convey, Peter/0000-0001-8497-9903; Pertierra, Luis R./0000-0002-2232-428X; Aragón, Pedro/0000-0002-6849-7274; Olalla-Tárraga, Miguel Ángel/0000-0001-5346-4528; Bartlett, Jesamine/0000-0001-7464-5440; Hayward, Scott/0000-0002-1899-6630; , Greta/0000-0001-5115-0146</t>
  </si>
  <si>
    <t>Natural Environment Research Council [RRBN19276]; NICHEAPPS [CGL2014-56416-P]; Central England NERC Training Alliance (CENTA) Doctoral Training Partnership (DTP) [RRBN19276]; University of Birmingham; British Antarctic Survey; Spanish Ministry of Science, Innovation and Universities [CGL2017-89820-P]; Australian Government [DE190100003]; [RYC-2011-07670]; Australian Research Council [DE190100003] Funding Source: Australian Research Council; NERC [bas0100036, bas010011] Funding Source: UKRI</t>
  </si>
  <si>
    <t>Natural Environment Research Council(UK Research &amp; Innovation (UKRI)Natural Environment Research Council (NERC)); NICHEAPPS; Central England NERC Training Alliance (CENTA) Doctoral Training Partnership (DTP); University of Birmingham; British Antarctic Survey; Spanish Ministry of Science, Innovation and Universities(Spanish Government); Australian Government(Australian Government); ; Australian Research Council(Australian Research Council); NERC(UK Research &amp; Innovation (UKRI)Natural Environment Research Council (NERC))</t>
  </si>
  <si>
    <t>Natural Environment Research Council, Grant/Award Number: RRBN19276; NICHEAPPS, Grant/Award Number: CGL2014-56416-P; Central England NERC Training Alliance (CENTA) Doctoral Training Partnership (DTP), Grant/Award Number: RRBN19276; University of Birmingham; British Antarctic Survey; Spanish Ramon y Cajal, Grant/Award Number: RYC-2011-07670; Spanish Ministry of Science, Innovation and Universities, Grant/Award Number: CGL2017-89820-P; Australian Government, Grant/Award Number: DE190100003</t>
  </si>
  <si>
    <t>0305-0270</t>
  </si>
  <si>
    <t>1365-2699</t>
  </si>
  <si>
    <t>J BIOGEOGR</t>
  </si>
  <si>
    <t>J. Biogeogr.</t>
  </si>
  <si>
    <t>MAR</t>
  </si>
  <si>
    <t>10.1111/jbi.13780</t>
  </si>
  <si>
    <t>Ecology; Geography, Physical</t>
  </si>
  <si>
    <t>Environmental Sciences &amp; Ecology; Physical Geography</t>
  </si>
  <si>
    <t>KQ4KA</t>
  </si>
  <si>
    <t>WOS:000504819200001</t>
  </si>
  <si>
    <t>Liu, MX; Clarke, LJ; Baker, SC; Jordan, GJ; Burridge, CP</t>
  </si>
  <si>
    <t>Liu, Mingxin; Clarke, Laurence J.; Baker, Susan C.; Jordan, Gregory J.; Burridge, Christopher P.</t>
  </si>
  <si>
    <t>A practical guide to DNA metabarcoding for entomological ecologists</t>
  </si>
  <si>
    <t>ECOLOGICAL ENTOMOLOGY</t>
  </si>
  <si>
    <t>Biodiversity monitoring; DNA preservation; ecological inferences; environmental DNA; high-throughput sequencing; invertebrates; metabarcoding</t>
  </si>
  <si>
    <t>ENVIRONMENTAL DNA; BIODIVERSITY; EDNA; COMMUNITIES; IDENTIFICATION; PCR; PRESERVATIVES; CHALLENGES; PROTOCOL; CAPTURE</t>
  </si>
  <si>
    <t>1. DNA metabarcoding is a cost-effective species identification approach with great potential to assist entomological ecologists. This review presents a practical guide to help entomological ecologists design their own DNA metabarcoding studies and ensure that sound ecological conclusions can be obtained. 2. The review considers approaches to field sampling, laboratory work, and bioinformatic analyses, with the aim of providing the background knowledge needed to make decisions at each step of a DNA metabarcoding workflow. 3. Although most conventional sampling methods can be adapted to DNA metabarcoding, this review highlights techniques that will ensure suitable DNA preservation during field sampling and laboratory storage. The review also calls for a greater understanding of the occurrence, transportation, and deposition of environmental DNA when applying DNA metabarcoding approaches for different ecosystems. 4. Accurate species detection with DNA metabarcoding needs to consider biases introduced during DNA extraction and PCR amplification, cross-contamination resulting from inappropriate amplicon library preparation, and downstream bioinformatic analyses. Quantifying species abundance with DNA metabarcoding is in its infancy, yet recent studies demonstrate promise for estimating relative species abundance from DNA sequencing reads. 5. Given that bioinformatics is one of the biggest hurdles for researchers new to DNA metabarcoding, several useful graphical user interface programs are recommended for sequence data processing, and the application of emerging sequencing technologies is discussed.</t>
  </si>
  <si>
    <t>[Liu, Mingxin; Baker, Susan C.; Jordan, Gregory J.; Burridge, Christopher P.] Univ Tasmania, Sch Nat Sci, Private Bag 55, Hobart, Tas 7001, Australia; [Liu, Mingxin; Baker, Susan C.] Univ Tasmania, ARC Ctr Forest Value, Hobart, Tas, Australia; [Clarke, Laurence J.] Univ Tasmania, Antarctic Climate &amp; Ecosyst Cooperat Res Ctr, Hobart, Tas, Australia</t>
  </si>
  <si>
    <t>University of Tasmania; University of Tasmania; Antarctic Climate &amp; Ecosystems Cooperative Research Centre (ACE CRC); University of Tasmania</t>
  </si>
  <si>
    <t>Liu, MX (corresponding author), Univ Tasmania, Sch Nat Sci, Private Bag 55, Hobart, Tas 7001, Australia.</t>
  </si>
  <si>
    <t>mingxin.liu@utas.edu.au</t>
  </si>
  <si>
    <t>LIU, Mingxin/C-6848-2013; Baker, Susan/O-8482-2019; Jordan, Gregory/B-3932-2013; Burridge, Chris/L-4392-2019; Liu, Mingxin/L-2073-2019; Burridge, Christopher/J-2653-2012; Clarke, Laurence/N-3579-2017</t>
  </si>
  <si>
    <t>LIU, Mingxin/0000-0003-0436-4058; Baker, Susan/0000-0002-7593-0267; Jordan, Gregory/0000-0002-6033-2766; Liu, Mingxin/0000-0003-0436-4058; Burridge, Christopher/0000-0002-8185-6091; Clarke, Laurence/0000-0002-0844-4453</t>
  </si>
  <si>
    <t>Australian Research Council [LP140100075]; China Scholarship Council (CSC) [201608360109]; Australian Research Council [LP140100075] Funding Source: Australian Research Council</t>
  </si>
  <si>
    <t>Australian Research Council(Australian Research Council); China Scholarship Council (CSC)(China Scholarship Council); Australian Research Council(Australian Research Council)</t>
  </si>
  <si>
    <t>This work was funded by the Australian Research Council Linkage Grant LP140100075. ML was also supported by the China Scholarship Council (CSC no. 201608360109). The authors have no conflicts of interest to declare.</t>
  </si>
  <si>
    <t>0307-6946</t>
  </si>
  <si>
    <t>1365-2311</t>
  </si>
  <si>
    <t>ECOL ENTOMOL</t>
  </si>
  <si>
    <t>Ecol. Entomol.</t>
  </si>
  <si>
    <t>JUN</t>
  </si>
  <si>
    <t>10.1111/een.12831</t>
  </si>
  <si>
    <t>Entomology</t>
  </si>
  <si>
    <t>LI8NG</t>
  </si>
  <si>
    <t>WOS:000504765500001</t>
  </si>
  <si>
    <t>Thomas, JL; Stutz, J; Frey, MM; Bartels-Rausch, T; Altieri, K; Baladima, F; Browse, J; Dall'Osto, M; Marelle, L; Mouginot, J; Jennifer, GM; Nomura, D; Pratt, KA; Willis, MD; Zieger, P; Abbatt, J; Douglas, TA; Facchini, MC; France, J; Jones, AE; Kim, K; Matrai, PA; McNeill, VF; Saiz-Lopez, A; Shepson, P; Steiner, N; Law, KS; Arnold, SR; Delille, B; Schmale, J; Sonke, JE; Dommergue, A; Voisin, D; Melamed, ML; Gier, J</t>
  </si>
  <si>
    <t>Thomas, Jennie L.; Stutz, Jochen; Frey, Markus M.; Bartels-Rausch, Thorsten; Altieri, Katye; Baladima, Foteini; Browse, Jo; Dall'Osto, Manuel; Marelle, Louis; Mouginot, Jeremie; Murphy, Jennifer G.; Nomura, Daiki; Pratt, Kerri A.; Willis, Megan D.; Zieger, Paul; Abbatt, Jon; Douglas, Thomas A.; Facchini, Maria Cristina; France, James; Jones, Anna E.; Kim, Kitae; Matrai, Patricia A.; McNeill, V. Faye; Saiz-Lopez, Alfonso; Shepson, Paul; Steiner, Nadja; Law, Kathy S.; Arnold, Steve R.; Delille, Bruno; Schmale, Julia; Sonke, Jeroen E.; Dommergue, Aurelien; Voisin, Didier; Melamed, Megan L.; Gier, Jessica</t>
  </si>
  <si>
    <t>Fostering multidisciplinary research on interactions between chemistry, biology, and physics within the coupled cryosphere-atmosphere system</t>
  </si>
  <si>
    <t>ELEMENTA-SCIENCE OF THE ANTHROPOCENE</t>
  </si>
  <si>
    <t>Editorial Material</t>
  </si>
  <si>
    <t>Cryosphere; Atmospheric chemistry; Science coordiation</t>
  </si>
  <si>
    <t>ICE-NUCLEATING PARTICLES; ARCTIC SEA-ICE; BOUNDARY-LAYER; NITROGEN-OXIDES; DOME C; PHOTOCHEMICAL PRODUCTION; SNOW PHOTOCHEMISTRY; MODELING CHEMISTRY; BLACK CARBON; AEROSOL</t>
  </si>
  <si>
    <t>The cryosphere, which comprises a large portion of Earth's surface, is rapidly changing as a consequence of global climate change. Ice, snow, and frozen ground in the polar and alpine regions of the planet are known to directly impact atmospheric composition, which for example is observed in the large influence of ice and snow on polar boundary layer chemistry. Atmospheric inputs to the cryosphere, including aerosols, nutrients, and contaminants, are also changing in the anthropocene thus driving cryosphere-atmosphere feedbacks whose understanding is crucial for understanding future climate. Here, we present the Cryosphere and ATmospheric Chemistry initiative (CATCH) which is focused on developing new multidisciplinary research approaches studying interactions of chemistry, biology, and physics within the coupled cryosphere - atmosphere system and their sensitivity to environmental change. We identify four key science areas: (1) micro-scale processes in snow and ice, (2) the coupled cryosphere-atmosphere system, (3) cryospheric change and feedbacks, and (4) improved decisions and stakeholder engagement. To pursue these goals CATCH will foster an international, multidisciplinary research community, shed light on new research needs, support the acquisition of new knowledge, train the next generation of leading scientists, and establish interactions between the science community and society.</t>
  </si>
  <si>
    <t>[Thomas, Jennie L.; Baladima, Foteini; Marelle, Louis; Mouginot, Jeremie] CNRS UGA Grenoble INP IRD, Inst Geosci Environm UMR 5001, Grenoble, France; [Thomas, Jennie L.; Marelle, Louis] Sorbonne Univ, CNRS, Lab Atmospheres Milieux &amp; Observat Spati LATMOS I, IPSL,UVSQ, Paris, France; [Stutz, Jochen] Univ Calif Los Angeles, Dept Atmospher &amp; Ocean Sci, Los Angeles, CA USA; [Stutz, Jochen] Univ Calif Los Angeles, Joint Inst Reg Earth Syst Sci &amp; Engn, Los Angeles, CA USA; [Frey, Markus M.] NERC, British Antarctic Survey, High Cross Madingley Rd, Cambridge, England; [Bartels-Rausch, Thorsten] Paul Scherrer Inst, Environm Chem Lab, Villigen, Switzerland; [Altieri, Katye] Univ Cape Town, Dept Oceanog, Cape Town, South Africa; [Browse, Jo] Univ Exeter, Ctr Geog &amp; Environm Sci, Penryn, Cornwall, England; [Dall'Osto, Manuel] Inst Ciencies Mar, Biol Marina &amp; Oceanog, CSIC, Barcelona, Catalonia, Spain; [Mouginot, Jeremie] Univ Calif Irvine, Dept Earth Syst Sci, Irvine, CA USA; [Murphy, Jennifer G.] Univ Toronto, Dept Chem, Toronto, ON, Canada; [Nomura, Daiki] Hokkaido Univ, Fac Fisheries Sci, Hakodate, Hokkaido, Japan; [Pratt, Kerri A.] Hokkaido Univ, Arctic Res Ctr, Sapporo, Hokkaido, Japan; [Pratt, Kerri A.] Univ Michigan, Dept Chem, Ann Arbor, MI 48109 USA; [Pratt, Kerri A.] Univ Michigan, Dept Earth &amp; Environm Sci, Ann Arbor, MI 48109 USA; [Willis, Megan D.] Lawrence Berkeley Natl Lab, Berkeley, CA USA; [Zieger, Paul; Abbatt, Jon] Stockholm Univ, Dept Environm Sci &amp; Analyt Chem, Stockholm, Sweden; [Zieger, Paul] Stockholm Univ, Bolin Ctr Climate Res, Stockholm, Sweden; [Douglas, Thomas A.] US Army Cold Reg Res &amp; Engn Lab, Ft Wainwright, AK USA; [Facchini, Maria Cristina] Natl Res Council ISA, Inst Atmospher Sci &amp; Climate, Bologna, Italy; [France, James] Royal Holloway Univ London, Dept Earth Sci, Egham, Surrey, England; [Kim, Kitae] Korea Polar Res Inst, Incheon, South Korea; [Matrai, Patricia A.] Bigelow Lab Ocean Sci, Boothbay, ME USA; [McNeill, V. Faye] Columbia Univ, Dept Chem Engn, New York, NY USA; [Arnold, Steve R.] CSIC, Dept Atmospher Chem &amp; Climate, Inst Phys Chem Rocasolano, Madrid, Spain; [Delille, Bruno] Purdue Univ, Dept Chem, Indiana, PA USA; [Schmale, Julia] Purdue Univ, Dept Earth Atmospher &amp; Planetary Sci, Indiana, PA USA; [Schmale, Julia] SUNY Stony Brook, Sch Marine &amp; Atmospher Sci, Stony Brook, NY 11794 USA; [Sonke, Jeroen E.] Inst Ocean Sci, Dept Fisheries &amp; Ocean Canada, Sidney, BC, Canada; [Dommergue, Aurelien] Univ Leeds, Inst Climate &amp; Atmospher Sci, Sch Earth &amp; Environm, Leeds, W Yorkshire, England; [Delille, Bruno] Univ Liege, Unite Oceanog Chim, Liege, Belgium; [Schmale, Julia] Paul Scherrer Inst, Lab Atmospher Chem, Villigen, Switzerland; [Sonke, Jeroen E.] Ecole Polytech Fed Lausanne, Sch Architecture Civil &amp; Environm Engn, Lausanne, Switzerland; [Melamed, Megan L.] Univ Toulouse, Geosci Environm Toulouse, CNRS, OMP, Toulouse, France; [Gier, Jessica] Univ Colorado, IGAC, CIRES, Boulder, CO USA; GEOMAR Helmholtz Ctr Ocean Res Kiel, SOLAS, Kiel, Germany</t>
  </si>
  <si>
    <t>Communaute Universite Grenoble Alpes; Universite Grenoble Alpes (UGA); Centre National de la Recherche Scientifique (CNRS); Universite Paris Saclay; Universite Paris Cite; Sorbonne Universite; University of California System; University of California Los Angeles; University of California System; University of California Los Angeles; UK Research &amp; Innovation (UKRI); Natural Environment Research Council (NERC); NERC British Antarctic Survey; Swiss Federal Institutes of Technology Domain; Paul Scherrer Institute; University of Cape Town; University of Exeter; Consejo Superior de Investigaciones Cientificas (CSIC); CSIC - Centro Mediterraneo de Investigaciones Marinas y Ambientales (CMIMA); CSIC - Instituto de Ciencias del Mar (ICM); University of California System; University of California Irvine; University of Toronto; Hokkaido University; Hokkaido University; University of Michigan System; University of Michigan; University of Michigan System; University of Michigan; United States Department of Energy (DOE); Lawrence Berkeley National Laboratory; Stockholm University; United States Department of Defense; United States Army; U.S. Army Corps of Engineers; U.S. Army Engineer Research &amp; Development Center (ERDC); Cold Regions Research &amp; Engineering Laboratory (CRREL); Consiglio Nazionale delle Ricerche (CNR); Istituto di Scienze dell'Atmosfera e del Clima (ISAC-CNR); University of London; Royal Holloway University London; Korea Polar Research Institute (KOPRI); Bigelow Laboratory for Ocean Sciences; Columbia University; Consejo Superior de Investigaciones Cientificas (CSIC); CSIC - Instituto de Quimica Fisica Rocasolano (IQFR); Purdue University System; Purdue University; Purdue University System; Purdue University; State University of New York (SUNY) System; State University of New York (SUNY) Stony Brook; Fisheries &amp; Oceans Canada; University of Leeds; University of Liege; Swiss Federal Institutes of Technology Domain; Paul Scherrer Institute; Swiss Federal Institutes of Technology Domain; Ecole Polytechnique Federale de Lausanne; Universite de Toulouse; Universite Toulouse III - Paul Sabatier; Centre National de la Recherche Scientifique (CNRS); University of Colorado System; University of Colorado Boulder; Helmholtz Association; GEOMAR Helmholtz Center for Ocean Research Kiel</t>
  </si>
  <si>
    <t>Thomas, JL (corresponding author), CNRS UGA Grenoble INP IRD, Inst Geosci Environm UMR 5001, Grenoble, France.;Thomas, JL (corresponding author), Sorbonne Univ, CNRS, Lab Atmospheres Milieux &amp; Observat Spati LATMOS I, IPSL,UVSQ, Paris, France.</t>
  </si>
  <si>
    <t>jennie.thomas@univ-grenoble-alpes.fr</t>
  </si>
  <si>
    <t>dommergue, aurelien/HLP-6539-2023; Stutz, Jochen/K-7159-2014; Frey, Markus/G-1756-2012; Sonke, Jeroen E/A-2444-2010; Facchini, Maria Cristina/AAA-1592-2019; Schmale, Julia Yvonne/Q-3942-2019; voisin, didier/ABE-6110-2020; Murphy, Jennifer G/C-2367-2011; Altieri, Katye/GWV-4512-2022; Delille, Bruno/C-3486-2008; Mouginot, Jeremie/G-7045-2015; Zieger, Paul C/C-3408-2011; MELAMED, MEGAN/AAH-3195-2019; Law, Kathy/Q-1290-2018; Arnold, Steve R/B-8856-2014; voisin, didier/F-9911-2010; Saiz-Lopez, Alfonso/B-3759-2015; Marelle, Louis/R-1912-2017; Pratt, Kerri/F-8025-2010; France, James/L-9719-2015; dallosto, manuel/G-3584-2016</t>
  </si>
  <si>
    <t>dommergue, aurelien/0000-0002-8185-9604; Frey, Markus/0000-0003-0535-0416; Facchini, Maria Cristina/0000-0003-4833-9305; Schmale, Julia Yvonne/0000-0002-1048-7962; voisin, didier/0000-0003-1317-7561; Murphy, Jennifer G/0000-0001-8865-5463; Altieri, Katye/0000-0002-6778-4079; Mouginot, Jeremie/0000-0001-9155-5455; MELAMED, MEGAN/0000-0002-9393-4851; Law, Kathy/0000-0003-4479-903X; Saiz-Lopez, Alfonso/0000-0002-0060-1581; Steiner, Nadja/0000-0001-7456-3437; Marelle, Louis/0000-0003-4925-0046; Abbatt, Jonathan/0000-0002-3372-334X; Bartels-Rausch, Thorsten/0000-0002-7548-2572; Arnold, Steve/0000-0002-4881-5685; Pratt, Kerri/0000-0003-4707-2290; Willis, Megan/0000-0003-0386-0156; France, James/0000-0002-8785-1240; dallosto, manuel/0000-0003-4203-894X; Kim, Kitae/0000-0003-0803-3547</t>
  </si>
  <si>
    <t>International Global Atmospheric Chemistry (IGAC) project igacproject.org; International Surface Ocean - Lower Atmosphere Study (SOLAS) project solas-int.org; International Arctic Science Committee (IASC, iasc.info); French Chantier Arctique Project Pollution in the Arctic System (PARCS); H2020 ERA-PLANET iCUPE project [689443]; NERC [NE/J021172/1, NE/S00257X/1, bas0100032, NE/M005852/1, NE/N011813/1] Funding Source: UKRI</t>
  </si>
  <si>
    <t>International Global Atmospheric Chemistry (IGAC) project igacproject.org; International Surface Ocean - Lower Atmosphere Study (SOLAS) project solas-int.org; International Arctic Science Committee (IASC, iasc.info); French Chantier Arctique Project Pollution in the Arctic System (PARCS); H2020 ERA-PLANET iCUPE project; NERC(UK Research &amp; Innovation (UKRI)Natural Environment Research Council (NERC))</t>
  </si>
  <si>
    <t>CATCH is sponsored by the International Global Atmospheric Chemistry (IGAC) project igacproject.org, the International Surface Ocean - Lower Atmosphere Study (SOLAS) project solas-int.org, and the International Arctic Science Committee (IASC, iasc.info). Support for CATCH activities has been provided by the French Chantier Arctique Project Pollution in the Arctic System (PARCS). This work was supported by the H2020 ERA-PLANET (689443) iCUPE project.</t>
  </si>
  <si>
    <t>UNIV CALIFORNIA PRESS</t>
  </si>
  <si>
    <t>OAKLAND</t>
  </si>
  <si>
    <t>155 GRAND AVE, SUITE 400, OAKLAND, CA 94612-3758 USA</t>
  </si>
  <si>
    <t>2325-1026</t>
  </si>
  <si>
    <t>ELEMENTA-SCI ANTHROP</t>
  </si>
  <si>
    <t>Elementa-Sci. Anthrop.</t>
  </si>
  <si>
    <t>10.1525/elementa.396</t>
  </si>
  <si>
    <t>JZ5PB</t>
  </si>
  <si>
    <t>Green Published, Green Accepted, gold</t>
  </si>
  <si>
    <t>WOS:000505153000001</t>
  </si>
  <si>
    <t>Stowe, MJ; Hedding, DW; Eckardt, FD; Nel, W</t>
  </si>
  <si>
    <t>Stowe, M-J; Hedding, David William; Eckardt, Frank D.; Nel, Werner</t>
  </si>
  <si>
    <t>Temporal and spatial variability of stream water chemistry on Subantarctic Marion Island</t>
  </si>
  <si>
    <t>POLAR RESEARCH</t>
  </si>
  <si>
    <t>Major ions; hydrochemistry; time series; freshwater; sea salts</t>
  </si>
  <si>
    <t>CHEMICAL-COMPOSITION; BYERS PENINSULA; TIME-SERIES; PRECIPITATION; GEOCHEMISTRY; QUALITY</t>
  </si>
  <si>
    <t>Concentrations of major ions in stream water from the Soft Plume River on Subantarctic Marion Island were measured. During the annual relief voyage, samples were collected daily over a 16-day period (21 April-6 May 2015) from three sites along the stream to better understand temporal and spatial variability of stream water chemistry on the island. The chemical composition of the stream is dominated by the sea salts Na+ and Cl-. Mean solute concentrations for Na+ and Cl- are 7 +/- 0.58 and 12.5 +/- 0.84 mg/L, respectively. The mean molar Na:Cl ratio for all samples is 0.86 +/- 0.05, with a range from 0.71 to 0.99 (n = 47), and there is a strong, significant positive correlation between Na+ and Cl- concentrations (r = 0.80; p &lt; 0.001). These values are consistent with previous studies from Marion Island and other Subantarctic islands. Temporal variation in ion concentrations was small. The largest detected change was a decrease in most solute concentrations that coincided with two precipitation events. This decrease was largest at the highest altitude and the shallowest site, suggesting that there was more rainfall at this location. These findings confirm the dominance of the surrounding ocean as the main source of the island's stream water chemistry and illustrate spatiotemporal patterns that provide an insight into mechanisms affecting their composition on Subantarctic Marion Island.</t>
  </si>
  <si>
    <t>[Stowe, M-J; Eckardt, Frank D.] Univ Cape Town, Dept Environm &amp; Geog Sci, Private Bag X3, ZA-7701 Rondebosch, South Africa; [Hedding, David William] Univ South Africa, Dept Geog, Florida, South Africa; [Nel, Werner] Univ Ft Hare, Dept Geog &amp; Environm Sci, Alice, South Africa</t>
  </si>
  <si>
    <t>University of Cape Town; University of South Africa; University of Fort Hare</t>
  </si>
  <si>
    <t>Stowe, MJ (corresponding author), Univ Cape Town, Dept Environm &amp; Geog Sci, Private Bag X3, ZA-7701 Rondebosch, South Africa.</t>
  </si>
  <si>
    <t>michaeljamesy@gmail.com</t>
  </si>
  <si>
    <t>Hedding, David William/F-3044-2011; Stowe, MJ/KAM-3512-2024; Eckardt, Frank D/N-3682-2015</t>
  </si>
  <si>
    <t>Hedding, David William/0000-0002-9748-4499; Eckardt, Frank D/0000-0003-0200-7110; Nel, Werner/0000-0002-3769-4937</t>
  </si>
  <si>
    <t>project Landscape and Climate Interactions in the Sub-Antarctic [110723]; National Research Foundation; South African Department of Science and Technology under South African National Antarctic Programme</t>
  </si>
  <si>
    <t>project Landscape and Climate Interactions in the Sub-Antarctic; National Research Foundation; South African Department of Science and Technology under South African National Antarctic Programme</t>
  </si>
  <si>
    <t>The research presented here is part of the project Landscape and Climate Interactions in the Sub-Antarctic (grant no. 110723). Funding was provided through the National Research Foundation, by the South African Department of Science and Technology under the auspices of the South African National Antarctic Programme.</t>
  </si>
  <si>
    <t>OPEN ACADEMIA AB</t>
  </si>
  <si>
    <t>SPANGA</t>
  </si>
  <si>
    <t>STORMBYVAGEN 6, SPANGA, SE-163 55, SWEDEN</t>
  </si>
  <si>
    <t>0800-0395</t>
  </si>
  <si>
    <t>1751-8369</t>
  </si>
  <si>
    <t>POLAR RES-SWEDEN</t>
  </si>
  <si>
    <t>Polar Res.</t>
  </si>
  <si>
    <t>DEC 27</t>
  </si>
  <si>
    <t>10.33265/polar.v38.3356</t>
  </si>
  <si>
    <t>Ecology; Geosciences, Multidisciplinary; Oceanography</t>
  </si>
  <si>
    <t>Environmental Sciences &amp; Ecology; Geology; Oceanography</t>
  </si>
  <si>
    <t>JZ5ZT</t>
  </si>
  <si>
    <t>WOS:000505181900001</t>
  </si>
  <si>
    <t>Cavalcanti, IFA; Silveira, VP; Figueroa, SN; Kubota, PY; Bonatti, JP; de Souza, DC</t>
  </si>
  <si>
    <t>Cavalcanti, Iracema F. A.; Silveira, Virginia P.; Figueroa, Silvio N.; Kubota, Paulo Y.; Bonatti, Jose P.; de Souza, Dayana C.</t>
  </si>
  <si>
    <t>Climate variability over South America-regional and large scale features simulated by the Brazilian Atmospheric Model (BAM-v0)</t>
  </si>
  <si>
    <t>INTERNATIONAL JOURNAL OF CLIMATOLOGY</t>
  </si>
  <si>
    <t>Atmospheric Global Circulation Model; BAM-v0; climate variability; South America; teleconnections</t>
  </si>
  <si>
    <t>SURFACE TEMPERATURE ANOMALIES; EXTREME PRECIPITATION; ANTARCTIC OSCILLATION; INTERANNUAL VARIABILITY; SEASONAL PRECIPITATION; SOUTHEASTERN BRAZIL; AUSTRAL SUMMER; SYSTEM MODEL; EL-NINO; PACIFIC</t>
  </si>
  <si>
    <t>The reliability of climate prediction by a global model is directly related to the ability to simulate the observed climate variability and the main teleconnection patterns. Precipitation anomalies in certain regions are strongly affected by these features, and it is important to know if models are able to reproduce such patterns and influences. The main objective of this article is to analyse some global features of the Brazilian Atmospheric Model with simplified physics (BAM-v0), and to discuss several aspects of climate variability over South America. Especially, the ability of the model in simulating the main teleconnection patterns that affect South America and the precipitation variability in several regions of Brazil associated with the Pacific and Atlantic Sea Surface Temperature. The model is the atmospheric component of the Brazilian Earth System Model-Ocean-Atmosphere (BESM), which can be used to long integrations due to the simplified physics, considering computer limitations. Climate variability is investigated through analyses of variance and correlations, and teleconnections such as Southern Annular Mode (SAM) and Pacific South American (PSA) are obtained from EOF analyses. El Nino Southern Oscillation (ENSO) features are analysed through the Southern Oscillation Index and precipitation anomalies. BAM-v0, even at coarse resolution, represents many climate variability features. It captures the influences of tropical Pacific and Atlantic Oceans on Northeast Brazil precipitation and reproduces the influences of ENSO over South America. SAM and PSA teleconnections are well simulated. Observed features of the South America Monsoon System are captured by the model, although the intensities of precipitation variability need to be improved. There are some deficiencies related to global budget, precipitation variance in some regions of the globe and precipitation anomalies in certain regions of South America. Identification of model deficiencies and variability analyses are important to model development and contribute to climate prediction improvements.</t>
  </si>
  <si>
    <t>[Cavalcanti, Iracema F. A.; Silveira, Virginia P.; Figueroa, Silvio N.; Kubota, Paulo Y.; Bonatti, Jose P.; de Souza, Dayana C.] Natl Inst Space Res, Ctr Weather Forecasting &amp; Climate Studies, Sao Jose Dos Campos, SP, Brazil</t>
  </si>
  <si>
    <t>Instituto Nacional de Pesquisas Espaciais (INPE)</t>
  </si>
  <si>
    <t>Cavalcanti, IFA (corresponding author), CPTEC INPE, Av Astronautas 1758, Sao Jose Dos Campos, SP, Brazil.</t>
  </si>
  <si>
    <t>iracema.cavalcanti@inpe.br</t>
  </si>
  <si>
    <t>de albuquerque cavalcanti, iracema fonseca/AAB-1259-2021; Figueroa, Silvio Nilo/AAB-1151-2021; kubota, paulo yoshio/HJB-2288-2022</t>
  </si>
  <si>
    <t>Figueroa, Silvio Nilo/0000-0003-2969-1362; kubota, paulo yoshio/0000-0003-4858-1337</t>
  </si>
  <si>
    <t>Conselho Nacional de Desenvolvimento Cientifico e Tecnologico (CNPq) [306393/2018-2]; Fundacao de Amparo a Pesquisa do Estado de Sao Paulo [2015/50687-8]; Brazilian Research Network on Global Climate Change FINEP/Rede CLIMA [01.13.0353-00]; Coordenacao de Aperfeicoamento de Pessoal de Nivel Superior (CAPES)</t>
  </si>
  <si>
    <t>Conselho Nacional de Desenvolvimento Cientifico e Tecnologico (CNPq)(Conselho Nacional de Desenvolvimento Cientifico e Tecnologico (CNPQ)); Fundacao de Amparo a Pesquisa do Estado de Sao Paulo(Fundacao de Amparo a Pesquisa do Estado de Sao Paulo (FAPESP)); Brazilian Research Network on Global Climate Change FINEP/Rede CLIMA(Financiadora de Inovacao e Pesquisa (Finep)); Coordenacao de Aperfeicoamento de Pessoal de Nivel Superior (CAPES)(Coordenacao de Aperfeicoamento de Pessoal de Nivel Superior (CAPES))</t>
  </si>
  <si>
    <t>Conselho Nacional de Desenvolvimento Cientifico e Tecnologico (CNPq), Grant/Award Number: 306393/2018-2; Fundacao de Amparo a Pesquisa do Estado de Sao Paulo, Grant/Award Number: 2015/50687-8; Brazilian Research Network on Global Climate Change FINEP/Rede CLIMA, Grant/Award Number: 01.13.0353-00; Coordenacao de Aperfeicoamento de Pessoal de Nivel Superior (CAPES)</t>
  </si>
  <si>
    <t>0899-8418</t>
  </si>
  <si>
    <t>1097-0088</t>
  </si>
  <si>
    <t>INT J CLIMATOL</t>
  </si>
  <si>
    <t>Int. J. Climatol.</t>
  </si>
  <si>
    <t>APR</t>
  </si>
  <si>
    <t>10.1002/joc.6370</t>
  </si>
  <si>
    <t>KY5RQ</t>
  </si>
  <si>
    <t>WOS:000504475700001</t>
  </si>
  <si>
    <t>Cole, TL; Dutoita, L; Dussex, N; Hart, T; Alexander, A; Younger, JL; Clucas, GV; Frugonei, MJ; Cherel, Y; Cuthbert, R; Ellenberg, U; Fiddaman, SR; Hiscock, J; Houston, D; Jouventin, P; Mattern, T; Miller, G; Miskelly, C; Nolan, P; Polito, MJ; Quillfeldt, P; Ryan, PG; Smith, A; Tennyson, AJD; Thompson, D; Wienecke, B; Vianna, JA; Waters, JM</t>
  </si>
  <si>
    <t>Cole, Theresa L.; Dutoita, Ludovic; Dussex, Nicolas; Hart, Tom; Alexander, Alana; Younger, Jane L.; Clucas, Gemma V.; Jose Frugonei, Maria; Cherel, Yves; Cuthbert, Richard; Ellenberg, Ursula; Fiddaman, Steven R.; Hiscock, Johanna; Houston, David; Jouventin, Pierre; Mattern, Thomas; Miller, Gary; Miskelly, Colin; Nolan, Paul; Polito, Michael J.; Quillfeldt, Petra; Ryan, Peter G.; Smith, Adrian; Tennyson, Alan J. D.; Thompson, David; Wienecke, Barbara; Vianna, Juliana A.; Waters, Jonathan M.</t>
  </si>
  <si>
    <t>Receding ice drove parallel expansions in Southern Ocean penguins</t>
  </si>
  <si>
    <t>PROCEEDINGS OF THE NATIONAL ACADEMY OF SCIENCES OF THE UNITED STATES OF AMERICA</t>
  </si>
  <si>
    <t>Sphenisciformes; climate change; Last Glacial Maximum; refugia; genomics</t>
  </si>
  <si>
    <t>LAST GLACIAL MAXIMUM; RANGE SHIFTS; POPULATION-STRUCTURE; CLIMATE-CHANGE; SEA-ICE; RESPONSES; DISPERSAL; INFERENCE; IMPACTS; REFUGIA</t>
  </si>
  <si>
    <t>Climate shifts are key drivers of ecosystem change. Despite the critical importance of Antarctica and the Southern Ocean for global climate, the extent of climate-driven ecological change in this region remains controversial. In particular, the biological effects of changing sea ice conditions are poorly understood. We hypothesize that rapid postglacial reductions in sea ice drove biological shifts across multiple widespread Southern Ocean species. We test for demographic shifts driven by climate events over recent millennia by analyzing population genomic datasets spanning 3 penguin genera (Eudyptes, Pygoscelis, and Aptenodytes). Demographic analyses for multiple species (macaroni/royal, eastern rockhopper, Adelie, gentoo, king, and emperor) currently inhabiting southern coastlines affected by heavy sea ice conditions during the Last Glacial Maximum (LGM) yielded genetic signatures of near-simultaneous population expansions associated with postglacial warming. Populations of the ice-adapted emperor penguin are inferred to have expanded slightly earlier than those of species requiring ice-free terrain. These concerted high-latitude expansion events contrast with relatively stable or declining demographic histories inferred for 4 penguin species (northern rockhopper, western rockhopper, Fiordland crested, and Snares crested) that apparently persisted throughout the LGM in ice-free habitats. Limited genetic structure detected in all ice-affected species across the vast Southern Ocean may reflect both rapid postglacial colonization of subantarctic and Antarctic shores, in addition to recent genetic exchange among populations. Together, these analyses highlight dramatic, ecosystem-wide responses to past Southern Ocean climate change and suggest potential for further shifts as warming continues.</t>
  </si>
  <si>
    <t>[Cole, Theresa L.; Dutoita, Ludovic; Mattern, Thomas; Waters, Jonathan M.] Univ Otago, Dept Zool, Dunedin 9054, New Zealand; [Cole, Theresa L.] Manaaki Whenua Landcare Res, Long Term Ecol Lab, Canterbury 7640, New Zealand; [Dussex, Nicolas] Swedish Museum Nat Hist, Dept Bioinformat &amp; Genet, S-17165 Stockholm, Sweden; [Dussex, Nicolas; Alexander, Alana] Univ Otago, Dept Anat, Dunedin 9054, New Zealand; [Hart, Tom; Smith, Adrian] Univ Oxford, Dept Zool, Oxford OX1 3SZ, England; [Younger, Jane L.] Univ Bath, Milner Ctr Evolut, Bath BA2 7AY, Avon, England; [Clucas, Gemma V.] Cornell Univ, Atkinson Ctr Sustainable Future, Ithaca, NY 14850 USA; [Clucas, Gemma V.] Cornell Univ, Cornell Lab Ornithol, Ithaca, NY 14850 USA; [Jose Frugonei, Maria] Univ Chile, Fac Ciencias, Dept Ciencias Ecol, Lab Ecol Mol, Santiago 7800003, Chile; [Jose Frugonei, Maria] IEB, Santiago 7800003, Chile; [Cherel, Yves] La Rochelle Univ, CNRS, UMR 7372, Ctr Etud Biol Chize, F-79360 Villiers En Bois, France; [Cuthbert, Richard] Royal Soc Protect Birds, Sandy SG19 2DL, Beds, England; [Cuthbert, Richard] World Land Trust, Halesworth IP19 8AB, Suffolk, England; [Ellenberg, Ursula] La Trobe Univ, Dept Ecol Environm &amp; Evolut, Melbourne, Vic 3086, Australia; [Ellenberg, Ursula] Univ Washington, Global Penguin Soc, Seattle, WA 94107 USA; [Fiddaman, Steven R.] Univ Oxford, Dept Zool, Oxford OX1 3SY, England; [Hiscock, Johanna] Murihiku Dist Off, Dept Conservat, Invercargill 9840, New Zealand; [Houston, David] Dept Conservat, Biodivers, Auckland 0624, New Zealand; [Jouventin, Pierre] Campus CNRS, UMR 5175, Ctr Ecol Fonct &amp; Evolut, F-34293 Montpellier 5, France; [Miller, Gary] Univ Western Australia, Div Pathol &amp; Lab Med, Crawley, WA 6009, Australia; [Miller, Gary] Univ Tasmania, Inst Marine &amp; Antarctic Studies, Hobart, Tas 7001, Australia; [Miskelly, Colin; Tennyson, Alan J. D.] Museum New Zealand Papa Tongarewa, Wellington 6140, New Zealand; [Nolan, Paul] The Citadel, Dept Biol, Charleston, SC 29409 USA; [Polito, Michael J.] Louisiana State Univ, Dept Oceanog &amp; Coastal Sci, Baton Rouge, LA 70803 USA; [Quillfeldt, Petra] Justus Liebig Univ Giessen, Dept Anim Ecol &amp; Systemat, D-35392 Giessen, Germany; [Ryan, Peter G.] Univ Cape Town, FitzPatrick Inst African Ornithol, ZA-7701 Rondebosch, South Africa; [Thompson, David] Natl Inst Water &amp; Atmospher Res Ltd, Wellington 6241, New Zealand; [Wienecke, Barbara] Australian Antarctic Div, Dept Environm &amp; Energy, Kingston, Tas 7050, Australia; [Vianna, Juliana A.] Pontificia Univ Catolica Chile, Fac Agron &amp; Ingn Forestal, Dept Ecosistemas &amp; Medio Ambiente, Santiago 7820436, Chile</t>
  </si>
  <si>
    <t>University of Otago; Landcare Research - New Zealand; Swedish Museum of Natural History; University of Otago; University of Oxford; University of Bath; Cornell University; Cornell University; Universidad de Chile; Centre National de la Recherche Scientifique (CNRS); CNRS - Institute of Ecology &amp; Environment (INEE); Royal Society for Protection of Birds; La Trobe University; Melbourne Genomics Health Alliance; University of Washington; University of Washington Seattle; University of Oxford; 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 University of Western Australia; University of Tasmania; Louisiana State University System; Louisiana State University; Justus Liebig University Giessen; University of Cape Town; National Institute of Water &amp; Atmospheric Research (NIWA) - New Zealand; Australian Antarctic Division; Pontificia Universidad Catolica de Chile</t>
  </si>
  <si>
    <t>Cole, TL (corresponding author), Univ Otago, Dept Zool, Dunedin 9054, New Zealand.</t>
  </si>
  <si>
    <t>tesscole1990@gmail.com</t>
  </si>
  <si>
    <t>Polito, Michael/G-9118-2012; Frugone, María José/AAH-2930-2019; Clucas, Gemma/ABF-9073-2021; Mattern, Thomas/AAJ-6325-2020; Ellenberg, Ursula/AAF-7317-2020; Fiddaman, Steven/HZL-9651-2023; Dussex, Nicolas/Q-9947-2017; Waters, Jonathan/B-4983-2009; Vianna, Juliana/E-9847-2015; Quillfeldt, Petra/A-9549-2009</t>
  </si>
  <si>
    <t>Polito, Michael/0000-0001-8639-4431; Frugone, María José/0000-0002-8302-0386; Mattern, Thomas/0000-0003-0745-8180; Ellenberg, Ursula/0000-0002-3100-6742; Dussex, Nicolas/0000-0002-9179-8593; Waters, Jonathan/0000-0002-1514-7916; Vianna, Juliana/0000-0003-2330-7825; Younger, Jane/0000-0001-5974-7350; Cherel, Yves/0000-0001-9469-9489; Dutoit, Ludovic/0000-0002-0164-9878; Quillfeldt, Petra/0000-0002-4450-8688; Smith, Adrian/0000-0002-7657-6191; Hart, Tom/0000-0002-4527-5046; Alexander, Alana/0000-0002-6456-7757; Fiddaman, Steven/0000-0001-8222-7687; Cole, Theresa/0000-0002-0197-286X</t>
  </si>
  <si>
    <t>Manaaki Whenua Landcare Research; University of Otago; Museum of NZ Te Papa Tongarewa; US NSF [OPP-012-8913, 1443585]; Quark Expeditions; Darwin Initiative; John Ellerman Foundation; Cheesemans' Ecology Safaris; Golden Fleece Expeditions; New Island Conservation Trust; Deutsche Forschungsgemeinschaft; Citadel Foundation; Dalio Foundation; Institut Polaire Francais Paul Emile Victor [109]; Royal Society of NZ Hutton Fund; Ornithological Society of NZ; Alumni of University of Otago in America Award; Otago University Postgraduate Award</t>
  </si>
  <si>
    <t>Manaaki Whenua Landcare Research; University of Otago; Museum of NZ Te Papa Tongarewa; US NSF(National Science Foundation (NSF)); Quark Expeditions; Darwin Initiative; John Ellerman Foundation; Cheesemans' Ecology Safaris; Golden Fleece Expeditions; New Island Conservation Trust; Deutsche Forschungsgemeinschaft(German Research Foundation (DFG)); Citadel Foundation; Dalio Foundation; Institut Polaire Francais Paul Emile Victor; Royal Society of NZ Hutton Fund; Ornithological Society of NZ; Alumni of University of Otago in America Award; Otago University Postgraduate Award</t>
  </si>
  <si>
    <t>We thank C. Bazjak, A.-S. Coquel, N. Dehnhard, M. Fawcett, H. Irvine, K. Morrison, and M. Nicolaus for sample collection; T. King, C. Mitchell, and K. Trought for laboratory assistance; V. Chhatre, A. Georges, B. Gruber, F. Pinamartins, B. Roberts, A. Savary, J. Wood, and A. Xue for bioinformatics assistance; and L. Beheregaray, C. Fraser, A. Kilian, M. Knapp, A. Ruzzante, A. Santure, P. Scofield, P. Sunnucks, J. Wilmshurst, and J. Wood for discussions. Work was carried out under New Zealand (NZ) Department of Conservation Permits (OT-25557-DOA, IACUC-18958.00, 32202-FAU, 35682-FAU, 37312-LND, 50437-DOA, 50436-FAU, 50464-DOA, and 38882-RES), NZ Ministry of Primary Industries (2015056535, 2016060908, 2017064905), Permit to Possess Threatened Fauna for Scientific Purposes TFA 15086, DPIWE Permit to Take Wildlife for Scientific Purposes FA05246, Tristan Da Cunha Conservation Department, South African Department of Environmental Affairs, Government of South Georgia and the South Sandwich Islands Restricted Activity Permits (GSGSSI RAP 2018/018, GSGSSI), US NSF Department of Polar Programs ACA permits (ACA 2016-011, ACA 2016012), Falkland Islands Government (R05/2009, R014/2006), and UK Antarctic Permits. We thank N. Fowke and B. McKinlay for NZ permits. The research was supported by Manaaki Whenua Landcare Research, the University of Otago, Museum of NZ Te Papa Tongarewa, US NSF (Grants OPP-012-8913 and 1443585), Quark Expeditions, The Darwin Initiative, The John Ellerman Foundation, Cheesemans' Ecology Safaris, Golden Fleece Expeditions, New Island Conservation Trust, Deutsche Forschungsgemeinschaft, The Citadel Foundation, The Dalio Foundation, donations to Penguin Watch, the Institut Polaire Francais Paul Emile Victor (Program 109 to P.J. and H. Weimerskirch), The Royal Society of NZ Hutton Fund, The Ornithological Society of NZ, and an Alumni of University of Otago in America Award. T. L.C. was supported by an Otago University Postgraduate Award.</t>
  </si>
  <si>
    <t>NATL ACAD SCIENCES</t>
  </si>
  <si>
    <t>2101 CONSTITUTION AVE NW, WASHINGTON, DC 20418 USA</t>
  </si>
  <si>
    <t>0027-8424</t>
  </si>
  <si>
    <t>1091-6490</t>
  </si>
  <si>
    <t>P NATL ACAD SCI USA</t>
  </si>
  <si>
    <t>Proc. Natl. Acad. Sci. U. S. A.</t>
  </si>
  <si>
    <t>DEC 26</t>
  </si>
  <si>
    <t>10.1073/pnas.190404116</t>
  </si>
  <si>
    <t>JY8KI</t>
  </si>
  <si>
    <t>WOS:000504656900077</t>
  </si>
  <si>
    <t>Hinojosa, JL; Moy, CM; Vandergoes, M; Feakins, SJ; Sessions, AL</t>
  </si>
  <si>
    <t>Hinojosa, Jessica L.; Moy, Christopher M.; Vandergoes, Marcus; Feakins, Sarah J.; Sessions, Alex L.</t>
  </si>
  <si>
    <t>Hydrologic Change in New Zealand During the Last Deglaciation Linked to Reorganization of the Southern Hemisphere Westerly Winds</t>
  </si>
  <si>
    <t>PALEOCEANOGRAPHY AND PALEOCLIMATOLOGY</t>
  </si>
  <si>
    <t>Southern Hemisphere westerly winds; New Zealand; paleohydrology; Late Glacial; early Holocene</t>
  </si>
  <si>
    <t>CLIMATE-CHANGE; YOUNGER DRYAS; EAST ANTARCTICA; N-ALKANES; CIRCULATION; ATLANTIC; OCEAN; PRECIPITATION; TEMPERATURE; ITCZ</t>
  </si>
  <si>
    <t>Millennial-scale climate anomalies punctuating the last deglaciation were expressed differently in the Northern and Southern Hemispheres. While changes in oceanic meridional overturning circulation have been invoked to explain these disparities, the nearly synchronous onset of such events requires atmospheric mediation. Yet the extent and structure of atmospheric reorganization on millennial timescales remains unclear. In particular, the role of the Southern Hemisphere westerly winds and associated storm tracks is poorly constrained, largely due to the paucity of accessible archives of wind behavior. Here we present a new paleohydrologic record from a Lake Hayes, New Zealand (45 degrees S), sediment core from similar to 17-9 ka. Using two independent proxies for lake hydrology (Ca/Ti in sediments and delta D values of aquatic plant biomarkers), we find evidence for a wetter Antarctic Cold Reversal (14.7-13.0 ka) and a drying trend during the Younger Dryas (12.9-11.6 ka) and early Holocene (11.7 ka onward in this record). Comparisons of the Lake Hayes record with other Southern Hemisphere sites indicate coherent atmospheric shifts during the Antarctic Cold Reversal and Younger Dryas, whereby the former is wetter/cooler and the latter is drier/warmer. The wet/cool phase is associated with a northward shift and/or strengthening of the Southern Hemisphere westerly winds, whereas the drier/warmer phase indicates weaker midlatitude winds. These climatic trends are opposite to the Northern Hemisphere. There is a decoupling of climatic trends between Southern Hemisphere low-latitude and midlatitude climates in the early Holocene, which could be explained by several mechanisms, such as the retreat of Antarctic sea ice.</t>
  </si>
  <si>
    <t>[Hinojosa, Jessica L.; Sessions, Alex L.] CALTECH, Div Geol &amp; Planetary Sci, Pasadena, CA 91125 USA; [Hinojosa, Jessica L.] Shell Int Prod &amp; Explorat, Houston, TX 77079 USA; [Moy, Christopher M.] Univ Otago, Dept Geol, Dunedin, New Zealand; [Vandergoes, Marcus] GNS Sci, Dept Paleontol &amp; Environm Change, Lower Hutt, New Zealand; [Feakins, Sarah J.] Univ Southern Calif, Dept Earth Sci, Los Angeles, CA 90007 USA</t>
  </si>
  <si>
    <t>California Institute of Technology; University of Otago; GNS Science - New Zealand; University of Southern California</t>
  </si>
  <si>
    <t>Hinojosa, JL (corresponding author), CALTECH, Div Geol &amp; Planetary Sci, Pasadena, CA 91125 USA.;Hinojosa, JL (corresponding author), Shell Int Prod &amp; Explorat, Houston, TX 77079 USA.</t>
  </si>
  <si>
    <t>jess.l.hinojosa@gmail.com</t>
  </si>
  <si>
    <t>Sessions, Alex/ABC-9207-2020; Feakins, Sarah/K-4149-2012</t>
  </si>
  <si>
    <t>Sessions, Alex/0000-0001-6120-2763; Feakins, Sarah/0000-0003-3434-2423; Moy, Christopher/0000-0002-2177-5265</t>
  </si>
  <si>
    <t>University of Otago; California Alliance for Graduate Education and The Professoriate (AGEP); Geological and Planetary Sciences Division at the California Institute of Technology; Feakins IRMS Lab at USC</t>
  </si>
  <si>
    <t>The data underlying this work can be found in the NOAA World Data Service for Paleoclimatology database (https://www.ncdc.noaa.gov/paleo-search/study/28171).Funding for field work was provided by a University of Otago Research Grant to C. M. M. J. L. H. was supported by the California Alliance for Graduate Education and The Professoriate (AGEP) and the Geological and Planetary Sciences Division at the California Institute of Technology. We thank Fenfang Wu for lab support and Brent Pooley, Greer Gilmer, Christina Riesselman, Harris Anderson, and Steve Little for help during fieldwork. Additional thanks to the Feakins IRMS Lab at USC for support and use of facilities. Finally, we are very grateful to one anonymous reviewer, Associate Editor Jim Russell, and Editor-in-Chief Ellen Thomas for their thoughtful and constructive feedback, which greatly improved this paper.</t>
  </si>
  <si>
    <t>2572-4517</t>
  </si>
  <si>
    <t>2572-4525</t>
  </si>
  <si>
    <t>PALEOCEANOGR PALEOCL</t>
  </si>
  <si>
    <t>Paleoceanogr. Paleoclimatology</t>
  </si>
  <si>
    <t>10.1029/2019PA003656</t>
  </si>
  <si>
    <t>Geosciences, Multidisciplinary; Oceanography; Paleontology</t>
  </si>
  <si>
    <t>Geology; Oceanography; Paleontology</t>
  </si>
  <si>
    <t>KE5CB</t>
  </si>
  <si>
    <t>WOS:000504317700001</t>
  </si>
  <si>
    <t>Pilo, GS; Holbrook, NJ; Kiss, AE; Hogg, AM</t>
  </si>
  <si>
    <t>Pilo, Gabriela S.; Holbrook, Neil J.; Kiss, Andrew E.; Hogg, Andrew McC.</t>
  </si>
  <si>
    <t>Sensitivity of Marine Heatwave Metrics to Ocean Model Resolution</t>
  </si>
  <si>
    <t>GEOPHYSICAL RESEARCH LETTERS</t>
  </si>
  <si>
    <t>marine heatwave; global ocean-sea ice model; model resolution; temperature extremes</t>
  </si>
  <si>
    <t>SURFACE; FREQUENCY; IMPACTS; DEEP</t>
  </si>
  <si>
    <t>Sustained extreme temperature events in the ocean, referred to as marine heatwaves (MHWs), generate substantial ecological, social, and economic impacts. Ocean models provide insights to the drivers, persistence, and dissipation of MHWs. However, the sensitivity of MHW metrics to ocean model resolution is unknown. Here, we analyze global MHW metrics in three configurations of a global ocean-sea ice model at coarse (1 degrees), eddy-permitting (0.25 degrees), and eddy-rich (0.1 degrees) resolutions. We show that all configurations qualitatively represent broad-scale global patterns of MHWs. These simulated MHWs are, however, weaker, longer-lasting, and less frequent than in observations. The 0.1 degrees configuration, despite local biases, performs best both globally and regionally. Based on these results, model projections of future MHW metrics using coarse-resolution models are expected to be biased toward weaker and less frequent MHWs, when compared with results using an eddy-rich model.</t>
  </si>
  <si>
    <t>[Pilo, Gabriela S.; Holbrook, Neil J.] Univ Tasmania, Inst Marine &amp; Antarctic Studies, Hobart, Tas, Australia; [Pilo, Gabriela S.; Holbrook, Neil J.] Univ Tasmania, Australian Res Council Ctr Excellence Climate Ext, Hobart, Tas, Australia; [Kiss, Andrew E.; Hogg, Andrew McC.] Australian Natl Univ, Res Sch Earth Sci, Canberra, ACT, Australia; [Kiss, Andrew E.; Hogg, Andrew McC.] Australian Natl Univ, Australian Res Council Ctr Excellence Climate Ext, Canberra, ACT, Australia</t>
  </si>
  <si>
    <t>University of Tasmania; University of Tasmania; Australian National University; Australian National University</t>
  </si>
  <si>
    <t>Pilo, GS (corresponding author), Univ Tasmania, Inst Marine &amp; Antarctic Studies, Hobart, Tas, Australia.;Pilo, GS (corresponding author), Univ Tasmania, Australian Res Council Ctr Excellence Climate Ext, Hobart, Tas, Australia.</t>
  </si>
  <si>
    <t>gabriela.semolinipilo@utas.edu.au</t>
  </si>
  <si>
    <t>Hogg, Andy McC./A-7553-2011; Hogg, Andy/AAZ-8733-2021; Kiss, Andrew E/E-7733-2016; Holbrook, Neil/M-7544-2013</t>
  </si>
  <si>
    <t>Hogg, Andy McC./0000-0001-5898-7635; Hogg, Andy/0000-0001-5898-7635; Kiss, Andrew E/0000-0001-8960-9557; Pilo, Gabriela/0000-0002-8590-8645; Holbrook, Neil/0000-0002-3523-6254</t>
  </si>
  <si>
    <t>Australian Research Council through its Linkage Program [LP160100073]; Australian Government; CNES; ARC Centre of Excellence for Climate Extremes [CE170100023]; Australian Research Council [LP160100073] Funding Source: Australian Research Council</t>
  </si>
  <si>
    <t>Australian Research Council through its Linkage Program(Australian Research Council); Australian Government(Australian Government); CNES(Centre National D'etudes Spatiales); ARC Centre of Excellence for Climate Extremes; Australian Research Council(Australian Research Council)</t>
  </si>
  <si>
    <t>The authors thank the Consortium for Ocean-Sea Ice Modeling in Australia (COSIMA; www.cosima.org.au), funded by the Australian Research Council through its Linkage Program (LP160100073), for making the ACCESS-OM2 suite of models available in https://doi.org/10.5281/zenodo.2653246 (Hannah et al., 2019) and in this site (https://github.com/COSIMA/access-om2).All model components are open source. The model output for the simulations presented in this manuscript will be stored on the COSIMA data collection, available in this website (https://doi.org/10.4225/41/5a2dc8543105a).This research was undertaken with the assistance of resources from the National Computational Infrastructure (NCI), which is supported by the Australian Government. Sea level products were processed by SSALTO/DUACS and distributed by AVISO+ with support from CNES. We acknowledge support from the ARC Centre of Excellence for Climate Extremes (CE170100023). We thank H. Hayashida for discussions about this work. Some of the code used to perform this analysis was written and made publicly available by Z. Zhao and M. Marin (Zhao &amp; Marin, 2019).</t>
  </si>
  <si>
    <t>0094-8276</t>
  </si>
  <si>
    <t>1944-8007</t>
  </si>
  <si>
    <t>GEOPHYS RES LETT</t>
  </si>
  <si>
    <t>Geophys. Res. Lett.</t>
  </si>
  <si>
    <t>DEC 28</t>
  </si>
  <si>
    <t>10.1029/2019GL084928</t>
  </si>
  <si>
    <t>KL6AK</t>
  </si>
  <si>
    <t>Green Published</t>
  </si>
  <si>
    <t>WOS:000504376900001</t>
  </si>
  <si>
    <t>Bannister, D; Orr, A; Jain, SK; Holman, IP; Momblanch, A; Phillips, T; Adeloyes, AJ; Snapir, B; Waine, TW; Hosking, JS; Allen-Sader, C</t>
  </si>
  <si>
    <t>Bannister, Daniel; Orr, Andrew; Jain, Sanjay K.; Holman, Ian P.; Momblanch, Andrea; Phillips, Tony; Adeloyes, Adebayo J.; Snapir, Boris; Waine, Toby W.; Hosking, J. Scott; Allen-Sader, Clare</t>
  </si>
  <si>
    <t>Bias Correction of High-Resolution Regional Climate Model Precipitation Output Gives the Best Estimates of Precipitation in Himalayan Catchments</t>
  </si>
  <si>
    <t>JOURNAL OF GEOPHYSICAL RESEARCH-ATMOSPHERES</t>
  </si>
  <si>
    <t>Regional climate modelling; Himalaya; Precipitation; bias-correction; Extreme precipitation</t>
  </si>
  <si>
    <t>KOSHI RIVER-BASIN; HIGH-ALTITUDE; SATELLITE RAINFALL; CLOUD MICROPHYSICS; WESTERN HIMALAYA; TIBETAN PLATEAU; WATER-RESOURCES; GLACIER; IMPACT; SIMULATIONS</t>
  </si>
  <si>
    <t>The need to provide accurate estimates of precipitation over catchments in the Hindu Kush, Karakoram, and Himalaya mountain ranges for hydrological and water resource systems assessments is widely recognized, as is identifying precipitation extremes for assessing hydro-meteorological hazards. Here, we investigate the ability of bias-corrected Weather Research and Forecasting model output at 5-km grid spacing to reproduce the spatiotemporal variability of precipitation for the Beas and Sutlej river basins in the Himalaya, measured by 44 stations spread over the period 1980 to 2012. For the Sutlej basin, we find that the raw (uncorrected) model output generally underestimated annual, monthly, and (particularly low-intensity) daily precipitation amounts. For the Beas basin, the model performance was better, although biases still existed. It is speculated that the cause of the dry bias over the Sutlej basin is a failure of the model to represent an early-morning maximum in precipitation during the monsoon period, which is related to excessive precipitation falling upwind. However, applying a nonlinear bias-correction method to the model output resulted in much better results, which were superior to precipitation estimates from reanalysis and two gridded datasets. These findings highlight the difficulty in using current gridded datasets as input for hydrological modeling in Himalayan catchments, suggesting that bias-corrected high-resolution regional climate model output is in fact necessary. Moreover, precipitation extremes over the Beas and Sutlej basins were considerably underrepresented in the gridded datasets, suggesting that bias-corrected regional climate model output is also necessary for hydro-meteorological risk assessments in Himalayan catchments.</t>
  </si>
  <si>
    <t>[Bannister, Daniel; Orr, Andrew; Phillips, Tony; Hosking, J. Scott; Allen-Sader, Clare] British Antarctic Survey, Cambridge, England; [Bannister, Daniel] Satavia Ltd, Cambridge, England; [Jain, Sanjay K.] Natl Inst Hydrol, Roorkee, Uttar Pradesh, India; [Holman, Ian P.; Momblanch, Andrea; Snapir, Boris; Waine, Toby W.] Cranfield Univ, Cranfield Water Sci Inst, Cranfield, Beds, England; [Adeloyes, Adebayo J.] Heriot Watt Univ, Inst Infrastruct &amp; Environm, Edinburgh, Midlothian, Scotland</t>
  </si>
  <si>
    <t>UK Research &amp; Innovation (UKRI); Natural Environment Research Council (NERC); NERC British Antarctic Survey; Cranfield University; Heriot Watt University</t>
  </si>
  <si>
    <t>Bannister, D; Orr, A (corresponding author), British Antarctic Survey, Cambridge, England.;Bannister, D (corresponding author), Satavia Ltd, Cambridge, England.</t>
  </si>
  <si>
    <t>daniel.bannister@satavia.com; anmer@bas.ac.uk</t>
  </si>
  <si>
    <t>Momblanch, Andrea/J-1848-2016; Holman, Ian/A-7108-2010</t>
  </si>
  <si>
    <t>Momblanch, Andrea/0000-0003-3165-4691; Adeloye, Adebayo/0000-0002-2820-4596; Holman, Ian/0000-0002-5263-7746; Waine, Toby/0000-0002-4954-3618</t>
  </si>
  <si>
    <t>UK Natural Environment Research Council [NE/N015592/1, NE/N015541/1, NE/N016394/1]; Indian Ministry of Earth Sciences under the Newton-Bhabha fund [MES-1023-CED]; NERC [NE/N016394/1, NE/N015592/1, NE/N015541/1, NE/R000107/1, bas0100032] Funding Source: UKRI; Natural Environment Research Council [NE/N015592/1] Funding Source: researchfish</t>
  </si>
  <si>
    <t>UK Natural Environment Research Council(UK Research &amp; Innovation (UKRI)Natural Environment Research Council (NERC)); Indian Ministry of Earth Sciences under the Newton-Bhabha fund; NERC(UK Research &amp; Innovation (UKRI)Natural Environment Research Council (NERC)); Natural Environment Research Council(UK Research &amp; Innovation (UKRI)Natural Environment Research Council (NERC))</t>
  </si>
  <si>
    <t>We are grateful for the comments from three reviewers, which helped to improve this paper. This research formed part of the joint UK-India Sustaining water resources for food, energy &amp; ecosystem services in India program and was funded by the UK Natural Environment Research Council (grants NE/N015592/1, NE/N015541/1, and NE/N016394/1) and the Indian Ministry of Earth Sciences (grant number MES-1023-CED) under the Newton-Bhabha fund. The raw and bias-corrected precipitation output from the WRF hindcast can be accessed at the UK Polar Data Centre (Bannister et al., 2019). We would like to thank the Bhakra Beas Management Board and the Indian Meteorological Department for collecting the in situ precipitation measurements we used for the biascorrection and validation of the WRF model, as well as to Hendrik Wulf for passing them on to us. The authors of this paper do not have the legal right to make this dataset publicly available and suggest that any readers interested in obtaining it refer to Wulf et al. (2016). Finally, we wish to thank Hayley Bannister for writing the code for the bias correction of the model output.</t>
  </si>
  <si>
    <t>2169-897X</t>
  </si>
  <si>
    <t>2169-8996</t>
  </si>
  <si>
    <t>J GEOPHYS RES-ATMOS</t>
  </si>
  <si>
    <t>J. Geophys. Res.-Atmos.</t>
  </si>
  <si>
    <t>10.1029/2019JD030804</t>
  </si>
  <si>
    <t>KF2KT</t>
  </si>
  <si>
    <t>hybrid, Green Accepted, Green Published</t>
  </si>
  <si>
    <t>WOS:000504438600001</t>
  </si>
  <si>
    <t>Yang, MY; Frank, TD; Fielding, CR; Smith, ME; Swart, PK</t>
  </si>
  <si>
    <t>Yang, Mingyu; Frank, Tracy D.; Fielding, Christopher R.; Smith, Megan E.; Swart, Peter K.</t>
  </si>
  <si>
    <t>Origin of blocky aragonite cement in Cenozoic glaciomarine sediments, McMurdo Sound, Antarctica</t>
  </si>
  <si>
    <t>SEDIMENTOLOGY</t>
  </si>
  <si>
    <t>Antarctica; aragonite cement; Cenozoic; cryogenic brine; glaciomarine; isotope geochemistry</t>
  </si>
  <si>
    <t>OXYGEN-ISOTOPE FRACTIONATION; CLUMPED-ISOTOPE; SEISMIC STRATIGRAPHY; SYNTHETIC ARAGONITE; RAMAN-SPECTROSCOPY; CALCIUM-CARBONATE; VESTFOLD-HILLS; TAYLOR VALLEY; SALINE LAKES; DRY VALLEYS</t>
  </si>
  <si>
    <t>Inorganic aragonite occurs in a wide spectrum of depositional environments and its precipitation is controlled by complex physio-chemical factors. This study investigates diagenetic conditions that led to aragonite cement precipitation in Cenozoic glaciomarine deposits of McMurdo Sound, Antarctica. A total of 42 sandstones that host intergranular cement were collected from the CIROS-1 core, located proximal to the terminus of Ferrar Glacier. Standard petrography, Raman spectroscopy and electron microprobe analysis reveal a prominent aragonite cement phase that occurs as a pore-filling blocky fabric throughout the core. Oxygen isotope compositions (delta O-18 = -30 center dot 0 to -8 center dot 6 parts per thousand Vienna Pee-Dee Belemnite) and clumped isotope temperatures (T Delta(47) = 13 center dot 1 to 31 center dot 5 degrees C) determined from the aragonite cements provide precise constraints on isotopic compositions (delta O-18(w)) of the parent fluid, which mostly range from -10 center dot 8 to -7 center dot 2 parts per thousand Vienna Standard Mean Ocean Water. The fluid delta O-18(w) values are consistent with those of pore water, previously identified as cryogenic brine in the nearby AND-2A core. Petrographic and geochemical data suggest that aragonite cement in the CIROS-1 core precipitated from a similar brine. The brine likely formed and infiltrated sediments in flooded glacial valleys along the western margin of McMurdo Sound during the middle Miocene Climatic Transition, and subsequently flowed basinward in the subsurface. Consequently, the brine forms as a longstanding subsurface fluid that has saturated Cenozoic sediments below southern McMurdo Sound since at least the middle Miocene. Aragonite cementation in the CIROS-1 core is interpreted to reflect its proximal position to sites of brine formation and greater likelihood of experiencing brines with sustained high carbonate saturation states and Mg/Ca ratios. This unusual occurrence expands the range of known natural occurrences of aragonite cement. Given the potential for cryogenic brine formation in glaciomarine settings, blocky aragonite, as the end member of the spectrum of aragonite cement morphology, may be more widespread in glaciomarine sediments than currently thought.</t>
  </si>
  <si>
    <t>[Yang, Mingyu; Frank, Tracy D.; Fielding, Christopher R.] Univ Nebraska, Dept Earth &amp; Atmospher Sci, 126 Bessey Hall, Lincoln, NE 68588 USA; [Smith, Megan E.; Swart, Peter K.] Univ Miami, Rosenstiel Sch Marine &amp; Atmospher Sci, Dept Marine Geosci, 4600 Rickenbacker Causeway, Miami, FL 33149 USA</t>
  </si>
  <si>
    <t>University of Nebraska System; University of Nebraska Lincoln; University of Miami</t>
  </si>
  <si>
    <t>Yang, MY (corresponding author), Univ Nebraska, Dept Earth &amp; Atmospher Sci, 126 Bessey Hall, Lincoln, NE 68588 USA.</t>
  </si>
  <si>
    <t>mingyu.yang@huskers.unl.edu</t>
  </si>
  <si>
    <t>Yang, Mingyu/HII-2795-2022; Swart, Peter/AAT-5979-2021</t>
  </si>
  <si>
    <t>Swart, Peter/0000-0002-6743-6162; Smith, Megan/0000-0002-8094-6036; Frank, Tracy/0000-0002-8422-7389; Yang, Mingyu/0000-0002-0565-2820</t>
  </si>
  <si>
    <t>National Science Foundation [PLR-1341390, OCE-1537727, EAR-0926503]</t>
  </si>
  <si>
    <t>National Science Foundation(National Science Foundation (NSF))</t>
  </si>
  <si>
    <t>This work was supported by the National Science Foundation grants PLR-1341390 to TDF and CRF, and OCE-1537727 and EAR-0926503 to PKS. We acknowledge the staff at the Antarctic Marine Geology Research Facility, Florida State University, for supporting sample collection. We thank the Department of Earth and Atmospheric Sciences at the University of Nebraska-Lincoln for providing facility support. We are grateful to Gelu Costin and the EPMA Laboratory at the Department of Earth Science, Environmental and Planetary Sciences, Rice University, for electron microprobe analysis. We appreciate Eric Ellison at the Raman Microspectroscopy Laboratory, Department of Geological Sciences, University of Colorado-Boulder, for assisting in carbonate polymorph analysis. Justin Ahern assisted with drafting the lithostratigraphic column. This paper has benefited from the comments of Benoit Vincent and an anonymous reviewer.</t>
  </si>
  <si>
    <t>0037-0746</t>
  </si>
  <si>
    <t>1365-3091</t>
  </si>
  <si>
    <t>Sedimentology</t>
  </si>
  <si>
    <t>FEB</t>
  </si>
  <si>
    <t>10.1111/sed.12690</t>
  </si>
  <si>
    <t>KE3VL</t>
  </si>
  <si>
    <t>WOS:000504377800001</t>
  </si>
  <si>
    <t>Tian, BQ; Fan, K</t>
  </si>
  <si>
    <t>Tian, Baoqiang; Fan, Ke</t>
  </si>
  <si>
    <t>Climate prediction of summer extreme precipitation frequency in the Yangtze River valley based on sea surface temperature in the southern Indian Ocean and ice concentration in the Beaufort Sea</t>
  </si>
  <si>
    <t>Beaufort Sea; climate prediction; extreme heavy precipitation; sea-ice concentration; southern Indian Ocean; SST; Yangtze River valley</t>
  </si>
  <si>
    <t>INTERANNUAL VARIABILITY; STATISTICAL PREDICTION; ANTARCTIC OSCILLATION; TEMPORAL VARIABILITY; QUASI-PERIODICITIES; FORECAST MODEL; LOWER REACHES; BASIN; CHINA; RAINFALL</t>
  </si>
  <si>
    <t>Three statistical prediction models for the summer extreme precipitation frequency (EPF) in the middle and lower reaches of the Yangtze River valley (MLYRV) based on the winter sea surface temperature in the southern Indian Ocean (SIO-SST; Scheme-SST), the spring sea-ice concentration in the Beaufort Sea (Scheme-SIC), and both predictors (Scheme-SS), are established by using the year-to-year increment method. The winter SIO-SST may affect the SST anomaly in the east of Australia via a teleconnection pattern. The east of Australia SST signal in winter continues until the following summer and then affects the summer EPF in the MLYRV via modulation of the meridional Hadley circulation in the western North Pacific. The positive Beaufort SIC anomaly may result in a negative summer SST anomaly by the increased surface albedo. In response, the atmospheric circulation presents a dipole anomaly distribution in the Beaufort Sea and the Barents Sea. The Arctic dipole anomaly may bring about frequent extreme precipitation in the MLYRV by adjusting the position of the East Asian westerly jet and Eurasian teleconnection pattern. The prediction skill of the summer EPF for Scheme-SS is higher than that of Scheme-SST and Scheme-SIC in the cross-validation test during 1962-2017 and the independent hindcast during 1992-2017. Scheme-SS shows a higher prediction skill of the summer EPF than that of Scheme-SST and Scheme-SIC, with a time correlation coefficient of 0.62, accounting for 39% of the total variance, of which 35% is the winter SIO-SST and 4% the spring Beaufort SIC. Scheme-SS not only shows a rather high predictive ability for the anomalous summer EPF but can also reproduce the increasing trend of extremely heavy precipitation.</t>
  </si>
  <si>
    <t>[Tian, Baoqiang; Fan, Ke] Chinese Acad Sci, Nansen Zhu Int Res Ctr, Inst Atmospher Phys, Beijing, Peoples R China; [Tian, Baoqiang; Fan, Ke] Nanjing Univ Informat Sci &amp; Technol, Collaborat Innovat Ctr Forecast &amp; Evaluat Meteoro, Nanjing, Jiangsu, Peoples R China; [Fan, Ke] Univ Chinese Acad Sci, Beijing, Peoples R China</t>
  </si>
  <si>
    <t>Chinese Academy of Sciences; Institute of Atmospheric Physics, CAS; Nanjing University of Information Science &amp; Technology; Chinese Academy of Sciences; University of Chinese Academy of Sciences, CAS</t>
  </si>
  <si>
    <t>Tian, BQ (corresponding author), Chinese Acad Sci, Nansen Zhu Int Res Ctr, Inst Atmospher Phys, Beijing, Peoples R China.</t>
  </si>
  <si>
    <t>tianbq@mail.iap.ac.cn</t>
  </si>
  <si>
    <t>Fan, Ke/AAJ-2315-2020; Fan, K/GXH-3734-2022</t>
  </si>
  <si>
    <t>Tian, Baoqiang/0000-0001-6975-0756</t>
  </si>
  <si>
    <t>National Natural Science Foundation of China [41421004, 41605053]; CAS-CSIRO Cooperative Research Program [GJHZ1223]</t>
  </si>
  <si>
    <t>National Natural Science Foundation of China(National Natural Science Foundation of China (NSFC)); CAS-CSIRO Cooperative Research Program</t>
  </si>
  <si>
    <t>National Natural Science Foundation of China, Grant/Award Numbers: 41421004, 41605053; CAS-CSIRO Cooperative Research Program, Grant/Award Number: GJHZ1223</t>
  </si>
  <si>
    <t>JUL</t>
  </si>
  <si>
    <t>10.1002/joc.6446</t>
  </si>
  <si>
    <t>ME5RK</t>
  </si>
  <si>
    <t>WOS:000504443700001</t>
  </si>
  <si>
    <t>Capman, NSS; Simms, LE; Engebretson, MJ; Clilverd, MA; Rodger, CJ; Reeves, GD; Lessard, MR; Gjerloev, J</t>
  </si>
  <si>
    <t>Capman, N. S. S.; Simms, L. E.; Engebretson, M. J.; Clilverd, M. A.; Rodger, C. J.; Reeves, G. D.; Lessard, M. R.; Gjerloev, J.</t>
  </si>
  <si>
    <t>Comparison of Multiple and Logistic Regression Analyses of Relativistic Electron Flux Enhancement at Geosynchronous Orbit Following Storms</t>
  </si>
  <si>
    <t>JOURNAL OF GEOPHYSICAL RESEARCH-SPACE PHYSICS</t>
  </si>
  <si>
    <t>Predicting relativistic electrons at geosynchronous orbit; Multiple regression; Logistic regression; ULF waves; VLF waves; EMIC waves</t>
  </si>
  <si>
    <t>RADIATION BELT ELECTRONS; SOLAR-WIND; MAGNETIC STORMS; INDEXES; SEED</t>
  </si>
  <si>
    <t>Many factors influence relativistic outer radiation belt electron fluxes, such as waves in the ultralow frequency (ULF) Pc5, very low frequency (VLF), and electromagnetic ion cyclotron (EMIC) frequency bands, seed electron flux, Dst disturbance levels, substorm occurrence, and solar wind inputs. In this work we compared relativistic electron flux poststorm versus prestorm using three methods of analysis: (1) multiple regression to predict flux values following storms, (2) multiple regression to predict the size and direction of the change in electron flux, and (3) multiple logistic regression to predict only the probability of the flux rising or falling. We determined which is the most predictive model and which factors are most influential. We found that a linear regression predicting the difference in prestorm and poststorm flux (Model 2) results in the highest validation correlations. The logistic regression used in Model 3 had slightly weaker predictive abilities than the other two models but had the most value in providing a prediction of the probability of the electron flux increasing after a storm. Of the variables used (ULF Pc5 and VLF, seed electrons, substorm activity, and EMIC waves), the most influential in the final model were ULF Pc5 waves and the seed electrons. IMF Bz, Dst, and solar wind number density, velocity, and pressure did not improve any of the models, and were deemed unnecessary for effective predictions.</t>
  </si>
  <si>
    <t>[Capman, N. S. S.; Simms, L. E.; Engebretson, M. J.] Augsburg Univ, Dept Phys, Minneapolis, MN 55454 USA; [Capman, N. S. S.] Univ Minnesota, Dept Mech Engn, 111 Church St SE, Minneapolis, MN 55455 USA; [Clilverd, M. A.] British Antarctic Survey, NERC, Cambridge, England; [Rodger, C. J.] Univ Otago, Dept Phys, Dunedin, New Zealand; [Reeves, G. D.] Los Alamos Natl Lab, Space Sci &amp; Applicat Grp, Los Alamos, NM USA; [Lessard, M. R.] Univ New Hampshire, Ctr Space Sci, Durham, NH 03824 USA; [Gjerloev, J.] Johns Hopkins Univ, Appl Phys Lab, Laurel, MD USA</t>
  </si>
  <si>
    <t>Augsburg University; University of Minnesota System; University of Minnesota Twin Cities; UK Research &amp; Innovation (UKRI); Natural Environment Research Council (NERC); NERC British Antarctic Survey; University of Otago; United States Department of Energy (DOE); Los Alamos National Laboratory; University System Of New Hampshire; University of New Hampshire; Johns Hopkins University; Johns Hopkins University Applied Physics Laboratory</t>
  </si>
  <si>
    <t>Capman, NSS (corresponding author), Augsburg Univ, Dept Phys, Minneapolis, MN 55454 USA.;Capman, NSS (corresponding author), Univ Minnesota, Dept Mech Engn, 111 Church St SE, Minneapolis, MN 55455 USA.</t>
  </si>
  <si>
    <t>capma002@umn.edu</t>
  </si>
  <si>
    <t>Gjerloev, Jesper/C-2116-2016; Capman, Nyssa/AAS-5133-2021; Reeves, Geoffrey/E-8101-2011; Rodger, Craig/A-1501-2011</t>
  </si>
  <si>
    <t>Reeves, Geoffrey/0000-0002-7985-8098; Rodger, Craig J./0000-0002-6770-2707; Capman, Nyssa/0000-0002-5099-9743</t>
  </si>
  <si>
    <t>NSF [AGS1651263]; NERC [bas0100031] Funding Source: UKRI</t>
  </si>
  <si>
    <t>NSF(National Science Foundation (NSF)); NERC(UK Research &amp; Innovation (UKRI)Natural Environment Research Council (NERC))</t>
  </si>
  <si>
    <t>We thank M. Ohnsted for EMIC wave identification, and R. Gamble for preparing and J.-J. Berthelier for providing DEMETER ICE data. Relativistic and seed electron flux data were obtained from Los Alamos National Laboratory (LANL) geosynchronous energetic particle instruments (https://www.ngdc.noaa.gov/stp/space-weather/satellite-data/satellite-systems/lanl_geo/).The ULF Pc5 index is available online (http://ULFPc5.gcras.ru/).The SMEd index is available from SuperMAG (http://supermag.jhuapl.edu/, Principal Investigator Jesper Gjerloev), derived from magnetometer data from Intermagnet; USGS, Jeffrey J. Love; CARISMA, PI Ian Mann; CANMOS; the S-RAMP Database, PI K. Yumoto and K. Shiokawa; the SPIDR database; AARI, PI Oleg Troshichev; the MACCS program, PI M. Engebretson, Geomagnetism Unit of the Geological Survey of Canada; GIMA; MEASURE, UCLA IGPP, and Florida Institute of Technology; SAMBA, PI Eftyhia Zesta; 210 Chain, PI K. Yumoto; SAMNET, PI Farideh Honary; the institutes who maintain the IMAGE magnetometer array, PI Eija Tanskanen; PENGUIN; AUTUMN, PI Martin Connors; DTU Space, PI Rico Behlke; South Pole and McMurdo Magnetometer, PIs Louis J. Lanzerotti and Alan T. Weatherwax; ICESTAR; RAPIDMAG; PENGUIn; British Artarctic Survey; McMAC, PI Peter Chi; BGS, PI Susan Macmillan; Pushkov Institute of Terrestrial Magnetism, Ionosphere and Radio Wave Propagation (IZMIRAN); GFZ, PI Juergen Matzka; MFGI, PI B. Heilig; IGFPAS, PI J. Reda; University of L'Aquila, PI M. Vellante. IMF Bz, Dst, and solar wind V, N, and P data are available from Goddard Space Flight Center Space Physics Data Facility at the OMNIWeb data website (http://omniweb.gsfc.nasa.gov/html/ow_data.html).Work at Augsburg University was supported by NSF grant AGS1651263.</t>
  </si>
  <si>
    <t>2169-9380</t>
  </si>
  <si>
    <t>2169-9402</t>
  </si>
  <si>
    <t>J GEOPHYS RES-SPACE</t>
  </si>
  <si>
    <t>J. Geophys. Res-Space Phys.</t>
  </si>
  <si>
    <t>10.1029/2019JA027132</t>
  </si>
  <si>
    <t>Astronomy &amp; Astrophysics</t>
  </si>
  <si>
    <t>KF4DU</t>
  </si>
  <si>
    <t>Bronze, Green Accepted</t>
  </si>
  <si>
    <t>WOS:000504367500001</t>
  </si>
  <si>
    <t>Ainsworth, TD; Hurd, CL; Gates, RD; Boyd, PW</t>
  </si>
  <si>
    <t>Ainsworth, Tracy D.; Hurd, Catriona L.; Gates, Ruth D.; Boyd, Philip W.</t>
  </si>
  <si>
    <t>How do we overcome abrupt degradation of marine ecosystems and meet the challenge of heat waves and climate extremes?</t>
  </si>
  <si>
    <t>GLOBAL CHANGE BIOLOGY</t>
  </si>
  <si>
    <t>ecosystem intervention; heat wave; marine; marine degradation; temperature stress</t>
  </si>
  <si>
    <t>GREAT-BARRIER-REEF; VARIABILITY; MANAGEMENT; REFUGE; BIODIVERSITY; RESILIENCE; PROTECTION; HEATWAVES; DYNAMICS; PATTERNS</t>
  </si>
  <si>
    <t>Extreme heat wave events are now causing ecosystem degradation across marine ecosystems. The consequences of this heat-induced damage range from the rapid loss of habitat-forming organisms, through to a reduction in the services that ecosystems support, and ultimately to impacts on human health and society. How we tackle the sudden emergence of ecosystem-wide degradation has not yet been addressed in the context of marine heat waves. An examination of recent marine heat waves from around Australia points to the potential important role that respite or refuge from environmental extremes can play in enabling organismal survival. However, most ecological interventions are being devised with a target of mid to late-century implementation, at which time many of the ecosystems, that the interventions are targeted towards, will have already undergone repeated and widespread heat wave induced degradation. Here, our assessment of the merits of proposed ecological interventions, across a spectrum of approaches, to counter marine environmental extremes, reveals a lack preparedness to counter the effects of extreme conditions on marine ecosystems. The ecological influence of these extremes are projected to continue to impact marine ecosystems in the coming years, long before these interventions can be developed. Our assessment reveals that approaches which are technologically ready and likely to be socially acceptable are locally deployable only, whereas those which are scalable-for example to features as large as major reef systems-are not close to being testable, and are unlikely to obtain social licence for deployment. Knowledge of the environmental timescales for survival of extremes, via respite or refuge, inferred from field observations will help test such intervention tools. The growing frequency of extreme events such as marine heat waves increases the urgency to consider mitigation and intervention tools that support organismal and ecosystem survival in the immediate future, while global climate mitigation and/or intervention are formulated.</t>
  </si>
  <si>
    <t>[Ainsworth, Tracy D.] Univ New South Wales, Biol Earth &amp; Environm Sci, Sydney, NSW, Australia; [Hurd, Catriona L.; Boyd, Philip W.] Univ Tasmania, Inst Marine &amp; Antarctic Studies, Hobart, Tas, Australia; [Gates, Ruth D.] Univ Hawaii Manoa, Hawaii Inst Marine Biol, Honolulu, HI 96822 USA</t>
  </si>
  <si>
    <t>University of New South Wales Sydney; University of Tasmania; University of Hawaii System; University of Hawaii Manoa</t>
  </si>
  <si>
    <t>Ainsworth, TD (corresponding author), Univ New South Wales, Biol Earth &amp; Environm Sci, Sydney, NSW, Australia.</t>
  </si>
  <si>
    <t>tracy.ainsworth@unsw.edu.au</t>
  </si>
  <si>
    <t>Hurd, Catriona/J-2411-2013; Boyd, Philip/J-7624-2014; AINSWORTH, TRACY/L-7309-2016</t>
  </si>
  <si>
    <t>Hurd, Catriona/0000-0001-9965-4917; Boyd, Philip/0000-0001-7850-1911; AINSWORTH, TRACY/0000-0001-6476-9263</t>
  </si>
  <si>
    <t>Australian Research Council [DP180103199, FL160100131]; Australian Research Council [FL160100131] Funding Source: Australian Research Council</t>
  </si>
  <si>
    <t>Australian Research Council(Australian Research Council); Australian Research Council(Australian Research Council)</t>
  </si>
  <si>
    <t>Australian Research Council, Grant/Award Number: DP180103199 and FL160100131</t>
  </si>
  <si>
    <t>1354-1013</t>
  </si>
  <si>
    <t>1365-2486</t>
  </si>
  <si>
    <t>GLOBAL CHANGE BIOL</t>
  </si>
  <si>
    <t>Glob. Change Biol.</t>
  </si>
  <si>
    <t>10.1111/gcb.14901</t>
  </si>
  <si>
    <t>Biodiversity Conservation; Ecology; Environmental Sciences</t>
  </si>
  <si>
    <t>KJ2WD</t>
  </si>
  <si>
    <t>WOS:000504145800001</t>
  </si>
  <si>
    <t>Singh, HA; Polvani, LM; Rasch, PJ</t>
  </si>
  <si>
    <t>Singh, H. A.; Polvani, L. M.; Rasch, P. J.</t>
  </si>
  <si>
    <t>Antarctic Sea Ice Expansion, Driven by Internal Variability, in the Presence of Increasing Atmospheric CO2</t>
  </si>
  <si>
    <t>Internal Variability; Sea Ice; Antarctica; Southern Ocean; Satellite Era; Atmosphere-Ocean-Ice Interactions</t>
  </si>
  <si>
    <t>SOUTHERN-OCEAN CONVECTION; NATURAL VARIABILITY; CLIMATE MODELS; TRENDS</t>
  </si>
  <si>
    <t>A number of physically based hypotheses have been proposed to explain the surprising expansion of Antarctic sea ice area (SIA) over the satellite era (1979 to 2015). Here, we use a fully coupled state-of-the-art global climate model to show that internal variability alone can produce such multidecadal periods of Antarctic SIA expansion even as atmospheric CO2 increases at observed rates and the planet warms. When our model is started from a relatively warm Southern Ocean state, Antarctic SIA sometimes (in one of three ensemble members) expands over multidecadal time scales at a rate comparable to that over the satellite era. SIA expansion occurs concurrently with rising atmospheric CO2 and warming global surface temperatures, and SIA trends by region and sector resemble those over the satellite era. Our results suggest that internal variability over long time scales in the Southern Ocean region may suffice to explain Antarctic SIA expansion over the satellite era.</t>
  </si>
  <si>
    <t>[Singh, H. A.] Univ Victoria, Sch Earth &amp; Ocean Sci, Victoria, BC, Canada; [Polvani, L. M.] Columbia Univ, Dept Earth &amp; Environm Sci, Dept Appl Phys &amp; Appl Math, New York, NY USA; [Rasch, P. J.] US DOE, Atmospher Sci &amp; Global Change Div, Pacific Northwest Natl Lab, Off Sci, Richland, WA USA</t>
  </si>
  <si>
    <t>University of Victoria; Columbia University; United States Department of Energy (DOE); Pacific Northwest National Laboratory</t>
  </si>
  <si>
    <t>Singh, HA (corresponding author), Univ Victoria, Sch Earth &amp; Ocean Sci, Victoria, BC, Canada.</t>
  </si>
  <si>
    <t>hansingh@uvic.ca</t>
  </si>
  <si>
    <t>Polvani, Lorenzo M/E-5949-2011; Rasch, Philip J/F-7978-2018</t>
  </si>
  <si>
    <t>Linus Pauling Distinguished Postdoctoral Fellowship - Pacific Northwest National Laboratory; U.S. Department of Energy (DOE) Office of Science; US National Science Foundation; U.S. DOE Office of Science, Biological and Environmental Research, as part of the Regional and Global Climate Modeling Program; DOE [DE-AC05-76RLO1830]</t>
  </si>
  <si>
    <t>Linus Pauling Distinguished Postdoctoral Fellowship - Pacific Northwest National Laboratory; U.S. Department of Energy (DOE) Office of Science(United States Department of Energy (DOE)); US National Science Foundation(National Science Foundation (NSF)); U.S. DOE Office of Science, Biological and Environmental Research, as part of the Regional and Global Climate Modeling Program(United States Department of Energy (DOE)); DOE(United States Department of Energy (DOE))</t>
  </si>
  <si>
    <t>H. K. A. S. is grateful for generous funding and computing resources made possible through the Linus Pauling Distinguished Postdoctoral Fellowship, sponsored by Pacific Northwest National Laboratory and the U.S. Department of Energy (DOE) Office of Science. L. M. P. is supported by a grant from the US National Science Foundation to Columbia University. P. J. R. acknowledges support from the U.S. DOE Office of Science, Biological and Environmental Research, as part of the Regional and Global Climate Modeling Program and a contribution to the HiLAT project. The Pacific Northwest National Laboratory is operated for DOE by Battelle Memorial Institute under Contract DE-AC05-76RLO1830. Model output from the CESM1 CO2Ramp ensemble is available online (at https://doi.org/10.5281/zenodo.2595605).</t>
  </si>
  <si>
    <t>10.1029/2019GL083758</t>
  </si>
  <si>
    <t>WOS:000504065100001</t>
  </si>
  <si>
    <t>Reum, JCP; McDonald, PS; Long, WC; Holsman, KK; Divine, L; Armstrong, D; Armstrong, J</t>
  </si>
  <si>
    <t>Reum, Jonathan C. P.; McDonald, P. Sean; Long, W. Christopher; Holsman, Kirstin K.; Divine, Lauren; Armstrong, David; Armstrong, Jan</t>
  </si>
  <si>
    <t>Rapid assessment of management options for promoting stock rebuilding in data-poor species under climate change</t>
  </si>
  <si>
    <t>CONSERVATION BIOLOGY</t>
  </si>
  <si>
    <t>conceptual model; loop analysis; ocean acidification; Paralithodes platypus; qualitative network models; species recovery</t>
  </si>
  <si>
    <t>MODEL UNCERTAINTY; CRABS; FACE; RED; PREDATION; RECOVERY; HABITAT; FISHES</t>
  </si>
  <si>
    <t>The development of species recovery plans requires considering likely outcomes of different management interventions, but the complicating effects of climate change are rarely evaluated. We examined how qualitative network models (QNMs) can be deployed to support decision making when data, time, and funding limitations restrict use of more demanding quantitative methods. We used QNMs to evaluate management interventions intended to promote the rebuilding of a collapsed stock of blue king crab (Paralithodes platypus) (BKC) around the Pribilof Islands (eastern Bering Sea) to determine how their potential efficacy may change under climate change. Based on stakeholder input and a literature review, we constructed a QNM that described the life cycle of BKC, key ecological interactions, potential climate-change impacts, relative interaction strengths, and uncertainty in terms of interaction strengths and link presence. We performed sensitivity analyses to identify key sources of prediction uncertainty. Under a scenario of no climate change, predicted increases in BKC were reliable only when stock enhancement was implemented in a BKC hatchery-program scenario. However, when climate change was accounted for, the intervention could not counteract its adverse impacts, which had an overall negative effect on BKC. The remaining management scenarios related to changes in fishing effort on BKC predators. For those scenarios, BKC outcomes were unreliable, but climate change further decreased the probability of observing recovery. Including information on relative interaction strengths increased the likelihood of predicting positive outcomes for BKC approximately 5-50% under the management scenarios. The largest gains in prediction precision will be made by reducing uncertainty associated with ecological interactions between adult BKC and red king crab (Paralithodes camtschaticus). Qualitative network models are useful options when data are limited, but they remain underutilized in conservation.</t>
  </si>
  <si>
    <t>[Reum, Jonathan C. P.; Holsman, Kirstin K.] NOAA, Resource Ecol &amp; Fisheries Management Div, Alaska Fisheries Sci Ctr, Natl Marine Fisheries Serv, 7600 Sand Point Way NE,Bldg 4, Seattle, WA 98115 USA; [Reum, Jonathan C. P.] Univ Tasmania, Inst Marine &amp; Antarctic Studies, 20 Castray Esplanade, Hobart, Tas 7000, Australia; [Reum, Jonathan C. P.] Univ Tasmania, Ctr Socioecol, 20 Castray Esplanade, Hobart, Tas 7000, Australia; [Reum, Jonathan C. P.; McDonald, P. Sean; Armstrong, David; Armstrong, Jan] Univ Washington, Sch Aquat &amp; Fishery Sci, 1122 NE Boat St, Seattle, WA 98122 USA; [McDonald, P. Sean] Univ Washington, Program Environm, Box 355679, Seattle, WA 98195 USA; [Long, W. Christopher] NOAA, Resource Assessment &amp; Conservat Engn Div, Alaska Fisheries Sci Ctr, Natl Marine Fisheries Serv,Kodiak Lab, 301 Res Court, Kodiak, AK 99615 USA; [Divine, Lauren] Aleut Community St Paul Isl, Ecosyst Conservat Off, St Paul, AK 99660 USA</t>
  </si>
  <si>
    <t>National Oceanic Atmospheric Admin (NOAA) - USA; University of Tasmania; University of Tasmania; University of Washington; University of Washington Seattle; University of Washington; University of Washington Seattle; National Oceanic Atmospheric Admin (NOAA) - USA</t>
  </si>
  <si>
    <t>Reum, JCP (corresponding author), NOAA, Resource Ecol &amp; Fisheries Management Div, Alaska Fisheries Sci Ctr, Natl Marine Fisheries Serv, 7600 Sand Point Way NE,Bldg 4, Seattle, WA 98115 USA.;Reum, JCP (corresponding author), Univ Tasmania, Inst Marine &amp; Antarctic Studies, 20 Castray Esplanade, Hobart, Tas 7000, Australia.;Reum, JCP (corresponding author), Univ Tasmania, Ctr Socioecol, 20 Castray Esplanade, Hobart, Tas 7000, Australia.;Reum, JCP (corresponding author), Univ Washington, Sch Aquat &amp; Fishery Sci, 1122 NE Boat St, Seattle, WA 98122 USA.</t>
  </si>
  <si>
    <t>jonathan.reum@noaa.gov</t>
  </si>
  <si>
    <t>; Long, W. Christopher/C-7074-2009</t>
  </si>
  <si>
    <t>Reum, Jonathan/0000-0001-6601-4550; Long, W. Christopher/0000-0002-7095-1245</t>
  </si>
  <si>
    <t>North Pacific Research Board Grant [1609]</t>
  </si>
  <si>
    <t>North Pacific Research Board Grant</t>
  </si>
  <si>
    <t>We thank participants from the 2017 and 2018 Blue King Crab workshops. J.C.P.R. and P.S.M. were supported by funding through North Pacific Research Board Grant award 1609. C. Szuwalski, K. Aydin and 2 anonymous reviewers provided valuable comments on an earlier version of this manuscript. N. E. King provided input on the design of Fig. 1. The findings and conclusions in this article are those of the authors and do not necessarily represent the views of the National Marine Fisheries Service, NOAA. Reference to trade names does not imply endorsement by the National Marine Fisheries Service, NOAA.</t>
  </si>
  <si>
    <t>0888-8892</t>
  </si>
  <si>
    <t>1523-1739</t>
  </si>
  <si>
    <t>CONSERV BIOL</t>
  </si>
  <si>
    <t>Conserv. Biol.</t>
  </si>
  <si>
    <t>10.1111/cobi.13427</t>
  </si>
  <si>
    <t>LQ6QH</t>
  </si>
  <si>
    <t>WOS:000504113900001</t>
  </si>
  <si>
    <t>Das, KR; Tiwari, AK; Kerkar, S</t>
  </si>
  <si>
    <t>Das, Kirti Ranjan; Tiwari, Anoop Kumar; Kerkar, Savita</t>
  </si>
  <si>
    <t>Psychrotolerant Antarctic bacteria biosynthesize gold nanoparticles active against sulphate reducing bacteria</t>
  </si>
  <si>
    <t>PREPARATIVE BIOCHEMISTRY &amp; BIOTECHNOLOGY</t>
  </si>
  <si>
    <t>Antibacterial; bacillus; biosynthesis; gold nanoparticles; psychrotolerant</t>
  </si>
  <si>
    <t>ANTIMICROBIAL ACTIVITY; MECHANISM; SEDIMENT; METAL; LAKE</t>
  </si>
  <si>
    <t>This study evaluates the biosynthesis of gold nanoparticle (GNP) using Antarctic bacteria and assesses its potential antibacterial activity on sulfate-reducing bacteria (SRB). The GNPs were biosynthesized at distinct temperatures (4 degrees, 10 degrees, 25 degrees, 30 degrees and 37 degrees C) using bacterial isolate GL1.3, obtained from Antarctic lake water. Biochemical and phylogenetic analysis concluded that the isolate GL1.3 belongs to Bacillus sp. The GNP biosynthesis was achieved at all the incubation temperatures (4 degrees, 10 degrees, 25 degrees, 30 degrees and 37 degrees C) only during the log phase of growth. These formed nanoparticles were identified by UV-Visible spectroscopy, scanning electron microscopy (SEM), energy dispersive spectroscopy (EDS), transmission electron microscopy (TEM) and X-ray diffraction (XRD) to be of size 30-50 nm. These GNPs exhibited antibacterial activity against SRB (Desulfovibrio sp.) evaluated by broth micro-dilution method. At 200 mu g mL(-1) GNP concentrations, being the minimal inhibitory concentration (MIC), the growth rate and sulfate reducing activity of Desulfovibrio sp. were reduced by 12% and 7% respectively. Comet assay revealed that the genotoxic effect of GNP on SRB is responsible for the inhibition of its growth and sulfide production. This showed that the Antarctic microbes could be useful for GNP synthesis even under psychrophilic conditions for various biomedical applications.</t>
  </si>
  <si>
    <t>[Das, Kirti Ranjan; Tiwari, Anoop Kumar] Natl Ctr Polar &amp; Ocean Res, Polar Environm Div, Vasco Da Gama, India; [Das, Kirti Ranjan; Kerkar, Savita] Goa Univ, Dept Biotechnol, Taleigao Plateau 403206, Goa, India</t>
  </si>
  <si>
    <t>Ministry of Earth Sciences (MoES) - India; National Centre for Polar and Ocean Research (NCPOR); Goa University</t>
  </si>
  <si>
    <t>Kerkar, S (corresponding author), Goa Univ, Dept Biotechnol, Taleigao Plateau 403206, Goa, India.</t>
  </si>
  <si>
    <t>drsavitakerkar@gmail.com</t>
  </si>
  <si>
    <t>TIWARI, ANOOP KUMAR/AAY-8915-2021</t>
  </si>
  <si>
    <t>TAYLOR &amp; FRANCIS INC</t>
  </si>
  <si>
    <t>PHILADELPHIA</t>
  </si>
  <si>
    <t>530 WALNUT STREET, STE 850, PHILADELPHIA, PA 19106 USA</t>
  </si>
  <si>
    <t>1082-6068</t>
  </si>
  <si>
    <t>1532-2297</t>
  </si>
  <si>
    <t>PREP BIOCHEM BIOTECH</t>
  </si>
  <si>
    <t>Prep. Biochem. Biotechnol.</t>
  </si>
  <si>
    <t>MAY 4</t>
  </si>
  <si>
    <t>10.1080/10826068.2019.1706559</t>
  </si>
  <si>
    <t>Biochemical Research Methods; Biochemistry &amp; Molecular Biology; Biotechnology &amp; Applied Microbiology</t>
  </si>
  <si>
    <t>Biochemistry &amp; Molecular Biology; Biotechnology &amp; Applied Microbiology</t>
  </si>
  <si>
    <t>LK5XM</t>
  </si>
  <si>
    <t>WOS:000504389600001</t>
  </si>
  <si>
    <t>Thyrring, J; Tremblay, R; Sejr, MK</t>
  </si>
  <si>
    <t>Thyrring, J.; Tremblay, R.; Sejr, M. K.</t>
  </si>
  <si>
    <t>Local cold adaption increases the thermal window of temperate mussels in the Arctic</t>
  </si>
  <si>
    <t>CONSERVATION PHYSIOLOGY</t>
  </si>
  <si>
    <t>climate change; distribution model; mytilus; plasticity; range shifts; temperature; thermal tolerance</t>
  </si>
  <si>
    <t>FATTY-ACID-COMPOSITION; FREEZING TOLERANCE; PHENOTYPIC FLEXIBILITY; LIPID-COMPOSITION; BLUE MUSSEL; ADAPTATION; LIMITS; ENERGETICS</t>
  </si>
  <si>
    <t>Species expand towards higher latitudes in response to climate warming, but the pace of this expansion is related to the physiological capacity to resist cold stress. However, few studies exist that have quantified the level of inter-population local adaptation in marine species freeze tolerance, especially in the Arctic. We investigated the importance of cold adaptation and thermal window width towards high latitudes from the temperate to the Arctic region. We measured upper and lower lethal air temperatures (i.e. LT and LT50) in temperate and Arctic populations of blue mussels (Mytilus edulis), and analysed weather data and membrane fatty acid compositions, following emersion simulations. Both populations had similar upper LT (similar to 38 degrees C), but Arctic mussels survived 4 degrees C colder air temperatures than temperate mussels (-13 vs. -9 degrees C, respectively), corresponding to an 8% increase in their thermal window. There were strong latitudinal relationships between thermal window width and local air temperatures, indicating Arctic mussels are highly adapted to the Arctic environment where the seasonal temperature span exceeds 60 degrees C. Local adaptation and local habitat heterogeneity thus allow leading-edge M. edulis to inhabit high Arctic intertidal zones. This intraspecific pattern provides insight into the importance of accounting for cold adaptation in climate change, conservation and biogeographic studies.</t>
  </si>
  <si>
    <t>[Thyrring, J.] British Antarctic Survey, Madingley Rd, Cambridge CB3 0ET, England; [Thyrring, J.] Univ British Columbia, Dept Zool, 4200-6270 Univ Blvd, Vancouver, BC V6T 1Z4, Canada; [Thyrring, J.] Homerton Coll, Hills Rd, Cambridge CB2 8PH, England; [Tremblay, R.] Univ Quebec Rimouski, Inst Sci Mer, Rimouski, PQ G5L 3A, Canada; [Sejr, M. K.] Aarhus Univ, Arctic Res Ctr, Dept Biosci, DK-8000 Aarhus C, Denmark</t>
  </si>
  <si>
    <t>UK Research &amp; Innovation (UKRI); Natural Environment Research Council (NERC); NERC British Antarctic Survey; University of British Columbia; University of Cambridge; University of Quebec; Universite du Quebec a Rimouski; Aarhus University</t>
  </si>
  <si>
    <t>Thyrring, J (corresponding author), British Antarctic Survey, Madingley Rd, Cambridge CB3 0ET, England.</t>
  </si>
  <si>
    <t>jakyrr57@bas.ac.uk</t>
  </si>
  <si>
    <t>Tremblay, Rejean/A-4971-2013; Thyrring, Jakob/M-9479-2015; Sejr, Mikael K./J-5459-2013</t>
  </si>
  <si>
    <t>Tremblay, Rejean/0000-0003-2590-8915; Thyrring, Jakob/0000-0002-1029-3105; Sejr, Mikael K./0000-0001-8370-5791</t>
  </si>
  <si>
    <t>'15. Juni Fonden' (15 June Foundation); 'Independent Research Fund Denmark' (Danmarks Frie Forskningsfond) (DFF-International Postdoc) [7027-00060B]; 'Aage V. Jensens Fond' (Aage V. Jensens Foundation); 'Ressources Aquatiques Quebec Research Network' (RAQ) [RS-171172]; NERC [bas0100036] Funding Source: UKRI</t>
  </si>
  <si>
    <t>'15. Juni Fonden' (15 June Foundation); 'Independent Research Fund Denmark' (Danmarks Frie Forskningsfond) (DFF-International Postdoc); 'Aage V. Jensens Fond' (Aage V. Jensens Foundation); 'Ressources Aquatiques Quebec Research Network' (RAQ); NERC(UK Research &amp; Innovation (UKRI)Natural Environment Research Council (NERC))</t>
  </si>
  <si>
    <t>This work was supported by '15. Juni Fonden' (15 June Foundation), the 'Independent Research Fund Denmark' (Danmarks Frie Forskningsfond) (DFF-International Postdoc; [case no. 7027-00060B to J.T.]) and the 'Aage V. Jensens Fond' (Aage V. Jensens Foundation to [J.T.]). The fatty acids analyses were supported by the 'Ressources Aquatiques Quebec Research Network' (RAQ; [grant number RS-171172 to R.T.]).</t>
  </si>
  <si>
    <t>2051-1434</t>
  </si>
  <si>
    <t>CONSERV PHYSIOL</t>
  </si>
  <si>
    <t>Conserv. Physiol.</t>
  </si>
  <si>
    <t>DEC 23</t>
  </si>
  <si>
    <t>coz098</t>
  </si>
  <si>
    <t>10.1093/conphys/coz098</t>
  </si>
  <si>
    <t>Biodiversity Conservation; Ecology; Environmental Sciences; Physiology</t>
  </si>
  <si>
    <t>Biodiversity &amp; Conservation; Environmental Sciences &amp; Ecology; Physiology</t>
  </si>
  <si>
    <t>KY8HA</t>
  </si>
  <si>
    <t>Green Published, gold, Green Accepted</t>
  </si>
  <si>
    <t>WOS:000522814100001</t>
  </si>
  <si>
    <t>Park, SJ; Lim, S; Choi, JI</t>
  </si>
  <si>
    <t>Park, Seo-jeong; Lim, Sangyong; Choi, Jong-il</t>
  </si>
  <si>
    <t>Improved tolerance of Escherichia coli to oxidative stress by expressing putative response regulator homologs from Antarctic bacteria</t>
  </si>
  <si>
    <t>JOURNAL OF MICROBIOLOGY</t>
  </si>
  <si>
    <t>response regulator homologs; oxidative stress; tolerance; resistance; Antarctic bacterium</t>
  </si>
  <si>
    <t>DNA-BINDING PROTEIN; DEINOCOCCUS-RADIODURANS; GENE; RESISTANCE; DPS; ENZYMES; REGULON; ACID; IRON; OXYR</t>
  </si>
  <si>
    <t>Response regulator (RR) is known a protein that mediates cell's response to environmental changes. The effect of RR from extremophiles was still under investigation. In this study, response regulator homologs were mined from NGS data of Antarctic bacteria and overexpressed in Escherichia coli. Sixteen amino acid sequences were annotated corresponding to response regulators related to the two-component regulatory systems; of these, 3 amino acid sequences (DRH632, DRH1601 and DRH577) with high homology were selected. These genes were cloned in pRadGro and expressed in E. coli. The transformant strains were subjected to various abiotic stresses including oxidative, osmotic, thermal stress, and acidic stress. There was found that the robustness of E. coli to abiotic stress was increased in the presence of these response regulator homologs. Especially, recombinant E. coli overexpressing drh632 had the highest survival rate in oxidative, hypothermic, osmotic, and acidic conditions. Recombinant E. coli overexpressing drh1601 showed the highest tolerance level to osmotic stress. These results will be applicable for development of recombinant strains with high tolerance to abiotic stress.</t>
  </si>
  <si>
    <t>[Park, Seo-jeong; Choi, Jong-il] Chonnam Natl Univ, Interdisciplinary Program Bioenergy &amp; Biomat, Dept Biotechnol &amp; Bioengn, Gwangju 61186, South Korea; [Lim, Sangyong] Korea Atom Energy Res Inst, Biotechnol Res Div, Jeongeup 56212, South Korea</t>
  </si>
  <si>
    <t>Chonnam National University; Korea Atomic Energy Research Institute (KAERI)</t>
  </si>
  <si>
    <t>Choi, JI (corresponding author), Chonnam Natl Univ, Interdisciplinary Program Bioenergy &amp; Biomat, Dept Biotechnol &amp; Bioengn, Gwangju 61186, South Korea.</t>
  </si>
  <si>
    <t>choiji01@jnu.ac.kr</t>
  </si>
  <si>
    <t>Choi, Jong-Il/P-7476-2018</t>
  </si>
  <si>
    <t>National Research Foundation of Korea (NRF) - Korea government (MSIT) [NRF-2018R1D1A1B07049359]; Ministry of Oceans and Fisheries [213008-05-3-SB910]; Chonnam National University [2018-3367]; Nuclear R&amp;D program of Ministry of Science and ICT (MSIT), Republic of Korea</t>
  </si>
  <si>
    <t>National Research Foundation of Korea (NRF) - Korea government (MSIT)(National Research Foundation of KoreaMinistry of Science, ICT &amp; Future Planning, Republic of KoreaMinistry of Science &amp; ICT (MSIT), Republic of Korea); Ministry of Oceans and Fisheries; Chonnam National University; Nuclear R&amp;D program of Ministry of Science and ICT (MSIT), Republic of Korea(Ministry of Science &amp; ICT (MSIT), Republic of Korea)</t>
  </si>
  <si>
    <t>This work was supported by the National Research Foundation of Korea (NRF) grant funded by the Korea government (MSIT) (NRF-2018R1D1A1B07049359), a Golden Seed Project Grant funded by Ministry of Oceans and Fisheries (213008-05-3-SB910), supporting program by Chonnam National University (2018-3367), and by the Nuclear R&amp;D program of Ministry of Science and ICT (MSIT), Republic of Korea.</t>
  </si>
  <si>
    <t>MICROBIOLOGICAL SOCIETY KOREA</t>
  </si>
  <si>
    <t>SEOUL</t>
  </si>
  <si>
    <t>KOREA SCIENCE &amp; TECHNOLOGY CENTER 803, 635-4 YEOGSAM-DONG, KANGNAM-KU, SEOUL 135-703, SOUTH KOREA</t>
  </si>
  <si>
    <t>1225-8873</t>
  </si>
  <si>
    <t>1976-3794</t>
  </si>
  <si>
    <t>J MICROBIOL</t>
  </si>
  <si>
    <t>J. Microbiol.</t>
  </si>
  <si>
    <t>10.1007/s12275-020-9290-5</t>
  </si>
  <si>
    <t>Microbiology</t>
  </si>
  <si>
    <t>KJ3EU</t>
  </si>
  <si>
    <t>WOS:000504123600001</t>
  </si>
  <si>
    <t>Rodrigues, ASL; Monsarrat, S; Charpentier, A; Brooks, TM; Hoffmann, M; Reeves, R; Palomares, MLD; Turvey, ST</t>
  </si>
  <si>
    <t>Rodrigues, Ana S. L.; Monsarrat, Sophie; Charpentier, Anne; Brooks, Thomas M.; Hoffmann, Michael; Reeves, Randall; Palomares, Maria L. D.; Turvey, Samuel T.</t>
  </si>
  <si>
    <t>Unshifting the baseline: a framework for documenting historical population changes and assessing long-term anthropogenic impacts</t>
  </si>
  <si>
    <t>PHILOSOPHICAL TRANSACTIONS OF THE ROYAL SOCIETY B-BIOLOGICAL SCIENCES</t>
  </si>
  <si>
    <t>ecological baselines; epoch assessments; anthropogenic impacts; population depletion; population recovery; shifting baseline</t>
  </si>
  <si>
    <t>GULF; PLEISTOCENE; MANAGEMENT; DIVERSITY; ANECDOTES; FOOTPRINT; FISHERS; DECLINE; MAMMALS; WHALES</t>
  </si>
  <si>
    <t>Ecological baselines-reference states of species' distributions and abundances-are key to the scientific arguments underpinning many conservation and management interventions, as well as to the public support to such interventions. Yet societal as well as scientific perceptions of these baselines are often based on ecosystems that have been deeply transformed by human actions. Despite increased awareness about the pervasiveness and implications of this shifting baseline syndrome, ongoing global assessments of the state of biodiversity do not take into account the long-term, cumulative, anthropogenic impacts on biodiversity. Here, we propose a new framework for documenting such impacts, by classifying populations according to the extent to which they deviate from a baseline in the absence of human actions. We apply this framework to the bowhead whale (Balaena mysticetus) to illustrate how it can be used to assess populations with different geographies and timelines of known or suspected impacts. Through other examples, we discuss how the framework can be applied to populations for which there is a wide diversity of existing knowledge, by making the best use of the available ecological, historical and archaeological data. Combined across multiple populations, this framework provides a standard for assessing cumulative anthropogenic impacts on biodiversity. This article is part of a discussion meeting issue 'The past is a foreign country: how much can the fossil record actually inform conservation?'</t>
  </si>
  <si>
    <t>[Rodrigues, Ana S. L.; Charpentier, Anne] Univ Montpellier, UPVM, Ctr Ecol Fonct &amp; Evolut, CNRS,EPHE,UMR 5175, 1919 Route Mende, F-34293 Montpellier, France; [Monsarrat, Sophie] Aarhus Univ, Ctr Biodivers Dynam Changing World BIOCHANGE, Dept Biosci, Ny Munkegade 114, DK-8000 Aarhus C, Denmark; [Monsarrat, Sophie] Aarhus Univ, Sect Ecoinformat &amp; Biodivers, Dept Biosci, Ny Munkegade 114, DK-8000 Aarhus C, Denmark; [Brooks, Thomas M.] Int Union Conservat Nat, 28 Rue Mauverney, CH-1196 Gland, Switzerland; [Brooks, Thomas M.] Univ Philippines Los Banos, World Agroforestry Ctr ICRAF, Laguna 4031, Philippines; [Brooks, Thomas M.] Univ Tasmania, Inst Marine &amp; Antarctic Studies, Hobart, Tas 7001, Australia; [Hoffmann, Michael] Zool Soc London, Conservat &amp; Policy, Regents Pk, London NW1 4RY, England; [Turvey, Samuel T.] Zool Soc London, Inst Zool, Regents Pk, London NW1 4RY, England; [Reeves, Randall] Okapi Wildlife Associates, 27 Chandler Lane, Hudson, PQ J0P 1H0, Canada; [Palomares, Maria L. D.] Univ British Columbia, Sea Us, Inst Oceans &amp; Fisheries, Vancouver, BC V6T 1Z4, Canada</t>
  </si>
  <si>
    <t>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 Aarhus University; Aarhus University; CGIAR; World Agroforestry (ICRAF); University of the Philippines System; University of the Philippines Los Banos; University of Tasmania; Zoological Society of London; Zoological Society of London; University of British Columbia</t>
  </si>
  <si>
    <t>Rodrigues, ASL (corresponding author), Univ Montpellier, UPVM, Ctr Ecol Fonct &amp; Evolut, CNRS,EPHE,UMR 5175, 1919 Route Mende, F-34293 Montpellier, France.</t>
  </si>
  <si>
    <t>ana.rodrigues@cefe.cnrs.fr</t>
  </si>
  <si>
    <t>Rodrigues, Ana/GYQ-6273-2022; Rodrigues, Ana S.L./A-5914-2009; Palomares, Maria Lourdes D./K-1641-2019; Charpentier, Anne/D-6340-2015; Hoffmann, Michael/E-6419-2010</t>
  </si>
  <si>
    <t>Rodrigues, Ana S.L./0000-0003-4775-0127; Palomares, Maria Lourdes/0000-0001-5905-1556; Monsarrat, Sophie/0000-0002-6220-5306; Charpentier, Anne/0000-0002-8588-6001; Hoffmann, Michael/0000-0003-4785-2254</t>
  </si>
  <si>
    <t>ROYAL SOC</t>
  </si>
  <si>
    <t>LONDON</t>
  </si>
  <si>
    <t>6-9 CARLTON HOUSE TERRACE, LONDON SW1Y 5AG, ENGLAND</t>
  </si>
  <si>
    <t>0962-8436</t>
  </si>
  <si>
    <t>1471-2970</t>
  </si>
  <si>
    <t>PHILOS T R SOC B</t>
  </si>
  <si>
    <t>Philos. Trans. R. Soc. B-Biol. Sci.</t>
  </si>
  <si>
    <t>10.1098/rstb.2019.0220</t>
  </si>
  <si>
    <t>Biology</t>
  </si>
  <si>
    <t>Life Sciences &amp; Biomedicine - Other Topics</t>
  </si>
  <si>
    <t>KB6BQ</t>
  </si>
  <si>
    <t>Green Published, Bronze</t>
  </si>
  <si>
    <t>WOS:000506578700011</t>
  </si>
  <si>
    <t>German, L; Mikucki, JA; Welch, SA; Kathleen, AW; Lutton, A; Dachwald, B; Kowalski, J; Heinen, D; Feldmann, M; Francke, G; Espe, C; Lyons, WB</t>
  </si>
  <si>
    <t>German, Laura; Mikucki, Jill A.; Welch, Susan A.; Kathleen, Welch A.; Lutton, Anthony; Dachwald, Bernd; Kowalski, Julia; Heinen, Dirk; Feldmann, Marco; Francke, Gero; Espe, Clemens; Lyons, W. Berry</t>
  </si>
  <si>
    <t>Validation of sampling antarctic subglacial hypersaline waters with an electrothermal ice melting probe (IceMole) for environmental analytical geochemistry</t>
  </si>
  <si>
    <t>INTERNATIONAL JOURNAL OF ENVIRONMENTAL ANALYTICAL CHEMISTRY</t>
  </si>
  <si>
    <t>IceMole; englacial brine; trace metals; Antarctica; environmental geochemistry</t>
  </si>
  <si>
    <t>TAYLOR VALLEY; TRACE-METALS; DRY VALLEYS; ORGANIC-CARBON; SEAWATER; PRECONCENTRATION; ELEMENTS; GLACIER; ESTUARINE</t>
  </si>
  <si>
    <t>Geochemical characterisation of hypersaline waters is difficult as high concentrations of salts hinder the analysis of constituents at low concentrations, such as trace metals, and the collection of samples for trace metal analysis in natural waters can be easily contaminated. This is particularly the case if samples are collected by non-conventional techniques such as those required for aquatic subglacial environments. In this paper we present the first analysis of a subglacial brine from Taylor Valley, (similar to 78 degrees S), Antarctica for the trace metals: Ba, Co, Mo, Rb, Sr, V, and U. Samples were collected englacially using an electrothermal melting probe called the IceMole. This probe uses differential heating of a copper head as well as the probe's sidewalls and an ice screw at the melting head to move through glacier ice. Detailed blanks, meltwater, and subglacial brine samples were collected to evaluate the impact of the IceMole and the borehole pump, the melting and collection process, filtration, and storage on the geochemistry of the samples collected by this device. Comparisons between melt water profiles through the glacier ice and blank analysis, with published studies on ice geochemistry, suggest the potential for minor contributions of some species Rb, As, Co, Mn, Ni, NH4+, and NO2-+NO3- from the IceMole. The ability to conduct detailed chemical analyses of subglacial fluids collected with melting probes is critical for the future exploration of the hundreds of deep subglacial lakes in Antarctica.</t>
  </si>
  <si>
    <t>[German, Laura; Welch, Susan A.; Kathleen, Welch A.; Lutton, Anthony; Lyons, W. Berry] Ohio State Univ, Sch Earth Sci, Columbus, OH 43210 USA; [German, Laura; Welch, Susan A.; Kathleen, Welch A.; Lyons, W. Berry] Ohio State Univ, Byrd Polar &amp; Climate Res Ctr, Columbus, OH 43210 USA; [Mikucki, Jill A.] Univ Tennessee, Dept Microbiol, Knoxville, TN 37996 USA; [Dachwald, Bernd; Feldmann, Marco; Francke, Gero; Espe, Clemens] FH Aachen Univ, Fac Aerosp Engn, Aachen, Germany; [Kowalski, Julia] Rhein Westfal TH Aachen, Aachen Inst Adv Study Computat Engn Sci, Aachen, Germany; [Heinen, Dirk] Rhein Westfal TH Aachen, Phys Inst, Aachen, Germany; [Francke, Gero; Espe, Clemens] Gesell Systementwicklung &amp; Integrat mbH, Aachen, Germany; [Kathleen, Welch A.] Univ Colorado, INSTAAR, Boulder, CO 80309 USA</t>
  </si>
  <si>
    <t>University System of Ohio; Ohio State University; University System of Ohio; Ohio State University; University of Tennessee System; University of Tennessee Knoxville; RWTH Aachen University; RWTH Aachen University; University of Colorado System; University of Colorado Boulder</t>
  </si>
  <si>
    <t>Welch, SA (corresponding author), Ohio State Univ, Sch Earth Sci, Columbus, OH 43210 USA.;Welch, SA (corresponding author), Ohio State Univ, Byrd Polar &amp; Climate Res Ctr, Columbus, OH 43210 USA.</t>
  </si>
  <si>
    <t>welch.318@osu.edu</t>
  </si>
  <si>
    <t>Heinen, Dirk/ABF-7280-2020</t>
  </si>
  <si>
    <t>Heinen, Dirk/0000-0002-4502-7288; Dachwald, Bernd/0000-0001-8765-8339; Kowalski, Julia/0000-0003-4123-5896; Welch, Kathleen/0000-0003-1028-3086; Welch, Susan/0000-0002-2890-0065</t>
  </si>
  <si>
    <t>Deutsches Zentrum fur Luft-und Raumfahrt [50NA1206-50NA1211, 50NA1502]; National Science Foundation [ANT-1144176, ANT-1727387]</t>
  </si>
  <si>
    <t>Deutsches Zentrum fur Luft-und Raumfahrt(Helmholtz AssociationGerman Aerospace Centre (DLR)); National Science Foundation(National Science Foundation (NSF))</t>
  </si>
  <si>
    <t>This work was supported by the Deutsches Zentrum fur Luft-und Raumfahrt [50NA1206-50NA1211, 50NA1502]; National Science Foundation [ANT-1144176, ANT-1727387].</t>
  </si>
  <si>
    <t>TAYLOR &amp; FRANCIS LTD</t>
  </si>
  <si>
    <t>ABINGDON</t>
  </si>
  <si>
    <t>2-4 PARK SQUARE, MILTON PARK, ABINGDON OR14 4RN, OXON, ENGLAND</t>
  </si>
  <si>
    <t>0306-7319</t>
  </si>
  <si>
    <t>1029-0397</t>
  </si>
  <si>
    <t>INT J ENVIRON AN CH</t>
  </si>
  <si>
    <t>Int. J. Environ. Anal. Chem.</t>
  </si>
  <si>
    <t>DEC 8</t>
  </si>
  <si>
    <t>10.1080/03067319.2019.1704750</t>
  </si>
  <si>
    <t>Chemistry, Analytical; Environmental Sciences</t>
  </si>
  <si>
    <t>Chemistry; Environmental Sciences &amp; Ecology</t>
  </si>
  <si>
    <t>WZ2EY</t>
  </si>
  <si>
    <t>WOS:000504533900001</t>
  </si>
  <si>
    <t>Sellar, AA; Jones, CG; Mulcahy, JP; Tang, YM; Yool, A; Wiltshire, A; O'Connor, FM; Stringer, M; Hill, R; Palmieri, J; Woodward, S; de Mora, L; Kuhlbrodt, T; Rumbold, ST; Kelley, DI; Ellis, R; Johnson, CE; Walton, J; Abraham, NL; Andrews, MB; Andrews, T; Archibald, AT; Berthou, S; Burke, E; Blockley, E; Carslaw, K; Dalvi, M; Edwards, J; Folberth, GA; Gedney, N; Griffiths, PT; Harper, AB; Hendry, MA; Hewitt, AJ; Johnson, B; Jones, A; Jones, CD; Keeble, J; Liddicoat, S; Morgenstern, O; Parker, RJ; Predoi, V; Robertson, E; Siahaan, A; Smith, RS; Swaminathan, R; Woodhouse, MT; Zeng, G; Zerroukat, M</t>
  </si>
  <si>
    <t>Sellar, Alistair A.; Jones, Colin G.; Mulcahy, Jane P.; Tang, Yongming; Yool, Andrew; Wiltshire, Andy; O'Connor, Fiona M.; Stringer, Marc; Hill, Richard; Palmieri, Julien; Woodward, Stephanie; de Mora, Lee; Kuhlbrodt, Till; Rumbold, Steven T.; Kelley, Douglas, I; Ellis, Rich; Johnson, Colin E.; Walton, Jeremy; Abraham, Nathan Luke; Andrews, Martin B.; Andrews, Timothy; Archibald, Alex T.; Berthou, Segolene; Burke, Eleanor; Blockley, Ed; Carslaw, Ken; Dalvi, Mohit; Edwards, John; Folberth, Gerd A.; Gedney, Nicola; Griffiths, Paul T.; Harper, Anna B.; Hendry, Maggie A.; Hewitt, Alan J.; Johnson, Ben; Jones, Andy; Jones, Chris D.; Keeble, James; Liddicoat, Spencer; Morgenstern, Olaf; Parker, Robert J.; Predoi, Valeriu; Robertson, Eddy; Siahaan, Antony; Smith, Robin S.; Swaminathan, Ranjini; Woodhouse, Matthew T.; Zeng, Guang; Zerroukat, Mohamed</t>
  </si>
  <si>
    <t>UKESM1: Description and Evaluation of the UK Earth System Model</t>
  </si>
  <si>
    <t>JOURNAL OF ADVANCES IN MODELING EARTH SYSTEMS</t>
  </si>
  <si>
    <t>ENVIRONMENT SIMULATOR JULES; STRATOSPHERIC WATER-VAPOR; CLIMATE-COMPOSITION MODEL; INTERCOMPARISON PROJECT; CARBON-CYCLE; ISOPRENE EMISSIONS; SEA-ICE; GLOBAL DATABASE; AIR-QUALITY; PART 2</t>
  </si>
  <si>
    <t>We document the development of the first version of the U.K. Earth System Model UKESM1. The model represents a major advance on its predecessor HadGEM2-ES, with enhancements to all component models and new feedback mechanisms. These include a new core physical model with a well-resolved stratosphere; terrestrial biogeochemistry with coupled carbon and nitrogen cycles and enhanced land management; tropospheric-stratospheric chemistry allowing the holistic simulation of radiative forcing from ozone, methane, and nitrous oxide; two-moment, five-species, modal aerosol; and ocean biogeochemistry with two-way coupling to the carbon cycle and atmospheric aerosols. The complexity of coupling between the ocean, land, and atmosphere physical climate and biogeochemical cycles in UKESM1 is unprecedented for an Earth system model. We describe in detail the process by which the coupled model was developed and tuned to achieve acceptable performance in key physical and Earth system quantities and discuss the challenges involved in mitigating biases in a model with complex connections between its components. Overall, the model performs well, with a stable pre-industrial state and good agreement with observations in the latter period of its historical simulations. However, global mean surface temperature exhibits stronger-than-observed cooling from 1950 to 1970, followed by rapid warming from 1980 to 2014. Metrics from idealized simulations show a high climate sensitivity relative to previous generations of models: Equilibrium climate sensitivity is 5.4 K, transient climate response ranges from 2.68 to 2.85 K, and transient climate response to cumulative emissions is 2.49 to 2.66 K TtC(-1).</t>
  </si>
  <si>
    <t>[Sellar, Alistair A.; Mulcahy, Jane P.; Tang, Yongming; Wiltshire, Andy; O'Connor, Fiona M.; Hill, Richard; Woodward, Stephanie; Walton, Jeremy; Andrews, Martin B.; Andrews, Timothy; Berthou, Segolene; Burke, Eleanor; Blockley, Ed; Dalvi, Mohit; Edwards, John; Folberth, Gerd A.; Gedney, Nicola; Hendry, Maggie A.; Hewitt, Alan J.; Johnson, Ben; Jones, Andy; Jones, Chris D.; Liddicoat, Spencer; Robertson, Eddy; Zerroukat, Mohamed] Met Off, Hadley Ctr, Exeter, Devon, England; [Jones, Colin G.; Stringer, Marc; Kuhlbrodt, Till; Rumbold, Steven T.; Johnson, Colin E.; Abraham, Nathan Luke; Archibald, Alex T.; Carslaw, Ken; Griffiths, Paul T.; Keeble, James; Predoi, Valeriu; Smith, Robin S.] Natl Ctr Atmospher Sci, Leeds, W Yorkshire, England; [Jones, Colin G.; Johnson, Colin E.; Carslaw, Ken] Univ Leeds, Sch Earth &amp; Environm, Leeds, W Yorkshire, England; [Yool, Andrew; Palmieri, Julien] Natl Oceanog Ctr, Southampton, Hants, England; [Stringer, Marc; Kuhlbrodt, Till; Rumbold, Steven T.; Predoi, Valeriu; Smith, Robin S.; Swaminathan, Ranjini] Univ Reading, Dept Meteorol, Reading, Berks, England; [de Mora, Lee] Plymouth Marine Lab, Plymouth, Devon, England; [Kelley, Douglas, I; Ellis, Rich] UK Ctr Ecol &amp; Hydrol, Wallingford, Oxon, England; [Abraham, Nathan Luke; Archibald, Alex T.; Griffiths, Paul T.; Keeble, James] Univ Cambridge, Dept Chem, Cambridge, England; [Harper, Anna B.] Univ Exeter, Dept Math, Exeter, Devon, England; [Morgenstern, Olaf; Zeng, Guang] NIWA, Wellington, New Zealand; [Parker, Robert J.; Swaminathan, Ranjini] Natl Ctr Earth Observat, Leicester, Leics, England; [Parker, Robert J.] Univ Leicester, Sch Phys &amp; Astron, Earth Observat Sci, Leicester, Leics, England; [Siahaan, Antony] British Antarctic Survey, Cambridge, England; [Woodhouse, Matthew T.] CSIRO, Climate Sci Ctr, Aspendale, Vic, Australia</t>
  </si>
  <si>
    <t>Met Office - UK; Hadley Centre; UK Research &amp; Innovation (UKRI); Natural Environment Research Council (NERC); NERC National Centre for Atmospheric Science; University of Leeds; University of Leeds; NERC National Oceanography Centre; University of Reading; Plymouth Marine Laboratory; UK Centre for Ecology &amp; Hydrology (UKCEH); University of Cambridge; University of Exeter; National Institute of Water &amp; Atmospheric Research (NIWA) - New Zealand; University of Leicester; UK Research &amp; Innovation (UKRI); Natural Environment Research Council (NERC); NERC British Antarctic Survey; Commonwealth Scientific &amp; Industrial Research Organisation (CSIRO)</t>
  </si>
  <si>
    <t>Sellar, AA (corresponding author), Met Off, Hadley Ctr, Exeter, Devon, England.</t>
  </si>
  <si>
    <t>alistair.sellar@metoffice.gov.uk</t>
  </si>
  <si>
    <t>de Mora, Lee/AAP-5456-2020; Griffiths, Paul T/E-8592-2010; Johnson, Ben T/A-6563-2013; , Eleanor/AAK-2698-2020; Andrews, Timothy/C-5912-2014; Carslaw, Ken S/C-8514-2009; Folberth, Gerd A./F-7376-2010; Kelley, Douglas/Z-3090-2019; Harper, Anna/A-4351-2013; Archibald, Alexander/GRR-5452-2022; Jones, Chris/I-2983-2014; Parker, Robert J./AAV-2334-2020; Yool, Andrew/B-4799-2012; Woodhouse, Matthew/E-4808-2013</t>
  </si>
  <si>
    <t>de Mora, Lee/0000-0002-5080-3149; Griffiths, Paul T/0000-0002-1089-340X; Carslaw, Ken S/0000-0002-6800-154X; Folberth, Gerd A./0000-0002-1075-440X; Kelley, Douglas/0000-0003-1413-4969; Jones, Chris/0000-0002-7141-9285; Parker, Robert J./0000-0002-0801-0831; Rumbold, Steven/0000-0001-8138-4541; Sellar, Alistair/0000-0002-2955-7254; Mulcahy, Jane/0000-0002-0870-7380; Stringer, Marc/0000-0003-4061-5299; Andrews, Martin/0000-0003-3145-2264; Walton, Jeremy/0000-0001-7372-178X; O'Connor, Fiona/0000-0003-2893-4828; Swaminathan, Ranjini/0000-0001-5853-2673; Blockley, Ed/0000-0002-0489-4238; Yool, Andrew/0000-0002-9879-2776; Woodhouse, Matthew/0000-0002-9892-4492; Palmieri, Julien/0000-0002-0226-5243; Harper, Anna/0000-0001-7294-6039; Zeng, Guang/0000-0002-9356-5021; Abraham, Nathan Luke/0000-0003-3750-3544; Hewitt, Alan/0000-0003-1919-1751; Predoi, Valeriu/0000-0002-9729-6578</t>
  </si>
  <si>
    <t>Met Office Hadley Centre Climate Programme - BEIS; Defra; National Environmental Research Council (NERC) National Capability Science Multi-Centre (NCSMC) [NE/N017978/1, NE/N018079/1, NE/N018036/1, NE/N01801X/1, NE/N017951/1]; EU Horizon 2020 CRESCENDO project [641816]; New Zealand government under the Strategic Science Investment Fund; Deep South National Science Challenge; Earth System and Climate Change Hub of the Australian Government's National Environmental Science Programme (NESP); NERC; NCAS; NERC [NE/N018079/1, nceo020006, nceo020005, ncas10016, NE/N018001/1, NE/N01801X/1, NE/N017978/1, bas0100033, NE/N017951/1, NE/N018036/1] Funding Source: UKRI</t>
  </si>
  <si>
    <t>Met Office Hadley Centre Climate Programme - BEIS; Defra(Department for Environment, Food &amp; Rural Affairs (DEFRA)); National Environmental Research Council (NERC) National Capability Science Multi-Centre (NCSMC); EU Horizon 2020 CRESCENDO project; New Zealand government under the Strategic Science Investment Fund; Deep South National Science Challenge; Earth System and Climate Change Hub of the Australian Government's National Environmental Science Programme (NESP); NERC(UK Research &amp; Innovation (UKRI)Natural Environment Research Council (NERC)); NCAS; NERC(UK Research &amp; Innovation (UKRI)Natural Environment Research Council (NERC))</t>
  </si>
  <si>
    <t>A. Se., J. M., Y. T., A. W., F. O.'C., R. H., S. W., J. W., C. E. J., M. A., T. A., S. B., E. B., E. B., M. D., J. E., M. H., A. J. H., B. J., A. J., C. D. J., S. L., E. R., and M. Z. were supported by the Met Office Hadley Centre Climate Programme funded by BEIS and Defra. C. G. J., T. K., R. S. S., M. S., S. R., V. P., C. E. H., R. P., R. S., A. Y., J. P., L. dM., A. Si., R. E., and D. K. were supported by the National Environmental Research Council (NERC) National Capability Science Multi-Centre (NCSMC) funding for the U.K. Earth System Modelling project: C. G. J., T. K., R. S. S., M. S., S. R., V. P., and C. E. J. through Grant NE/N017978/1; R. P. and R. S. through Grant NE/N018079/1; A. Y., J. P., and L. dM. through Grant NE/N018036/1; A. Si. through Grant NE/N01801X/1; R. E. and D. K. through Grant NE/N017951/1. C. G. J., T. K., S. R., A. X. Y., J. P., F. O.'C., and G. F. additionally acknowledge the EU Horizon 2020 CRESCENDO project, Grant 641816. O. M. acknowledges support by the New Zealand government under the Strategic Science Investment Fund and from the Deep South National Science Challenge (www.deepsouthchallenge.co.nz). M.T.W. is supported by the Earth System and Climate Change Hub of the Australian Government's National Environmental Science Programme (NESP). A. A., N. L. A., P. G., and J. K. acknowledge support from NERC and NCAS for funding aspects of UKCA model development and evaluation. We acknowledge use of the Monsoon2 system, a collaborative facility supplied under the Joint Weather and Climate Research Programme, a strategic partnership between the Met Office and the Natural Environment Research Council. We are grateful to J. M. Prospero and D. L. Savoie from the Rosenstiel School of Marine and Atmospheric Science, University of Miami, for making available observational data from the University of Miami Aerosol Network for the dust evaluation. The simulation data used in this study are archived at the Met Office and are available for research purposes through the JASMIN platform (www.jasmin.ac.uk) maintained by the Centre for Environmental Data Analysis (CEDA); for details please contact UM_collaboration@metoffice.gov.uk referencing this paper. Information on the model versions and simulation identifiers are provided in Appendix D</t>
  </si>
  <si>
    <t>1942-2466</t>
  </si>
  <si>
    <t>J ADV MODEL EARTH SY</t>
  </si>
  <si>
    <t>J. Adv. Model. Earth Syst.</t>
  </si>
  <si>
    <t>10.1029/2019MS001739</t>
  </si>
  <si>
    <t>KF3RG</t>
  </si>
  <si>
    <t>Green Accepted, Green Published, gold</t>
  </si>
  <si>
    <t>WOS:000503692600001</t>
  </si>
  <si>
    <t>Laurenceau-Cornec, EC; Le Moigne, FAC; Gallinari, M; Moriceau, B; Toullec, J; Iversen, MH; Engel, A; De La Rocha, CL</t>
  </si>
  <si>
    <t>Laurenceau-Cornec, Emmanuel C.; Le Moigne, Frederic A. C.; Gallinari, Morgane; Moriceau, Brivaela; Toullec, Jordan; Iversen, Morten H.; Engel, Anja; De La Rocha, Christina L.</t>
  </si>
  <si>
    <t>New guidelines for the application of Stokes' models to the sinking velocity of marine aggregates</t>
  </si>
  <si>
    <t>LIMNOLOGY AND OCEANOGRAPHY</t>
  </si>
  <si>
    <t>PARTICULATE ORGANIC-MATTER; OCEAN BIOGEOCHEMICAL MODEL; SETTLING VELOCITY; DUST-DEPOSITION; FECAL PELLETS; CARBON EXPORT; FRACTAL DIMENSIONS; RESPIRATION RATES; SOLID PARTICLES; IMAGE-ANALYSIS</t>
  </si>
  <si>
    <t>Numerical simulations of ocean biogeochemical cycles need to adequately represent particle sinking velocities (SV). For decades, Stokes' Law estimating particle SV from density and size has been widely used. But while Stokes' Law holds for small, smooth, and rigid spheres settling at low Reynolds number, it fails when applied to marine aggregates complex in shape, structure, and composition. Minerals and zooplankton can alter phytoplankton aggregates in ways that change their SV, potentially improving the applicability of Stokes' models. Using rolling cylinders, we experimentally produced diatom aggregates in the presence and absence of minerals and/or microzooplankton. Minerals and to a lesser extent microzooplankton decreased aggregate size and roughness and increased their sphericity and compactness. Stokes' Law parameterized with a fractal porosity modeled adequately size-SV relationships for mineral-loaded aggregates. Phytoplankton-only aggregates and those exposed to microzooplankton followed the general Navier-Stokes drag equation suggesting an indiscernible effect of microzooplankton and a drag coefficient too complex to be calculated with a Stokes' assumption. We compared our results with a larger data set of ballasted and nonballasted marine aggregates. This confirmed that the size-SV relationships for ballasted aggregates can be simulated by Stokes' models with an adequate fractal porosity parameterization. Given the importance of mineral ballasting in the ocean, our findings could ease biogeochemical model parameterization for a significant pool of particles in the ocean and especially in the mesopelagic zone where the particulate organic matter : mineral ratio decreases. Our results also reinforce the importance of accounting for porosity as a decisive predictor of marine aggregate SV.</t>
  </si>
  <si>
    <t>[Laurenceau-Cornec, Emmanuel C.; Gallinari, Morgane; Moriceau, Brivaela; Toullec, Jordan; De La Rocha, Christina L.] Univ Brest, LEMAR, IFREMER, CNRS,IRD, Plouzane, France; [Le Moigne, Frederic A. C.] Natl Oceanog Ctr, Southampton, Hants, England; [Le Moigne, Frederic A. C.; Engel, Anja] Helmholtz Ctr Ocean Res Kiel, GEOMAR, Kiel, Germany; [Iversen, Morten H.] Alfred Wegener Inst Polar &amp; Marine Res, Bremerhaven, Germany; [Iversen, Morten H.] MARUM, Bremen, Germany; [Iversen, Morten H.] Univ Bremen, Bremen, Germany; [Laurenceau-Cornec, Emmanuel C.] Univ Tasmania, Inst Marine &amp; Antarctic Studies, Hobart, Tas, Australia; [Le Moigne, Frederic A. C.] UM AMU 110, UMR CNRS 7294 IRD 235, Mediterranean Inst Oceanog, Marseille 09, France</t>
  </si>
  <si>
    <t>Universite de Bretagne Occidentale; Centre National de la Recherche Scientifique (CNRS); Ifremer; Institut de Recherche pour le Developpement (IRD); NERC National Oceanography Centre; Helmholtz Association; GEOMAR Helmholtz Center for Ocean Research Kiel; Helmholtz Association; Alfred Wegener Institute, Helmholtz Centre for Polar &amp; Marine Research; University of Bremen; University of Bremen; University of Tasmania; Aix-Marseille Universite</t>
  </si>
  <si>
    <t>Laurenceau-Cornec, EC (corresponding author), Univ Brest, LEMAR, IFREMER, CNRS,IRD, Plouzane, France.;Laurenceau-Cornec, EC (corresponding author), Univ Tasmania, Inst Marine &amp; Antarctic Studies, Hobart, Tas, Australia.</t>
  </si>
  <si>
    <t>emmanuel.laurenceau@utas.edu.au</t>
  </si>
  <si>
    <t>Iversen, Morten H/C-7741-2013; Engel, Andreas/E-3100-2014; Moriceau, Brivaela/I-9357-2012; Le Moigne, Frederic AC/O-9851-2014; GALLINARI, Morgane/V-8099-2017; Iversen, Morten Hvitfeldt/Q-3774-2016</t>
  </si>
  <si>
    <t>Engel, Anja/0000-0002-1042-1955; GALLINARI, Morgane/0000-0002-2274-8162; Moriceau, Brivaela/0000-0001-8576-1260; Iversen, Morten Hvitfeldt/0000-0002-5287-1110; Toullec, Jordan/0000-0002-2782-9607; Laurenceau-Cornec, Emmanuel/0000-0002-4041-4377</t>
  </si>
  <si>
    <t>CalMarO FP7 Marie Curie Initial Training Network [215157]; Region Bretagne; Integrating Project of the European Community 7th Framework Program; Australian Research Council [FL160100131]; EUROBASIN [264933]; Australian Research Council [FL160100131] Funding Source: Australian Research Council</t>
  </si>
  <si>
    <t>CalMarO FP7 Marie Curie Initial Training Network; Region Bretagne(Region Bretagne); Integrating Project of the European Community 7th Framework Program(European Union (EU)Marie Curie Actions); Australian Research Council(Australian Research Council); EUROBASIN; Australian Research Council(Australian Research Council)</t>
  </si>
  <si>
    <t>We thank H. Stibor, Oceanopolis Brest, B. Becker, E. Grosstefan, M. Le Goff, P. Pondaven, A. C. Baudoux, R. Corvaisier, A. Masson, C. Liourzou (IUEM), and C. Labry (IFREMER) for technical support, discussions, and/or advice. We would also like to thank F. Maggi and one anonymous reviewer for their constructive comments and helpful insights. This work was supported by the CalMarO FP7 Marie Curie Initial Training Network (www.calmaro.eu, grant agreement 215157), Region Bretagne, EUROBASIN (264933), an Integrating Project of the European Community 7th Framework Program, and by the Australian Research Council through a Laureate awarded to Philip W. Boyd (FL160100131).</t>
  </si>
  <si>
    <t>0024-3590</t>
  </si>
  <si>
    <t>1939-5590</t>
  </si>
  <si>
    <t>LIMNOL OCEANOGR</t>
  </si>
  <si>
    <t>Limnol. Oceanogr.</t>
  </si>
  <si>
    <t>10.1002/lno.11388</t>
  </si>
  <si>
    <t>Limnology; Oceanography</t>
  </si>
  <si>
    <t>Marine &amp; Freshwater Biology; Oceanography</t>
  </si>
  <si>
    <t>LX7DB</t>
  </si>
  <si>
    <t>WOS:000503600700001</t>
  </si>
  <si>
    <t>Yang, ZK; Yang, WQ; Yuan, LX; Wang, YH; Sun, LG</t>
  </si>
  <si>
    <t>Yang, Zhongkang; Yang, Wenqing; Yuan, Linxi; Wang, Yuhong; Sun, Liguang</t>
  </si>
  <si>
    <t>Evidence for glacial deposits during the Little Ice Age in Ny-Alesund, western Spitsbergen</t>
  </si>
  <si>
    <t>JOURNAL OF EARTH SYSTEM SCIENCE</t>
  </si>
  <si>
    <t>More extensive glaciers; Little Ice Age; Younger Dryas; western Spitsbergen</t>
  </si>
  <si>
    <t>LAKE-SEDIMENTS; GRAIN-SIZE; HOLOCENE; HISTORY; RECONSTRUCTION; SVALBARD; AREA; TILL; FLUCTUATIONS; LANDSCAPE</t>
  </si>
  <si>
    <t>The glaciers act as an important proxy of climate changes; however, little is known about the glacial activities in Ny-Alesund during the Little Ice Age (LIA). In the present study, we studied a 118-cm-high palaeo-notch sediment profile YN in Ny-Alesund which is divided into three units: upper unit (0-10 cm), middle unit (10-70 cm) and lower unit (70-118 cm). The middle unit contains many gravels and lacks regular lamination, and most of the gravels have striations and extrusion pits on the surface. The middle unit has the grain size characteristics and origin of organic matter distinct from other units, and it is likely the glacial till. The LIA in Svalbard took place between 1500 and 1900 AD, the middle unit is deposited between 2219 yr BP and AD 1900, and thus the middle unit is most likely caused by glacier advance during the LIA. Glaciers during the LIA likely overran the sampling site, removed part of the pre-existing sediments, and contributed to the formation of diamicton in the middle unit. This study provides evidence for glacial deposits during the LIA in Ny-Alesund and improves our understanding about historical glacier dynamics and ice-sheet margins during the LIA in western Spitsbergen.</t>
  </si>
  <si>
    <t>[Yang, Zhongkang; Yang, Wenqing; Yuan, Linxi; Wang, Yuhong; Sun, Liguang] Univ Sci &amp; Technol China, Sch Earth &amp; Space Sci, Anhui Prov Key Lab Polar Environm &amp; Global Change, Hefei 230026, Peoples R China; [Yang, Zhongkang] Shandong Agr Univ, Coll Resources &amp; Environm, Key Lab Agr Environm, Tai An 271000, Shandong, Peoples R China</t>
  </si>
  <si>
    <t>Chinese Academy of Sciences; University of Science &amp; Technology of China, CAS; Shandong Agricultural University</t>
  </si>
  <si>
    <t>Sun, LG (corresponding author), Univ Sci &amp; Technol China, Sch Earth &amp; Space Sci, Anhui Prov Key Lab Polar Environm &amp; Global Change, Hefei 230026, Peoples R China.</t>
  </si>
  <si>
    <t>slg@ustc.edu.cn</t>
  </si>
  <si>
    <t>Wang, Yu/GZL-9655-2022; Yuan, Linxi/Y-9313-2019; Yang, Wenqing/F-7026-2011</t>
  </si>
  <si>
    <t>Yuan, Linxi/0000-0002-1043-8933;</t>
  </si>
  <si>
    <t>Chinese Polar Environment Comprehensive Investigation &amp; Assessment Programmes [CHINARE2017-02-01, CHINARE2017-04-04]</t>
  </si>
  <si>
    <t>Chinese Polar Environment Comprehensive Investigation &amp; Assessment Programmes</t>
  </si>
  <si>
    <t>The research was supported by Chinese Polar Environment Comprehensive Investigation &amp; Assessment Programmes (CHINARE2017-02-01, CHINARE2017-04-04). Samples were provided by the Polar Sediment Repository of Polar Research Institute of China (PRIC). Samples information and data were issued by the Resource-sharing Platform of Polar Samples (http://birds.chinare.org.cn) maintained by Polar Research Institute of China (PRIC) and Chinese National Arctic &amp; Antarctic Data Center (CN-NADC). We thank the Chinese Arctic and Antarctic Administration and PRIC for logistical support in field.</t>
  </si>
  <si>
    <t>INDIAN ACAD SCIENCES</t>
  </si>
  <si>
    <t>BANGALORE</t>
  </si>
  <si>
    <t>C V RAMAN AVENUE, SADASHIVANAGAR, P B #8005, BANGALORE 560 080, INDIA</t>
  </si>
  <si>
    <t>2347-4327</t>
  </si>
  <si>
    <t>0973-774X</t>
  </si>
  <si>
    <t>J EARTH SYST SCI</t>
  </si>
  <si>
    <t>J. Earth Syst. Sci.</t>
  </si>
  <si>
    <t>DEC 20</t>
  </si>
  <si>
    <t>10.1007/s12040-019-1274-7</t>
  </si>
  <si>
    <t>Geosciences, Multidisciplinary; Multidisciplinary Sciences</t>
  </si>
  <si>
    <t>Geology; Science &amp; Technology - Other Topics</t>
  </si>
  <si>
    <t>KN1WI</t>
  </si>
  <si>
    <t>WOS:000514631000020</t>
  </si>
  <si>
    <t>Zhang, X; Zheng, Z; He, YY; Liu, LN; Qu, CF; Miao, JL</t>
  </si>
  <si>
    <t>Zhang, Xin; Zheng, Zhou; He, Yingying; Liu, Lina; Qu, Changfeng; Miao, Jinlai</t>
  </si>
  <si>
    <t>Molecular Cloning and Expression of a Cryptochrome Gene CiCRY-DASH1 from the Antarctic microalga Chlamydomonas sp. ICE-L</t>
  </si>
  <si>
    <t>MOLECULAR BIOTECHNOLOGY</t>
  </si>
  <si>
    <t>Light; Bioinformatic analysis; Quantitative real-time PCR; Expression analysis; Chlorophyll fluorescence</t>
  </si>
  <si>
    <t>CIRCADIAN CLOCK; SEA-ICE; LIGHT; PHOTOSYNTHESIS; ACCLIMATION; PROTEIN; PLANTS; IDENTIFICATION; FLUORESCENCE; RADIATION</t>
  </si>
  <si>
    <t>Cryptochromes (CRYs) are flavin-binding proteins that sense blue and near-ultraviolet light and participate in the photoreactions of organisms and the regulation of biological clocks. In this study, the complete open reading frame (ORF) of CiCRY-DASH1 (GenBank ID MK392361), encoding one kind of cryptochrome, was cloned from the Antarctic microalga Chlamydomonas sp. ICE-L. The quantitative real-time PCR study showed that the CiCRY-DASH1 had the highest expression at 5 degrees C and salinity of 32 parts per thousand. The CiCRY-DASH1 was positively regulated by blue, yellow, or red light. Moreover, the CiCRY-DASH1 can positively respond to extreme polar day and night treatment and exhibit a certain circadian rhythm, which indicated that CiCRY-DASH1 participated in the circadian clock and its expression was regulated by circadian rhythms. And the CiCRY-DASH1 was more noticeably affected by ultraviolet-B radiation than ultraviolet-A radiation, indicating ultraviolet-B light does obvious damage to Antarctic microalgae.</t>
  </si>
  <si>
    <t>[Zhang, Xin; He, Yingying; Liu, Lina] Qingdao Univ, Sch Basic Med, Qingdao 266071, Peoples R China; [Zheng, Zhou; Qu, Changfeng; Miao, Jinlai] Minist Nat Resource, Inst Oceanog 1, Qingdao 266061, Peoples R China; [Zheng, Zhou; Qu, Changfeng; Miao, Jinlai] Qingdao Natl Lab Marine Sci &amp; Technol, Lab Marine Drugs &amp; Bioprod, Qingdao 266237, Peoples R China</t>
  </si>
  <si>
    <t>Qingdao University; Laoshan Laboratory</t>
  </si>
  <si>
    <t>Miao, JL (corresponding author), Minist Nat Resource, Inst Oceanog 1, Qingdao 266061, Peoples R China.;Miao, JL (corresponding author), Qingdao Natl Lab Marine Sci &amp; Technol, Lab Marine Drugs &amp; Bioprod, Qingdao 266237, Peoples R China.</t>
  </si>
  <si>
    <t>zhangxin129129@163.com; zhengzhou@fio.org.cn; heyinging11@163.com; 1758406422@qq.com; cfqu@fio.org.cn; miaojinlai@fio.org.cn</t>
  </si>
  <si>
    <t>Zheng, Zhou/JJD-0602-2023; He, Ying Ying/HZL-0137-2023</t>
  </si>
  <si>
    <t>He, Ying Ying/0000-0002-8759-3157; Liu, Lina/0000-0002-6252-0680</t>
  </si>
  <si>
    <t>National Key Research and Development Program of China [2018YFD0901103, 2018YFD0900705]; China Ocean Mineral Resources RD Association [DY135-B2-14]; Natural Science Foundation of China [41776203, 41576187]; Basic Scientific Fund for National Public Research Institutes of China [2016Q10]; Key Research and Development Program of Shandong Province [2018YYSP024, 2018GHY115039]; Ningbo Public Service Platform for High-Value Utilization of Marine Biological Resources [NBHY-2017-P2]; Natural Science Foundation of Shandong [ZR2019BD023]; National Programme on Global Change and Air-sea Interaction [GASI-03-02-02-05]</t>
  </si>
  <si>
    <t>National Key Research and Development Program of China; China Ocean Mineral Resources RD Association; Natural Science Foundation of China(National Natural Science Foundation of China (NSFC)); Basic Scientific Fund for National Public Research Institutes of China; Key Research and Development Program of Shandong Province; Ningbo Public Service Platform for High-Value Utilization of Marine Biological Resources; Natural Science Foundation of Shandong(Natural Science Foundation of Shandong Province); National Programme on Global Change and Air-sea Interaction</t>
  </si>
  <si>
    <t>This work was supported by the National Key Research and Development Program of China (2018YFD0900705), the China Ocean Mineral Resources R&amp;D Association (No. DY135-B2-14), the National Key Research and Development Program of China (2018YFD0901103), the Natural Science Foundation of China (41776203, 41576187), Basic Scientific Fund for National Public Research Institutes of China (2016Q10), Key Research and Development Program of Shandong Province (2018YYSP024, 2018GHY115039), Ningbo Public Service Platform for High-Value Utilization of Marine Biological Resources (NBHY-2017-P2), the Natural Science Foundation of Shandong (No. ZR2019BD023), and National Programme on Global Change and Air-sea Interaction (No. GASI-03-02-02-05).</t>
  </si>
  <si>
    <t>SPRINGERNATURE</t>
  </si>
  <si>
    <t>CAMPUS, 4 CRINAN ST, LONDON, N1 9XW, ENGLAND</t>
  </si>
  <si>
    <t>1073-6085</t>
  </si>
  <si>
    <t>1559-0305</t>
  </si>
  <si>
    <t>MOL BIOTECHNOL</t>
  </si>
  <si>
    <t>Mol. Biotechnol.</t>
  </si>
  <si>
    <t>10.1007/s12033-019-00225-y</t>
  </si>
  <si>
    <t>KJ3AH</t>
  </si>
  <si>
    <t>WOS:000507077500001</t>
  </si>
  <si>
    <t>Zhang, CL; Ji, Q; Pang, XP; Su, J; Liu, C</t>
  </si>
  <si>
    <t>Zhang, Chenlei; Ji, Qing; Pang, Xiaoping; Su, Jie; Liu, Chang</t>
  </si>
  <si>
    <t>Comparison of passive microwave remote-sensing snow-depth products on Arctic sea ice</t>
  </si>
  <si>
    <t>Cryosphere; snow cover; ice mass-balance buoys; ice bridge; accuracy analysis; sea-ice thickness</t>
  </si>
  <si>
    <t>AMSR-E; OCEAN</t>
  </si>
  <si>
    <t>Changes in snow cover on the surface of Arctic sea ice affect the energy balance between the atmosphere and the ocean and play a vital role in the global climate system. Accurate snow depth is a precondition for representing thermodynamic processes in sea-ice systems and is helpful for estimating sea-ice thickness. To better apply Arctic snow-depth products released by different organizations, we compared four kinds of snow-depth products based on three kinds of passive microwave (PM) sensors and evaluated them against the snow depth measured by ice mass-balance buoys (IMB snow depth) and Operation Ice Bridge airborne snow radar (OIB snow depth). The results show that the snow depths from the product released by the University of Bremen (UB) are larger than those by the National Snow and Ice Data Center (NSIDC) and National Aeronautics and Space Administration (NASA), with an average difference of 10 cm. Comparing the PM remote-sensing snow depths released by UB, NSIDC and NASA against IMB and OIB snow depths, it is found that NSIDC AMSR-E snow-depth product has the highest accuracy. Although these PM remote-sensing snow-depth products released by different organizations differ in accuracy, they all reflect the spatio-temporal variation characteristics of snow depth on Arctic sea ice. These comparisons and analysis of snow-depth products from different sensors released by -different organizations provide a basis for further investigation of Arctic sea-ice thickness estimation and benefit the studies of Arctic sea ice and climate change.</t>
  </si>
  <si>
    <t>[Zhang, Chenlei; Ji, Qing; Pang, Xiaoping] Wuhan Univ, Chinese Antarctic Ctr Surveying &amp; Mapping, Wuhan 430079, Hubei, Peoples R China; [Pang, Xiaoping; Liu, Chang] Wuhan Univ, Sch Resource &amp; Environm Sci, Wuhan, Hubei, Peoples R China; [Su, Jie] Ocean Univ China, Minist Educ, Key Lab Phys Oceanog, Qingdao, Shandong, Peoples R China</t>
  </si>
  <si>
    <t>Wuhan University; Wuhan University; Ocean University of China</t>
  </si>
  <si>
    <t>Ji, Q (corresponding author), Wuhan Univ, Chinese Antarctic Ctr Surveying &amp; Mapping, Wuhan 430079, Hubei, Peoples R China.</t>
  </si>
  <si>
    <t>jiqing@whu.edu.cn</t>
  </si>
  <si>
    <t>National Key Research and Development Program of China [2016YFC1402704, 2017YFA0603104]; National Natural Science Foundation of China [41576188, 41606215]</t>
  </si>
  <si>
    <t>National Key Research and Development Program of China; National Natural Science Foundation of China(National Natural Science Foundation of China (NSFC))</t>
  </si>
  <si>
    <t>The authors acknowledge joint support by the National Key Research and Development Program of China (2016YFC1402704, 2017YFA0603104) and the National Natural Science Foundation of China (41576188, 41606215).</t>
  </si>
  <si>
    <t>10.33265/polar.v38.3432</t>
  </si>
  <si>
    <t>JZ5ZG</t>
  </si>
  <si>
    <t>WOS:000505180600001</t>
  </si>
  <si>
    <t>Brainard, J</t>
  </si>
  <si>
    <t>Brainard, Jeffrey</t>
  </si>
  <si>
    <t>Map reveals Antarctic terrain</t>
  </si>
  <si>
    <t>SCIENCE</t>
  </si>
  <si>
    <t>News Item</t>
  </si>
  <si>
    <t>AMER ASSOC ADVANCEMENT SCIENCE</t>
  </si>
  <si>
    <t>1200 NEW YORK AVE, NW, WASHINGTON, DC 20005 USA</t>
  </si>
  <si>
    <t>0036-8075</t>
  </si>
  <si>
    <t>1095-9203</t>
  </si>
  <si>
    <t>Science</t>
  </si>
  <si>
    <t>JX6SA</t>
  </si>
  <si>
    <t>WOS:000503861000063</t>
  </si>
  <si>
    <t>Roslee, AFA; Zakaria, NN; Convey, P; Zulkharnain, A; Lee, GLY; Gomez-Fuentes, C; Ahmad, SA</t>
  </si>
  <si>
    <t>Roslee, Ahmad Fareez Ahmad; Zakaria, Nur Nadhirah; Convey, Peter; Zulkharnain, Azham; Lee, Gillian Li Yin; Gomez-Fuentes, Claudio; Ahmad, Siti Aqlima</t>
  </si>
  <si>
    <t>Statistical optimisation of growth conditions and diesel degradation by the Antarctic bacterium, Rhodococcus sp. strain AQ5-07</t>
  </si>
  <si>
    <t>EXTREMOPHILES</t>
  </si>
  <si>
    <t>Diesel; Antarctica; Rhodococcus sp; Biodegradation; Response-surface methodology (RSM)</t>
  </si>
  <si>
    <t>POLYCYCLIC AROMATIC-HYDROCARBONS; RESPONSE-SURFACE METHODOLOGY; OIL CONTAMINATED SOIL; CRUDE-OIL; PETROLEUM-HYDROCARBONS; ERYTHROPOLIS CELLS; BIODEGRADATION; BIOREMEDIATION; SEDIMENTS; PHENOL</t>
  </si>
  <si>
    <t>Petroleum pollution is a major concern in Antarctica due to the persistent nature of its hydrocarbon components coupled with the region's extreme environmental conditions, which means that bioremediation approaches are largely inapplicable at present. The current study assessed the ability of the psychrotolerant phenol-degrader, Rhodococcus sp. strain AQ5-07, to assimilate diesel fuel as the sole carbon source. Factors expected to influence the efficiency of diesel degradation, including the initial hydrocarbon concentration, nitrogen source concentration and type, temperature, pH and salinity were studied. Strain AQ5-07 displayed optimal cell growth and biodegradation activity at 1% v/v initial diesel concentration, 1 g/L NH4Cl concentration, pH 7 and 1% NaCl during one-factor-at-a-time (OFAT) analyses. Strain AQ5-07 was psychrotolerant based on its optimum growth temperature being near 20 degrees C. In conventionally optimised media, strain AQ5-07 showed total petroleum hydrocarbons (TPH) mineralisation of 75.83%. However, the optimised condition for TPH mineralisation predicted through statistical response surface methodology (RSM) enhanced the reduction to 90.39% within a 2 days incubation. Our preliminary data support strain AQ5-07 being a potential candidate for real-field soil bioremediation by specifically adopting sludge-phase bioreactor system in chronically cold environments such as Antarctica. The study also confirmed the utility of RSM in medium optimisation.</t>
  </si>
  <si>
    <t>[Roslee, Ahmad Fareez Ahmad; Zakaria, Nur Nadhirah; Lee, Gillian Li Yin; Ahmad, Siti Aqlima] Univ Putra Malaysia, Fac Biotechnol &amp; Biomol Sci, Dept Biochem, Serdang 43400, Selangor, Malaysia; [Convey, Peter] British Antarctic Survey, NERC, Madingley Rd, Cambridge CB3 0ET, England; [Zulkharnain, Azham] Shibaura Inst Technol, Coll Syst Engn &amp; Sci, Dept Biosci &amp; Engn, Minuma Ku, 307 Fukasaku, Saitama 3378570, Japan; [Gomez-Fuentes, Claudio] Univ Magallanes, Dept Chem Engn, Avda Bulnes, Punta Arenas 01855, Chile</t>
  </si>
  <si>
    <t>Universiti Putra Malaysia; UK Research &amp; Innovation (UKRI); Natural Environment Research Council (NERC); NERC British Antarctic Survey; Shibaura Institute of Technology; Universidad de Magallanes</t>
  </si>
  <si>
    <t>Ahmad, SA (corresponding author), Univ Putra Malaysia, Fac Biotechnol &amp; Biomol Sci, Dept Biochem, Serdang 43400, Selangor, Malaysia.</t>
  </si>
  <si>
    <t>aqlima@upm.edu.my</t>
  </si>
  <si>
    <t>Zakaria, Nur Nadhirah/ABE-2291-2020; Convey, Peter/AAV-5728-2020; Zulkharnain, Azham/AAV-1241-2020</t>
  </si>
  <si>
    <t>Convey, Peter/0000-0001-8497-9903; Zulkharnain, Azham/0000-0001-9173-8171; Ahmad, Siti Aqlima/0000-0002-7625-3704</t>
  </si>
  <si>
    <t>Putra-IPM fund [2016/9300430, GPM-2018/9660000, GPM-2019/9678900, 2017/9300436]; YPASM Smart Partnership Initiative by Sultan Mizan Antarctic Research Foundation (YPASM); NERC; Centro de Investigacion y Monitoreo Ambiental Antarctico (CIMAA) Project; Public Service Department of Malaysia (JPA); NERC [bas0100036] Funding Source: UKRI</t>
  </si>
  <si>
    <t>Putra-IPM fund; YPASM Smart Partnership Initiative by Sultan Mizan Antarctic Research Foundation (YPASM); NERC(UK Research &amp; Innovation (UKRI)Natural Environment Research Council (NERC)); Centro de Investigacion y Monitoreo Ambiental Antarctico (CIMAA) Project; Public Service Department of Malaysia (JPA); NERC(UK Research &amp; Innovation (UKRI)Natural Environment Research Council (NERC))</t>
  </si>
  <si>
    <t>This project was financially supported by Putra-IPM fund under the research grant attached to S.A. Ahmad (GPMatching Grant/2016/9300430, GP-Matching Grant/2017/9300436, GPM-2018/9660000 and GPM-2019/9678900) disbursed by Universiti Putra Malaysia (UPM) and YPASM Smart Partnership Initiative by Sultan Mizan Antarctic Research Foundation (YPASM). P. Convey is supported by NERC core funding to the BAS `Biodiversity, Ecosystems and Adaptation' Team. C.G. Fuentes is supported by Centro de Investigacion y Monitoreo Ambiental Antarctico (CIMAA) Project. The authors would like to thank Assoc. Prof. Dr. Siti Aisyah Alias from University of Malaya, Malaysia and Professor Gerardo GonzalezRocha from Universidad de Concepcion for the help of the first study. The authors also would like to thank Chilean Army and the Antarctic General Bernardo O'Higgins Station staff, Instituto Antartico Chileno (INACH) and National Antarctic Research Centre (NARC). We also thank the Public Service Department of Malaysia (JPA) for granting a master programme scholarship to Ahmad Fareez Ahmad Roslee.</t>
  </si>
  <si>
    <t>SPRINGER JAPAN KK</t>
  </si>
  <si>
    <t>TOKYO</t>
  </si>
  <si>
    <t>SHIROYAMA TRUST TOWER 5F, 4-3-1 TORANOMON, MINATO-KU, TOKYO, 105-6005, JAPAN</t>
  </si>
  <si>
    <t>1431-0651</t>
  </si>
  <si>
    <t>1433-4909</t>
  </si>
  <si>
    <t>Extremophiles</t>
  </si>
  <si>
    <t>10.1007/s00792-019-01153-0</t>
  </si>
  <si>
    <t>Biochemistry &amp; Molecular Biology; Microbiology</t>
  </si>
  <si>
    <t>KT9ZF</t>
  </si>
  <si>
    <t>WOS:000503774300001</t>
  </si>
  <si>
    <t>Kuhn, AM; Dutkicwicz, S; Jahn, O; Clayton, S; Ryncarson, TA; Mazloff, MR; Barton, AD</t>
  </si>
  <si>
    <t>Kuhn, A. M.; Dutkicwicz, S.; Jahn, O.; Clayton, S.; Ryncarson, T. A.; Mazloff, M. R.; Barton, A. D.</t>
  </si>
  <si>
    <t>Temporal and Spatial Scales of Correlation in Marine Phytoplankton Communities</t>
  </si>
  <si>
    <t>JOURNAL OF GEOPHYSICAL RESEARCH-OCEANS</t>
  </si>
  <si>
    <t>phytoplankton; phytoplankton diversity; phytoplankton dispersal; global plankton model; phytoplankton correlation scales; phytoplankton traits</t>
  </si>
  <si>
    <t>SURFACE TEMPERATURE ANOMALIES; OCEAN COLOR; NORTH-ATLANTIC; TIME SCALES; VARIABILITY; CARBON; DIVERSITY; EVOLUTION; PATTERNS; GROWTH</t>
  </si>
  <si>
    <t>Ocean circulation shapes marine phytoplankton communities by setting environmental conditions and dispersing organisms. In addition, processes acting on the water column (e.g., heat fluxes and mixing) affect the community structure by modulating environmental variables that determine in situ growth and loss rates. Understanding the scales over which phytoplankton communities vary in time and space is key to elucidate the relative contributions of local processes and ocean circulation on phytoplankton distributions. Using a global ocean ecosystem model, we quantify temporal and spatial correlation scales for phytoplankton phenotypes with diverse functional traits and cell sizes. Through this analysis, we address these questions: (1) Over what timescales do perturbations in phytoplankton populations persist? and (2) over what distances are variations in phytoplankton populations synchronous? We find that correlation timescales are short in regions of strong currents, such as the Gulf Stream and Antarctic Circumpolar Current. Conversely, in the subtropical gyres, phytoplankton population anomalies persist for relatively long periods. Spatial correlation length scales are elongated near ocean fronts and narrow boundary currents, reflecting flow paths and frontal patterns. In contrast, we find nearly isotropic spatial correlation fields where current speeds are small, or where mixing acts roughly equally in all directions. Phytoplankton timescales and length scales also vary coherently with phytoplankton body size. In addition to aiding understanding of phytoplankton population dynamics, our results provide global insights to guide the design of biological ocean observing networks and to better interpret data collected at long-term monitoring stations.</t>
  </si>
  <si>
    <t>[Kuhn, A. M.; Mazloff, M. R.; Barton, A. D.] Univ Calif San Diego, Scripps Inst Oceanog, La Jolla, CA 92093 USA; [Dutkicwicz, S.; Jahn, O.] MIT, 77 Massachusetts Ave, Cambridge, MA 02139 USA; [Clayton, S.] Old Dominion Univ, Dept Ocean Earth &amp; Atmospher Sci, Norfolk, VA USA; [Ryncarson, T. A.] Univ Rhode Isl, Grad Sch Oceanog, Narragansett, RI 02882 USA</t>
  </si>
  <si>
    <t>University of California System; University of California San Diego; Scripps Institution of Oceanography; Massachusetts Institute of Technology (MIT); Old Dominion University; University of Rhode Island</t>
  </si>
  <si>
    <t>Kuhn, AM (corresponding author), Univ Calif San Diego, Scripps Inst Oceanog, La Jolla, CA 92093 USA.</t>
  </si>
  <si>
    <t>akuhncordova@ucsd.edu</t>
  </si>
  <si>
    <t>Clayton, Sophie/0000-0001-7473-4873; Rynearson, Tatiana/0000-0003-2951-0066; Barton, Andrew/0000-0002-6480-4433</t>
  </si>
  <si>
    <t>NASA [80NSSC17K0561, NNX16AH67G]; Moore-Sloan Data Science and Washington Research Foundation Innovation in Data Science Fellowship; NSF [OPP-1750035, PLR-1425989, OCE-1638834, OPP-1543245]; Simons Foundation; NOPP [NA19OAR4310361]; NASA [NNX16AH67G, 903915] Funding Source: Federal RePORTER</t>
  </si>
  <si>
    <t>NASA(National Aeronautics &amp; Space Administration (NASA)); Moore-Sloan Data Science and Washington Research Foundation Innovation in Data Science Fellowship; NSF(National Science Foundation (NSF)); Simons Foundation; NOPP; NASA(National Aeronautics &amp; Space Administration (NASA))</t>
  </si>
  <si>
    <t>Model data used in this study are publicly available at the UC San Diego Library Digital Collections: https://doi.org/10.6075/J0BR8QJ1. Additional model data and visualization tools are available through the following OPeNDAP server: http://engagingopendap.mit.edu:8080/las/UI.vm, data set Darwin v0.2 cs510. We acknowledge funding from NASA grant 80NSSC17K0561 (to S. D. and O. J.); the Moore-Sloan Data Science and Washington Research Foundation Innovation in Data Science Fellowship (to S. C.); NSF grants OCE-1638834 and OPP-1543245 (to T. A. R.); NOPP grant NA19OAR4310361; NASA grant NNX16AH67G, NSF grants OPP-1750035 and PLR-1425989 (to M. R. M.); and from the Simons Foundation (to A. D. B.). We thank our Editor M. Friedrichs and three anonymous reviewers whose comments helped improving this manuscript.</t>
  </si>
  <si>
    <t>2169-9275</t>
  </si>
  <si>
    <t>2169-9291</t>
  </si>
  <si>
    <t>J GEOPHYS RES-OCEANS</t>
  </si>
  <si>
    <t>J. Geophys. Res.-Oceans</t>
  </si>
  <si>
    <t>10.1029/2019JC015331</t>
  </si>
  <si>
    <t>Oceanography</t>
  </si>
  <si>
    <t>KI4PF</t>
  </si>
  <si>
    <t>WOS:000503600900001</t>
  </si>
  <si>
    <t>Wang, ZB; Sun, YY; Li, Y; Chen, XL; Wang, P; Ding, HT; Chen, B; Zhang, XY; Song, XY; Wang, M; McMinn, A; Zhang, YZ; Qin, QL</t>
  </si>
  <si>
    <t>Wang, Zhi-Bin; Sun, Yuan-Yuan; Li, Yi; Chen, Xiu-Lan; Wang, Peng; Ding, Hai-Tao; Chen, Bo; Zhang, Xi-Ying; Song, Xiao-Yan; Wang, Min; McMinn, Andrew; Zhang, Yu-Zhong; Qin, Qi-Long</t>
  </si>
  <si>
    <t>Significant Bacterial Distance-Decay Relationship in Continuous, Well-Connected Southern Ocean Surface Water</t>
  </si>
  <si>
    <t>MICROBIAL ECOLOGY</t>
  </si>
  <si>
    <t>Distance-decay; Southern Ocean; Bacterial community; Biogeographic pattern</t>
  </si>
  <si>
    <t>BIOGEOGRAPHIC PATTERNS; COMMUNITIES; DIVERSITY; SEQUENCES</t>
  </si>
  <si>
    <t>Recently, an increasing number of studies have focused on the biogeographic distribution of marine microorganisms. However, the extent to which geographic distance can affect marine microbial communities is still unclear, especially for the microbial communities in well-connected surface seawaters. In this study, the bacterial community compositions of 21 surface seawater samples, that were distributed over a distance of 7800 km, were surveyed to investigate how bacterial community similarity changes with increasing geographical distance. Proteobacteria and Bacteroidetes were the dominant bacterial phyla, with Proteobacteria accounting for 52.6-92.5% and Bacteroidetes comprising 3.5-46.9% of the bacterial communities. A significant bacterial distance-decay relationship was observed in the well-connected Southern Ocean surface seawater. The number of pairwise shared operational taxonomic units (OTUs), and community similarities tended to decrease with increasing geographic distance. Calculation of the similarity indices with all, abundant or rare OTUs did not affect the observed distance-decay relationship. Spatial distance can largely explain the observed bacterial community variation. This study shows that even in well-connected surface waters, bacterial distance-decay patterns can be found as long as the geographical distance is great enough. The biogeographic patterns should then be present for marine microorganisms considering the large size and complexity of the marine ecosystem.</t>
  </si>
  <si>
    <t>[Wang, Zhi-Bin; Sun, Yuan-Yuan; Li, Yi; Chen, Xiu-Lan; Zhang, Xi-Ying; Song, Xiao-Yan; Zhang, Yu-Zhong; Qin, Qi-Long] Shandong Univ, Inst Marine Sci &amp; Technol, State Key Lab Microbial Technol, Qingdao, Shandong, Peoples R China; [Wang, Peng; Zhang, Yu-Zhong; Qin, Qi-Long] Pilot Natl Lab Marine Sci &amp; Technol, Lab Marine Biol &amp; Biotechnol, Qingdao, Shandong, Peoples R China; [Wang, Peng; Wang, Min; McMinn, Andrew; Zhang, Yu-Zhong] Ocean Univ China, Coll Marine Life Sci, Inst Adv Ocean Study, Qingdao, Shandong, Peoples R China; [Ding, Hai-Tao; Chen, Bo] Polar Res Inst China, Shanghai, Peoples R China; [McMinn, Andrew] Univ Tasmania, Inst Marine &amp; Antarctic Studies, Hobart, Tas, Australia</t>
  </si>
  <si>
    <t>Shandong University; Laoshan Laboratory; Ocean University of China; Polar Research Institute of China; University of Tasmania</t>
  </si>
  <si>
    <t>Qin, QL (corresponding author), Shandong Univ, Inst Marine Sci &amp; Technol, State Key Lab Microbial Technol, Qingdao, Shandong, Peoples R China.;Qin, QL (corresponding author), Pilot Natl Lab Marine Sci &amp; Technol, Lab Marine Biol &amp; Biotechnol, Qingdao, Shandong, Peoples R China.</t>
  </si>
  <si>
    <t>qinqilong@sdu.edu.cn</t>
  </si>
  <si>
    <t>Wang, Zhibin/AAD-5283-2021; wang, zhibin/GLQ-7995-2022; Zhang, Xi/HJH-1211-2023; liu, peiyao/KFT-1810-2024; Wang, Min/AFR-9645-2022; sun, jiamin/JPY-2155-2023</t>
  </si>
  <si>
    <t>Wang, Zhibin/0000-0001-9805-0310; wang, zhibin/0000-0001-9805-0310; Wang, Min/0000-0002-2357-589X;</t>
  </si>
  <si>
    <t>National Key R&amp;D Program of China [2018YFC1406700, 2018YFC1406702, 2018YFC1406704, 2018YFC1406706]; National Science Foundation of China [31670063, 31670038, U1706207, 31800107, 91851205, 31870101]; AoShan Talents Cultivation Program - Qingdao National Laboratory for Marine Science and Technology [2017ASTCP-OS14]; Taishan Scholars Program of Shandong Province [tspd20181203]; Key Research Project of Shandong Province [2017GSF21106]; Young Scholars Program of Shandong University [2016WLJH36]</t>
  </si>
  <si>
    <t>National Key R&amp;D Program of China; National Science Foundation of China(National Natural Science Foundation of China (NSFC)); AoShan Talents Cultivation Program - Qingdao National Laboratory for Marine Science and Technology; Taishan Scholars Program of Shandong Province; Key Research Project of Shandong Province; Young Scholars Program of Shandong University</t>
  </si>
  <si>
    <t>The work was supported by National Key R&amp;D Program of China (grants 2018YFC1406700, 2018YFC1406702, 2018YFC1406704, and 2018YFC1406706), the National Science Foundation of China (grants 31670063, 31670038, U1706207, 31800107, 91851205, and 31870101), AoShan Talents Cultivation Program Supported by Qingdao National Laboratory for Marine Science and Technology (2017ASTCP-OS14), Taishan Scholars Program of Shandong Province (tspd20181203), the Key Research Project of Shandong Province (2017GSF21106), and the Young Scholars Program of Shandong University (2016WLJH36).</t>
  </si>
  <si>
    <t>SPRINGER</t>
  </si>
  <si>
    <t>NEW YORK</t>
  </si>
  <si>
    <t>ONE NEW YORK PLAZA, SUITE 4600, NEW YORK, NY, UNITED STATES</t>
  </si>
  <si>
    <t>0095-3628</t>
  </si>
  <si>
    <t>1432-184X</t>
  </si>
  <si>
    <t>MICROB ECOL</t>
  </si>
  <si>
    <t>Microb. Ecol.</t>
  </si>
  <si>
    <t>10.1007/s00248-019-01472-x</t>
  </si>
  <si>
    <t>Ecology; Marine &amp; Freshwater Biology; Microbiology</t>
  </si>
  <si>
    <t>Environmental Sciences &amp; Ecology; Marine &amp; Freshwater Biology; Microbiology</t>
  </si>
  <si>
    <t>MF9XP</t>
  </si>
  <si>
    <t>WOS:000503655800001</t>
  </si>
  <si>
    <t>Chen, JP; Yin, JH; Zang, L; Zhang, TX; Zhao, MD</t>
  </si>
  <si>
    <t>Chen, Jiangping; Yin, Jianhua; Zang, Lin; Zhang, Taixin; Zhao, Mengdi</t>
  </si>
  <si>
    <t>Stacking machine learning model for estimating hourly PM2.5 in China based on Himawari 8 aerosol optical depth data</t>
  </si>
  <si>
    <t>Air pollution; Himawari 8; Hourly PM2.5; Stacking model</t>
  </si>
  <si>
    <t>SATELLITE; TRENDS; VARIABILITY; REGRESSION; THICKNESS; HAZE</t>
  </si>
  <si>
    <t>Aerosol optical depth (AOD) from polar orbit satellites and meteorological factors have been widely used to estimate concentrations of surface particulate matter with an aerodynamic diameter &lt;2.5 mu m(PM2.5). However, estimations with high temporal resolution remain lacking because of the limitations of satellite observations. Here, we used AOD data with a temporal resolution of 1 h provided by a geostationary satellite called Himawari 8 to overcome this problem. We developed a stacking model, which contained three submodels of machine learning, namely, AdaBoost, XGBoost and random forest, stacked through a multiple linear regression model. Then, we estimated the hourly concentrations of PM2.5 in Central and Eastern China. The accuracy evaluation showed that the proposed stacking model performed better than the single models when applied to the test set, with an average coefficient of determination (R-2) of 0.85 and a root-mean-square error (RMSE) of 17.3 mu g/m(3). Model precision reached its peak at 14:00 (local time), with an R-2 (RMSE) of 0.92 (12.9 mu g/m(3)). In addition, the spatial and temporal distributions of PM2.5 in Central and Eastern China were plotted in this study. The North China Plain was determined to be the most polluted area in China, with an annual mean PM2.5 concentration of 58 mu g/m(3) during daytime. Moreover, the pollution level of PM2.5 was the highest in winter, with an average concentration of 73 mu g/m(3). (C) 2019 Elsevier B.V. All rights reserved.</t>
  </si>
  <si>
    <t>[Chen, Jiangping; Yin, Jianhua; Zhang, Taixin; Zhao, Mengdi] Wuhan Univ, Sch Remote Sensing &amp; Informat Engn, Wuhan 430079, Hubei, Peoples R China; [Zang, Lin] Wuhan Univ, Chinese Antarctic Ctr Surveying &amp; Mapping, Wuhan 430079, Hubei, Peoples R China</t>
  </si>
  <si>
    <t>Wuhan University; Wuhan University</t>
  </si>
  <si>
    <t>Yin, JH (corresponding author), Wuhan Univ, Sch Remote Sensing &amp; Informat Engn, Wuhan 430079, Hubei, Peoples R China.</t>
  </si>
  <si>
    <t>yinjianhua@whu.edu.cn</t>
  </si>
  <si>
    <t>National Key Research and Development Program of China [2018YFB10046, 2017YFB0503604]</t>
  </si>
  <si>
    <t>National Key Research and Development Program of China</t>
  </si>
  <si>
    <t>This study was supported by the National Key Research and Development Program of China (grant numbers 2018YFB10046 and 2017YFB0503604). The authors also grateful the CMA, Japan Aerospace Exploration Agency, ECMWF, Data Center of the US NASA, and USGS for supporting the data for this study.</t>
  </si>
  <si>
    <t>10.1016/j.scitotenv.2019.134021</t>
  </si>
  <si>
    <t>JR5MI</t>
  </si>
  <si>
    <t>WOS:000499668600086</t>
  </si>
  <si>
    <t>Fernandes, AD; Brito, LB; Oliveira, GAR; Ferraz, ERA; Evangelista, H; Mazzei, JL; Felzenszwalb, I</t>
  </si>
  <si>
    <t>da Silva Fernandes, Andreia; Brito, Lara Barroso; Oliveira, Gisele Augusto Rodrigues; Ferraz, Elisa Raquel Anastacio; Evangelista, Heitor; Mazzei, Jose Luiz; Felzenszwalb, Israel</t>
  </si>
  <si>
    <t>Evaluation of the acute toxicity, phototoxicity and embryotoxicity of a residual aqueous fraction from extract of the Antarctic moss Sanionia uncinata</t>
  </si>
  <si>
    <t>BMC PHARMACOLOGY &amp; TOXICOLOGY</t>
  </si>
  <si>
    <t>Article; Proceedings Paper</t>
  </si>
  <si>
    <t>2nd Latin American Congress of Clinical and Laboratorial Toxicology</t>
  </si>
  <si>
    <t>JUN 03-06, 2018</t>
  </si>
  <si>
    <t>Porto Alegre, BRAZIL</t>
  </si>
  <si>
    <t>Sanionia uncinata; Sun protection factor; Embryotoxicity; Cell death; 3D cell; Phototoxicity</t>
  </si>
  <si>
    <t>CANCER; 3D</t>
  </si>
  <si>
    <t>Background Ultraviolet (UV) radiation is the main exogenous inductor of skin damage and so photoprotection is important to control skin disorders. The Antarctic moss Sanionia uncinata is an important source of antioxidants and the photoprotective activity of its organic extracts has been investigated. This study aimed to evaluate the potential photoprotection, cytotoxicity and embryotoxicity of residual aqueous fraction (AF) from the moss S. uncinata. Methods UV-visible spectrum and SPF (sun protection factor) were determined by spectrophotometry. Embryotoxicity potential was evaluated by Fish embryo-larval toxicity test using zebrafish (Danio rerio) as organism model. Cell death assays by water-soluble tetrazolium salt (WST-1) and lactate dehydrogenase (LDH) were investigated using HaCaT keratinocyte cell line cultured in monolayers and three dimensions (3D). Phototoxicity and association with UV-filters were performed by 3T3 neutral red uptake test. Results The AF showed sharp absorption bands in the UV region and less pronounced in the visible region. The SPF was low (2.5 +/- 0.3), but the SPF values of benzophenone-3 and octyl-methoxycinnamate increased similar to 3 and 4 times more, respectively, in association with AF. The AF did not induce significant lethal and sublethal effects on zebrafish early-life stages. In monolayers, the HaCaT cell viability, evaluated by WST-1, was above 70% by &lt;= 0.4 mg AF/mL after 48 and 72-h exposure, whereas &lt;= 1 mg AF/mL after 24-h exposure. The LDH assay showed that the cell viability was above 70% by &lt;= 0.4 mg AF/mL even after 72-h exposure, but &lt;= 1 mg/mL after 24 and 48-h exposure. In 3D cell culture, an increased cell resistance to toxicity was observed, because cell viability of HaCaT cell by WST-1 and LDH was above similar to 90% when using &lt;= 1 and 4 mg AF/mL, respectively. The AF demonstrated values of photo irritation factor &lt; 2 and of photo effect &lt; 0.1, even though in association with UV-filters. Conclusions The residual AF absorbs UV-vis spectrum, increased SPF values of BP-3 and OMC and does not induce embryotoxicity to zebrafish early life-stage. The cell death assays allowed establishing non-toxic doses of AF and phototoxicity was not detected. AF of S. uncinata presents a good potential for skin photoprotection against UV-radiation.</t>
  </si>
  <si>
    <t>[da Silva Fernandes, Andreia; Felzenszwalb, Israel] Univ Estado Rio De Janeiro, Dept Biophys &amp; Biometry, Lab Environm Mutagenesis, Rio De Janeiro, RJ, Brazil; [Brito, Lara Barroso; Oliveira, Gisele Augusto Rodrigues] Univ Fed Goias, Fac Pharm, Environm Toxicol Res Lab EnvTox, Goiania, Go, Brazil; [Ferraz, Elisa Raquel Anastacio] Fluminense Fed Univ, Toxicol Lab, Dept Pharm &amp; Pharmaceut Adm, Coll Pharm, Niteroi, RJ, Brazil; [Evangelista, Heitor] Univ Estado Rio De Janeiro, Dept Biophys &amp; Biometry, Lab Radioecol &amp; Global Changes, Rio De Janeiro, RJ, Brazil; [Mazzei, Jose Luiz] Fundacao Oswaldo Cruz, Inst Drug Technol, Dept Nat Prod, Rio De Janeiro, RJ, Brazil</t>
  </si>
  <si>
    <t>Universidade do Estado do Rio de Janeiro; Universidade Federal de Goias; Universidade Federal Fluminense; Universidade do Estado do Rio de Janeiro; Fundacao Oswaldo Cruz</t>
  </si>
  <si>
    <t>Fernandes, AD (corresponding author), Univ Estado Rio De Janeiro, Dept Biophys &amp; Biometry, Lab Environm Mutagenesis, Rio De Janeiro, RJ, Brazil.</t>
  </si>
  <si>
    <t>andreiadasilvaf@gmail.com</t>
  </si>
  <si>
    <t>Mazzei, José Luiz/A-5947-2011; Oliveira, Gisele Augusto Rodrigues/B-3186-2013; Fernandes, Andreia/G-3806-2018; Evangelista, Heitor/C-7561-2013; Felzenszwalb, Israel/AAH-4915-2020</t>
  </si>
  <si>
    <t>Mazzei, José Luiz/0000-0002-2009-0053; Oliveira, Gisele Augusto Rodrigues/0000-0002-0758-2707; Felzenszwalb, Israel/0000-0003-1677-197X; Ferraz, Elisa/0000-0002-5029-8146; Fernandes, Andreia/0000-0002-5258-8139</t>
  </si>
  <si>
    <t>CNPq (Brasilia, Brazil) [302345/2017-5]; Faperj (Rio de Janeiro, Brazil) [E26/202.256/2018, E26/202.759/2017]</t>
  </si>
  <si>
    <t>CNPq (Brasilia, Brazil)(Conselho Nacional de Desenvolvimento Cientifico e Tecnologico (CNPQ)); Faperj (Rio de Janeiro, Brazil)(Fundacao Carlos Chagas Filho de Amparo a Pesquisa do Estado do Rio De Janeiro (FAPERJ))</t>
  </si>
  <si>
    <t>Publication costs are funded by CNPq 302345/2017-5 (Brasilia, Brazil) and Faperj E26/202.256/2018 and E26/202.759/2017 (Rio de Janeiro, Brazil).</t>
  </si>
  <si>
    <t>BMC</t>
  </si>
  <si>
    <t>CAMPUS, 4 CRINAN ST, LONDON N1 9XW, ENGLAND</t>
  </si>
  <si>
    <t>2050-6511</t>
  </si>
  <si>
    <t>BMC PHARMACOL TOXICO</t>
  </si>
  <si>
    <t>BMC Pharmacol. Toxicol.</t>
  </si>
  <si>
    <t>DEC 19</t>
  </si>
  <si>
    <t>10.1186/s40360-019-0353-3</t>
  </si>
  <si>
    <t>Pharmacology &amp; Pharmacy; Toxicology</t>
  </si>
  <si>
    <t>Science Citation Index Expanded (SCI-EXPANDED); Conference Proceedings Citation Index - Science (CPCI-S)</t>
  </si>
  <si>
    <t>KJ4UT</t>
  </si>
  <si>
    <t>WOS:000512055100007</t>
  </si>
  <si>
    <t>Dhomse, SS; Feng, W; Montzka, SA; Hossaini, R; Keeble, J; Pyle, JA; Daniel, JS; Chipperfield, MP</t>
  </si>
  <si>
    <t>Dhomse, S. S.; Feng, W.; Montzka, S. A.; Hossaini, R.; Keeble, J.; Pyle, J. A.; Daniel, J. S.; Chipperfield, M. P.</t>
  </si>
  <si>
    <t>Delay in recovery of the Antarctic ozone hole from unexpected CFC-11 emissions</t>
  </si>
  <si>
    <t>NATURE COMMUNICATIONS</t>
  </si>
  <si>
    <t>CHEMICAL-TRANSPORT MODEL; STRATOSPHERIC OZONE; SOUTHERN-HEMISPHERE; RETURN DATES; CHEMISTRY; INCREASE; EMERGENCE; DEPLETION; VERSION; IMPACT</t>
  </si>
  <si>
    <t>The Antarctic ozone hole is decreasing in size but this recovery will be affected by atmospheric variability and any unexpected changes in chlorinated source gas emissions. Here, using model simulations, we show that the ozone hole will largely cease to occur by 2065 given compliance with the Montreal Protocol. If the unusual meteorology of 2002 is repeated, an ozone-hole-free-year could occur as soon as the early 2020s by some metrics. The recently discovered increase in CFC-11 emissions of similar to 13 Gg yr(-1) may delay recovery. So far the impact on ozone is small, but if these emissions indicate production for foam use much more CFC-11 may be leaked in the future. Assuming such production over 10 years, disappearance of the ozone hole will be delayed by a few years, although there are significant uncertainties. Continued, substantial future CFC-11 emissions of 67 Gg yr(-1) would delay Antarctic ozone recovery by well over a decade.</t>
  </si>
  <si>
    <t>[Dhomse, S. S.; Feng, W.; Chipperfield, M. P.] Univ Leeds, Sch Earth &amp; Environm, Leeds LS2 9JT, W Yorkshire, England; [Dhomse, S. S.; Chipperfield, M. P.] Univ Leeds, NCEO, Leeds LS2 9JT, W Yorkshire, England; [Feng, W.] Univ Leeds, NCAS, Leeds LS2 9JT, W Yorkshire, England; [Montzka, S. A.; Daniel, J. S.] NOAA, Earth Syst Res Lab, Global Monitoring Div, Boulder, CO USA; [Hossaini, R.] Univ Lancaster, Lancaster Environm Ctr, Lancaster, England; [Keeble, J.; Pyle, J. A.] Univ Cambridge, Dept Chem, Cambridge CB2 1EW, England; [Keeble, J.; Pyle, J. A.] Univ Cambridge, NCAS, Cambridge CB2 1EW, England</t>
  </si>
  <si>
    <t>University of Leeds; University of Leeds; UK Research &amp; Innovation (UKRI); Natural Environment Research Council (NERC); NERC National Centre for Atmospheric Science; University of Leeds; National Oceanic Atmospheric Admin (NOAA) - USA; Lancaster University; University of Cambridge; University of Cambridge</t>
  </si>
  <si>
    <t>Chipperfield, MP (corresponding author), Univ Leeds, Sch Earth &amp; Environm, Leeds LS2 9JT, W Yorkshire, England.;Chipperfield, MP (corresponding author), Univ Leeds, NCEO, Leeds LS2 9JT, W Yorkshire, England.</t>
  </si>
  <si>
    <t>M.Chipperfield@leeds.ac.uk</t>
  </si>
  <si>
    <t>Dhomse, Sandip/C-8198-2011; montzka, stephen/V-6162-2019; Chipperfield, Martyn/H-6359-2013; Hossaini, Ryan/F-7134-2015</t>
  </si>
  <si>
    <t>Dhomse, Sandip/0000-0003-3854-5383; montzka, stephen/0000-0002-9396-0400; Chipperfield, Martyn/0000-0002-6803-4149; Pyle, John/0000-0003-3629-9916; Keeble, James/0000-0003-2714-1084; Feng, Wuhu/0000-0002-9907-9120; Hossaini, Ryan/0000-0003-2395-6657</t>
  </si>
  <si>
    <t>UK Natural Environment Research Council (NERC) through the SISLAC project [NE/R001782/1]; NERC Independent Research Fellowship [NE/N014375/1]; European Community's Seventh Framework Programme (FP7/2007-2013) [603557]; Natural Environment Research Council [nceo020004] Funding Source: researchfish; NERC [NE/R001782/1, NE/R016518/1, NE/N014375/1, ncas10016, jwcrp01001, nceo020004] Funding Source: UKRI</t>
  </si>
  <si>
    <t>UK Natural Environment Research Council (NERC) through the SISLAC project(UK Research &amp; Innovation (UKRI)Natural Environment Research Council (NERC)); NERC Independent Research Fellowship(UK Research &amp; Innovation (UKRI)Natural Environment Research Council (NERC)); European Community's Seventh Framework Programme (FP7/2007-2013)(European Union (EU)); Natural Environment Research Council(UK Research &amp; Innovation (UKRI)Natural Environment Research Council (NERC)); NERC(UK Research &amp; Innovation (UKRI)Natural Environment Research Council (NERC))</t>
  </si>
  <si>
    <t>The TOMCAT modelling work was supported by the UK Natural Environment Research Council (NERC) through the SISLAC project (NE/R001782/1) and performed on the Archer HPC machine. We thank ECMWF for providing the ERA-Interim reanalyses. We acknowledge use of the publicly available C3S and SBUV data. RH is supported by a NERC Independent Research Fellowship (NE/N014375/1). J.K. and J.A.P. received funding from the European Community's Seventh Framework Programme (FP7/2007-2013) under Grant agreement no. 603557 (StratoClim).</t>
  </si>
  <si>
    <t>NATURE PUBLISHING GROUP</t>
  </si>
  <si>
    <t>MACMILLAN BUILDING, 4 CRINAN ST, LONDON N1 9XW, ENGLAND</t>
  </si>
  <si>
    <t>2041-1723</t>
  </si>
  <si>
    <t>NAT COMMUN</t>
  </si>
  <si>
    <t>Nat. Commun.</t>
  </si>
  <si>
    <t>10.1038/s41467-019-13717-x</t>
  </si>
  <si>
    <t>KG2NG</t>
  </si>
  <si>
    <t>gold, Green Submitted, Green Published</t>
  </si>
  <si>
    <t>WOS:000509779000001</t>
  </si>
  <si>
    <t>Jung, J; Yoo, KC; Rosenheim, BE; Conway, TM; Lee, JI; Yoon, HI; Hwang, CY; Yang, K; Subt, C; Kim, J</t>
  </si>
  <si>
    <t>Jung, Jaewoo; Yoo, Kyu-Cheul; Rosenheim, Brad E.; Conway, Tim M.; Lee, Jae Il; Yoon, Ho Il; Hwang, Chung Yeon; Yang, Kiho; Subt, Christina; Kim, Jinwook</t>
  </si>
  <si>
    <t>Microbial Fe(III) reduction as a potential iron source from Holocene sediments beneath Larsen Ice Shelf</t>
  </si>
  <si>
    <t>ANTARCTIC PENINSULA; CLAY-MINERALS; ISOTOPE FRACTIONATION; STRUCTURAL FE(III); CONTINENTAL-SHELF; ILLITE; SMECTITE; SEA; FE; NONTRONITE</t>
  </si>
  <si>
    <t>Recent recession of the Larsen Ice Shelf C has revealed microbial alterations of illite in marine sediments, a process typically thought to occur during low-grade metamorphism. In situ breakdown of illite provides a previously-unobserved pathway for the release of dissolved Fe2+ to porewaters, thus enhancing clay-rich Antarctic sub-ice shelf sediments as an important source of Fe to Fe-limited surface Southern Ocean waters during ice shelf retreat after the Last Glacial Maximum. When sediments are underneath the ice shelf, Fe2+ from microbial reductive dissolution of illite/Fe-oxides may be exported to the water column. However, the initiation of an oxygenated, bioturbated sediment under receding ice shelves may oxidize Fe within surface porewaters, decreasing dissolved Fe2+ export to the ocean. Thus, we identify another ice-sheet feedback intimately tied to iron biogeochemistry during climate transitions. Further constraints on the geographical extent of this process will impact our understanding of iron-carbon feedbacks during major deglaciations.</t>
  </si>
  <si>
    <t>[Jung, Jaewoo; Yang, Kiho; Kim, Jinwook] Yonsei Univ, Dept Earth Syst Sci, Seoul 03722, South Korea; [Yoo, Kyu-Cheul; Lee, Jae Il; Yoon, Ho Il; Hwang, Chung Yeon] Korea Polar Res Inst, Incheon 21990, South Korea; [Rosenheim, Brad E.; Conway, Tim M.; Subt, Christina] Univ S Florida, Coll Marine Sci, Tampa, FL 33620 USA; [Conway, Tim M.] Univ S Florida, Sch Geosci, Tampa, FL 33620 USA</t>
  </si>
  <si>
    <t>Yonsei University; Korea Polar Research Institute (KOPRI); State University System of Florida; University of South Florida; State University System of Florida; University of South Florida</t>
  </si>
  <si>
    <t>Kim, J (corresponding author), Yonsei Univ, Dept Earth Syst Sci, Seoul 03722, South Korea.</t>
  </si>
  <si>
    <t>jinwook@yonsei.ac.kr</t>
  </si>
  <si>
    <t>Rosenheim, Brad/F-6349-2012; Kim, Jinwook/AAO-7501-2020</t>
  </si>
  <si>
    <t>Rosenheim, Brad/0000-0001-6141-4651; Conway, Tim/0000-0002-3069-9786; JUNG, JAEWOO/0000-0003-4611-2385; Hwang, Chung/0000-0001-9861-0197</t>
  </si>
  <si>
    <t>National Research Foundation of Korea (NRF) - Korea government (MSIP) [NRF-2018R1A2B6002036]; Antarctic Project of KOPRI [PE19030]</t>
  </si>
  <si>
    <t>National Research Foundation of Korea (NRF) - Korea government (MSIP)(National Research Foundation of KoreaMinistry of Science, ICT &amp; Future Planning, Republic of Korea); Antarctic Project of KOPRI(Korea Polar Research Institute of Marine Research Placement (KOPRI))</t>
  </si>
  <si>
    <t>The present research was supported by the National Research Foundation of Korea (NRF) grant funded by the Korea government (MSIP) (NRF-2018R1A2B6002036) and Antarctic Project of KOPRI (PE19030) to J.W.K. We thank the science parties and crews of KOPRI icebreaker R/V Araon for their extraordinary efforts to collect samples and data processing (KOPRI ANA03C). Especially, we express our deep appreciation to the late Dr. E. Domack and Dr. Yoon as co-chief scientists of Weddell Sea expedition for their tremendous contributions to this project.</t>
  </si>
  <si>
    <t>10.1038/s41467-019-13741-x</t>
  </si>
  <si>
    <t>WOS:000509779000006</t>
  </si>
  <si>
    <t>Shelamoff, V; Layton, C; Tatsumi, M; Cameron, MJ; Edgar, GJ; Wright, JT; Johnson, CR</t>
  </si>
  <si>
    <t>Shelamoff, Victor; Layton, Cayne; Tatsumi, Masayuki; Cameron, Matthew J.; Edgar, Graham J.; Wright, Jeffrey T.; Johnson, Craig R.</t>
  </si>
  <si>
    <t>Kelp patch size and density influence secondary productivity and diversity of epifauna</t>
  </si>
  <si>
    <t>OIKOS</t>
  </si>
  <si>
    <t>Ecklonia radiata; ecosystem engineer; secondary productivity; turf algae; Ulva; understory algae</t>
  </si>
  <si>
    <t>PHYTAL ANIMAL COMMUNITIES; MOBILE EPIFAUNA; HABITATS; SEAGRASS; ASSEMBLAGES; ECOLOGY; FOOD; MACROALGAE; FORESTS; BIOMASS</t>
  </si>
  <si>
    <t>Habitat-forming ecosystem engineers are the foundation of many marine ecosystems where they support diverse and productive food-webs. A reduction in their patch size or density may affect the productivity, biodiversity and stability of these ecosystems. We determined the effects of different densities and patch sizes of Ecklonia radiata (the dominant kelp in southern Australia) on the secondary productivity, species richness, diversity and community structure of understory epifaunal invertebrates and how associated environmental covariates modified by kelp affected those patterns. We assessed sub-canopy epifauna across 28 artificial reefs with transplanted E. radiata consisting of seven different patch sizes (0.12-7.68 m(2)) crossed with four kelp densities (0-16 kelp m(-2)) over two years. Epifaunal secondary productivity associated with both natural algal and standardised rope fibre habitats decreased with patch size and was elevated when kelp was absent, however, it was also high in natural habitat when there was a high density of kelp. Epifaunal productivity was positively associated with sub-canopy light and water flow but negatively associated with the biomass of the dominant understory alga, Ulva sp. Epifaunal diversity declined with a reduction in reef size as did richness which correlated with a loss of algal species richness. Community structure of epifauna also differed between small and large reefs, between reefs with and without kelp, between rope habitats at the centre and at the edge of reefs, and within natural habitat between reefs supporting high and low densities of kelp. Overall, these results indicate complex effects of E. radiata decline on epifaunal communities, with high secondary productivity associated with dense kelp stands, but also areas without kelp that are dominated by turf algae. While the loss of standing kelp from rocky reefs may result in declines in epifaunal biodiversity, where turf algae replaces kelp, the reefs may still support high secondary productivity.</t>
  </si>
  <si>
    <t>[Shelamoff, Victor; Layton, Cayne; Tatsumi, Masayuki; Cameron, Matthew J.; Edgar, Graham J.; Wright, Jeffrey T.; Johnson, Craig R.] Univ Tasmania, Inst Marine &amp; Antarctic Studies, Hobart, Tas 7004, Australia</t>
  </si>
  <si>
    <t>University of Tasmania</t>
  </si>
  <si>
    <t>Shelamoff, V (corresponding author), Univ Tasmania, Inst Marine &amp; Antarctic Studies, Hobart, Tas 7004, Australia.</t>
  </si>
  <si>
    <t>victor.shelamoff@utas.edu.au</t>
  </si>
  <si>
    <t>Edgar, Graham/AAY-3797-2020; Wright, Jeffrey/J-7536-2014; Layton, Cayne/J-8443-2013</t>
  </si>
  <si>
    <t>Edgar, Graham/0000-0003-0833-9001; Wright, Jeffrey/0000-0002-1085-4582; Layton, Cayne/0000-0002-3390-6437</t>
  </si>
  <si>
    <t>Australian Research Council [DP130101113]; Holsworth Wildlife Research Endowment Equity Trustees Charitable Foundation; Ecological Society of Australia</t>
  </si>
  <si>
    <t>Australian Research Council(Australian Research Council); Holsworth Wildlife Research Endowment Equity Trustees Charitable Foundation; Ecological Society of Australia</t>
  </si>
  <si>
    <t>This study was funded by an Australian Research Council Discovery Grant DP130101113; ([www.arc.gov.au]) awarded to JTW, CRJ and the Holsworth Wildlife Research Endowment Equity Trustees Charitable Foundation &amp; the Ecological Society of Australia.</t>
  </si>
  <si>
    <t>0030-1299</t>
  </si>
  <si>
    <t>1600-0706</t>
  </si>
  <si>
    <t>Oikos</t>
  </si>
  <si>
    <t>10.1111/oik.06585</t>
  </si>
  <si>
    <t>KQ8LK</t>
  </si>
  <si>
    <t>WOS:000504046800001</t>
  </si>
  <si>
    <t>Amory, C; Kittel, C</t>
  </si>
  <si>
    <t>Amory, Charles; Kittel, Christoph</t>
  </si>
  <si>
    <t>Brief communication: Rare ambient saturation during drifting snow occurrences at a coastal location of East Antarctica</t>
  </si>
  <si>
    <t>CRYOSPHERE</t>
  </si>
  <si>
    <t>SURFACE MASS-BALANCE; BLOWING SNOW; SNOWDRIFT SUBLIMATION; ADELIE LAND; MODEL; TRANSPORT; CLIMATE</t>
  </si>
  <si>
    <t>Sublimation of snow particles during transport has been recognized as an important ablation process on the Antarctic ice sheet. The resulting increase in moisture content and cooling of the ambient air are thermodynamic negative feedbacks that both contribute to increase the relative humidity of the air, inhibiting further sublimation when saturation is reached. This self-limiting effect and the associated development of saturated near-surface air layers in drifting snow conditions have mainly been described through modelling studies and a few field observations. A set of meteorological data, including drifting snow mass fluxes and vertical profiles of relative humidity, collected at site D17 in coastal Adelie Land (East Antarctica) during 2013 is used to study the relationship between saturation of the near-surface atmosphere and the occurrence of drifting snow in a katabatic wind region that is among the most prone to snow transport by wind. Atmospheric moistening by the sublimation of the windborne snow particles generally results in a strong increase in relative humidity with the magnitude of drifting snow and a decrease in its vertical gradient, suggesting that windborne-snow sublimation can be an important contributor to the local near-surface moisture budget. Despite a high incidence of drifting snow at the measurement location (60.1% of the time), saturation, when attained, is however most often limited to a thin air layer below 1m above ground. The development of a near-surface saturated air layer up to the highest measurement level of 5.5m is observed in only 8.2% of the drifting snow occurrences or 6.3% of the time and mainly occurs in strong wind speed and drift conditions. This relatively rare occurrence of ambient saturation is explained by the likely existence of moisture-removal mechanisms inherent to the katabatic and turbulent nature of the boundary-layer flow that weaken the negative feedback of windborne-snow sublimation. Such mechanisms, potentially quite active in katabatic-generated windborne-snow layers all over Antarctica, may be very important in understanding the surface mass and atmospheric moisture budgets of the ice sheet by enhancing windborne-snow sublimation.</t>
  </si>
  <si>
    <t>[Amory, Charles; Kittel, Christoph] Univ Liege, Dept Geog, Liege, Belgium</t>
  </si>
  <si>
    <t>University of Liege</t>
  </si>
  <si>
    <t>Amory, C (corresponding author), Univ Liege, Dept Geog, Liege, Belgium.</t>
  </si>
  <si>
    <t>charles.amory@uliege.be</t>
  </si>
  <si>
    <t>Amory, Charles/0000-0002-5906-4303; Kittel, Christoph/0000-0001-6586-9784</t>
  </si>
  <si>
    <t>F.R.S.-FNRS [T.0002.16]</t>
  </si>
  <si>
    <t>F.R.S.-FNRS(Fonds de la Recherche Scientifique - FNRS)</t>
  </si>
  <si>
    <t>Charles Amory is a Postdoctoral Researcher from the Fonds de la Recherche Scientifique de Belgique (F.R.S.FNRS), and Christoph Kittel is supported by the F.R.S.-FNRS (grant no. T.0002.16).</t>
  </si>
  <si>
    <t>COPERNICUS GESELLSCHAFT MBH</t>
  </si>
  <si>
    <t>GOTTINGEN</t>
  </si>
  <si>
    <t>BAHNHOFSALLEE 1E, GOTTINGEN, 37081, GERMANY</t>
  </si>
  <si>
    <t>1994-0416</t>
  </si>
  <si>
    <t>1994-0424</t>
  </si>
  <si>
    <t>Cryosphere</t>
  </si>
  <si>
    <t>10.5194/tc-13-3405-2019</t>
  </si>
  <si>
    <t>JX0VE</t>
  </si>
  <si>
    <t>Green Published, Green Submitted, gold</t>
  </si>
  <si>
    <t>WOS:000503461200001</t>
  </si>
  <si>
    <t>Brusa, JL; Rotella, JJ; Garrott, RA; Paterson, JT; Link, WA</t>
  </si>
  <si>
    <t>Brusa, Jamie L.; Rotella, Jay J.; Garrott, Robert A.; Paterson, J. Terrill; Link, William A.</t>
  </si>
  <si>
    <t>Variation of annual apparent survival and detection rates with age, year and individual identity in male Weddell seals (Leptonychotes weddellii) from long-term mark-recapture data</t>
  </si>
  <si>
    <t>POPULATION ECOLOGY</t>
  </si>
  <si>
    <t>actuarial senescence; life history; mark-recapture; survival rates; Weddell seal</t>
  </si>
  <si>
    <t>MALE-MALE COMPETITION; SEX-DIFFERENCES; LIFE-HISTORY; NATURAL-POPULATIONS; ADULT SURVIVAL; EVOLUTIONARY-THEORIES; REPRODUCTIVE EFFORT; TEMPORAL VARIATION; FLORIDA MANATEES; MCMURDO SOUND</t>
  </si>
  <si>
    <t>Exploring age- and sex-specific survival rates provides insight regarding population behavior and life-history trait evolution. However, our understanding of how age-specific patterns of survival, including actuarial senescence, compare between the sexes remains inadequate. Using 36 years of mark-recapture data for 7,516 male Weddell seals (Leptonychotes weddellii) born in Erebus Bay, Antarctica, we estimated age-specific annual survival rates using a hierarchical model for mark-recapture data in a Bayesian framework. Our male survival estimates were moderate for pups and yearlings, highest for 2-year-olds, and gradually declined with age thereafter such that the oldest animals observed had the lowest rates of any age. Reports of senescence in other wildlife populations of species with similar longevity occurred at older ages than those presented here. When compared to recently published estimates for reproductive Weddell seal females, we found that peak survival rates were similar (males: 0.94, 95% CI = 0.92-0.96; females: 0.92, 95% CI = 0.93-0.95), but survival rates at older ages were lower in males. Age-specific male Weddell seal survival rates varied across years and individuals, with greater variation occurring across years. Similar studies on a broad range of species are needed to contextualize these results for a better understanding of the variation in senescence patterns between the sexes of the same species, but our study adds information for a marine mammal species to a research topic dominated by avian and ungulate species.</t>
  </si>
  <si>
    <t>[Brusa, Jamie L.; Rotella, Jay J.; Garrott, Robert A.] Montana State Univ, Dept Ecol, 310 Lewis Hall,POB 173460,9 Bozeman, Bozeman, MT 59717 USA; [Paterson, J. Terrill] Montana Fish Wildlife &amp; Pk, Bozeman, MT USA; [Link, William A.] USGS Patuxent Wildlife Res Ctr, Laurel, MD USA</t>
  </si>
  <si>
    <t>Montana State University System; Montana State University Bozeman; United States Department of the Interior; United States Geological Survey</t>
  </si>
  <si>
    <t>Brusa, JL (corresponding author), Montana State Univ, Dept Ecol, 310 Lewis Hall,POB 173460,9 Bozeman, Bozeman, MT 59717 USA.</t>
  </si>
  <si>
    <t>jlbwcc@gmail.com</t>
  </si>
  <si>
    <t>Jamie, Brusa/0000-0003-4787-0460; Rotella, Jay/0000-0001-7014-7524</t>
  </si>
  <si>
    <t>National Science Foundation [1640481, ANT-1141326]; Petroleum Helicopters Incorporated; United States Air Force and Navy; Antarctic Support Associates; Raytheon Polar Services Company; Lockheed Martin; United States Antarctic Program; Division of Polar Programs</t>
  </si>
  <si>
    <t>National Science Foundation(National Science Foundation (NSF)); Petroleum Helicopters Incorporated; United States Air Force and Navy; Antarctic Support Associates; Raytheon Polar Services Company; Lockheed Martin; United States Antarctic Program; Division of Polar Programs(National Science Foundation (NSF)NSF - Directorate for Geosciences (GEO))</t>
  </si>
  <si>
    <t>National Science Foundation, Grant/Award Numbers: 1640481, ANT-1141326; Petroleum Helicopters Incorporated; United States Air Force and Navy; Antarctic Support Associates; Raytheon Polar Services Company; Lockheed Martin; United States Antarctic Program; Division of Polar Programs</t>
  </si>
  <si>
    <t>1438-3896</t>
  </si>
  <si>
    <t>1438-390X</t>
  </si>
  <si>
    <t>POPUL ECOL</t>
  </si>
  <si>
    <t>Popul. Ecol.</t>
  </si>
  <si>
    <t>10.1002/1438-390X.12036</t>
  </si>
  <si>
    <t>KD5CK</t>
  </si>
  <si>
    <t>WOS:000503735300001</t>
  </si>
  <si>
    <t>Wang, Y; He, XF; Bruggeman, KF; Gayen, B; Tricoli, A; Lee, WM; Williams, RJ; Nisbet, DR</t>
  </si>
  <si>
    <t>Wang, Yi; He, Xuefei; Bruggeman, Kiara F.; Gayen, Bishakhdatta; Tricoli, Antonio; Lee, Woei Ming; Williams, Richard J.; Nisbet, David R.</t>
  </si>
  <si>
    <t>Peptide Programmed Hydrogels as Safe Sanctuary Microenvironments for Cell Transplantation</t>
  </si>
  <si>
    <t>ADVANCED FUNCTIONAL MATERIALS</t>
  </si>
  <si>
    <t>cell transplantation; dynamic self-assembly; hydrodynamic fluid model; microfluidic devices; molecular hydrogel</t>
  </si>
  <si>
    <t>NEURAL PROGENITOR CELLS; EXTRACELLULAR-MATRIX; PARKINSONS-DISEASE; DRUG-DELIVERY; STEM; DESIGN; SCAFFOLDS; TRIALS; REPAIR; BIOMATERIALS</t>
  </si>
  <si>
    <t>Cell transplantation is one of the most promising strategies for the minimally invasive treatment of a raft of injuries and diseases. However, a standing challenge to its efficacy is poor cell survival due to a lack of mechanical protection during administration and an unsupportive milieu thereafter. In response, a shear-injectable nanoscaffold vector is engineered considering the three equal requirements of protection, support, and survival. Here, the programmed peptide assembly of tissue-specific epitopes presents a safe sanctuary microenvironment for the transplantation of cells. For the first time, a mechanistic understanding of the multifactorial role of the nanoscaffold in promoting cell survival is presented, where initial cell survival is dependent on the fluid mechanic process of droplet formation rather than on shear rate. However, provided is the first report of the most critical component of a transplantation vector, distinguishing feigned biological support from mechanical properties from true ongoing biological support post transplantation. This is achieved via the presentation of amino acid constituents that significantly improve the efficacy of the vector compared to a biocompatible, yet inert analogue. Together, the peptide-programmed hydrogels enable fundamental rules for the engineering of advanced treatment strategies with wide reaching implications for tissue repair and biofabrication.</t>
  </si>
  <si>
    <t>[Wang, Yi; Bruggeman, Kiara F.; Nisbet, David R.] Australian Natl Univ, Res Sch Elect &amp; Energy Engn, Lab Adv Biomat, Canberra, ACT 2601, Australia; [He, Xuefei; Lee, Woei Ming] Australian Natl Univ, Coll Engn &amp; Comp Sci, Res Sch Elect &amp; Energy Engn, Appl Opt Lab, Canberra, ACT 2601, Australia; [Gayen, Bishakhdatta] Univ Melbourne, Dept Mech Engn, Parkville, Vic 3010, Australia; [Tricoli, Antonio] Australian Natl Univ, Res Sch Elect &amp; Energy Engn, Nanotechnol Res Lab, Canberra, ACT 2601, Australia; [Williams, Richard J.] Deakin Univ, Sch Med, Ctr Mol &amp; Med Res, Warun Ponds, Vic 3216, Australia</t>
  </si>
  <si>
    <t>Australian National University; Australian National University; University of Melbourne; Australian National University; Deakin University</t>
  </si>
  <si>
    <t>Nisbet, DR (corresponding author), Australian Natl Univ, Res Sch Elect &amp; Energy Engn, Lab Adv Biomat, Canberra, ACT 2601, Australia.;Williams, RJ (corresponding author), Deakin Univ, Sch Med, Ctr Mol &amp; Med Res, Warun Ponds, Vic 3216, Australia.</t>
  </si>
  <si>
    <t>richard.williams@deakin.edu.au; david.nisbet@anu.edu.au</t>
  </si>
  <si>
    <t>Lee, W M Steve/AAQ-4478-2021; Williams, Richard/AAS-2568-2021; Gayen, Bishakhdatta/Y-4300-2019; Tricoli, Antonio/C-8157-2011; wang, yi/KBB-3614-2024; WU, SHAN/KGM-5484-2024; Nisbet, David/HLG-8924-2023</t>
  </si>
  <si>
    <t>Lee, W M Steve/0000-0002-3912-6095; Williams, Richard/0000-0003-3831-8738; Gayen, Bishakhdatta/0000-0001-6543-2590; Nisbet, David/0000-0002-1343-0769; Wang, Yi/0000-0001-6082-8721</t>
  </si>
  <si>
    <t>ARC discovery project [DP130103131]; NHMRC project [GNT1144996]; Australian National University; CSC-ANU PhD Scholarship; Natural Sciences and Engineering Research Council of Canada (NSERC); RJL Hawke Fellowship from Australian Antarctic Division; ARC DECRA [DE160100569, DE160100843]; Westpac2016 Research Fellowship; NHMRC Dementia Research Leadership Fellowship [GNT1135687]; Australian Microscopy and Microanalysis Research Facility (AMMRF); Australian Research Council [DE160100843] Funding Source: Australian Research Council</t>
  </si>
  <si>
    <t>ARC discovery project(Australian Research Council); NHMRC project(National Health &amp; Medical Research Council (NHMRC) of Australia); Australian National University(Australian National University); CSC-ANU PhD Scholarship; Natural Sciences and Engineering Research Council of Canada (NSERC)(Natural Sciences and Engineering Research Council of Canada (NSERC)); RJL Hawke Fellowship from Australian Antarctic Division; ARC DECRA(Australian Research Council); Westpac2016 Research Fellowship; NHMRC Dementia Research Leadership Fellowship(National Health &amp; Medical Research Council (NHMRC) of Australia); Australian Microscopy and Microanalysis Research Facility (AMMRF); Australian Research Council(Australian Research Council)</t>
  </si>
  <si>
    <t>D.N. and R.W. contributed equally to this work and Y.W. and X.H. are equal first author. This study was supported by funding from an ARC discovery project (DP130103131) and the NHMRC project (GNT1144996). Y.W. was supported by the Australian National University Student Ph.D. Scholarship (International) and X.F.H. was supported by a CSC-ANU PhD Scholarship; K.F.B. was supported by a Natural Sciences and Engineering Research Council of Canada (NSERC) Postgraduate Scholarship Doctoral (PGS D) award; B.G. was supported by RJL Hawke Fellowship from Australian Antarctic Division; A.T. was supported by a ARC DECRA (DE160100569) and Westpac2016 Research Fellowship; W.M.L. was supported by an ARC DECRA (DE160100843); and D.R.N. was supported by a NHMRC Dementia Research Leadership Fellowship (GNT1135687). Access to the facilities of the Centre for Advanced Microscopy (CAM) with funding through the Australian Microscopy and Microanalysis Research Facility (AMMRF) is gratefully acknowledged.</t>
  </si>
  <si>
    <t>WILEY-V C H VERLAG GMBH</t>
  </si>
  <si>
    <t>WEINHEIM</t>
  </si>
  <si>
    <t>POSTFACH 101161, 69451 WEINHEIM, GERMANY</t>
  </si>
  <si>
    <t>1616-301X</t>
  </si>
  <si>
    <t>1616-3028</t>
  </si>
  <si>
    <t>ADV FUNCT MATER</t>
  </si>
  <si>
    <t>Adv. Funct. Mater.</t>
  </si>
  <si>
    <t>10.1002/adfm.201900390</t>
  </si>
  <si>
    <t>Chemistry, Multidisciplinary; Chemistry, Physical; Nanoscience &amp; Nanotechnology; Materials Science, Multidisciplinary; Physics, Applied; Physics, Condensed Matter</t>
  </si>
  <si>
    <t>Chemistry; Science &amp; Technology - Other Topics; Materials Science; Physics</t>
  </si>
  <si>
    <t>KU3XY</t>
  </si>
  <si>
    <t>WOS:000503227400001</t>
  </si>
  <si>
    <t>Pitman, RL; Durban, JW; Joyce, T; Fearnbach, H; Panigada, S; Lauriano, G</t>
  </si>
  <si>
    <t>Pitman, Robert L.; Durban, John W.; Joyce, Trevor; Fearnbach, Holly; Panigada, Simone; Lauriano, Giancarlo</t>
  </si>
  <si>
    <t>Skin in the game: Epidermal molt as a driver of long-distance migration in whales</t>
  </si>
  <si>
    <t>MARINE MAMMAL SCIENCE</t>
  </si>
  <si>
    <t>Antarctica; diatoms; killer whale; Orcinus orca; satellite tagging; skin molt; whale migration</t>
  </si>
  <si>
    <t>SOUTHERN RIGHT WHALES; KILLER WHALES; DELPHINAPTERUS-LEUCAS; ORCINUS-ORCA; BELUGA WHALES; WHITE WHALES; HUMPBACK WHALES; MARINE MAMMALS; MOVEMENTS; ABUNDANCE</t>
  </si>
  <si>
    <t>Long-distance migration in whales has historically been described as an annual, round-trip movement between high-latitude, summer feeding grounds, and low-latitude, winter breeding areas, but there is no consensus about why whales travel to the tropics to breed. Between January 2009 and February 2016, we satellite-tagged 62 antarctic killer whales (Orcinus orca) of four different ecotypes, of which at least three made short-term (6-8 weeks), long-distance (maximum 11,000 km, round trip), essentially nonstop, migrations to warm waters (SST 20 degrees C-24 degrees C), and back. We previously suggested that antarctic killer whales could conserve body heat in subfreezing (to -1.9 degrees C) waters by reducing blood flow to their skin, but that this might preclude normal (i.e., continuous) epidermal molt, and necessitate periodic trips to warm waters for routine skin maintenance (skin molt migration, SMM). In contrast to the century-old feeding/breeding migration paradigm, but consistent with a feeding/molting hypothesis, the current study provides additional evidence that deferred skin molt could be the main driver of long-distance migration for antarctic killer whales. Furthermore, we argue that for all whales that forage in polar latitudes and migrate to tropical waters, SMM might also allow them to exploit rich prey resources in a physiologically challenging environment and maintain healthy skin.</t>
  </si>
  <si>
    <t>[Pitman, Robert L.] Natl Marine Fisheries Serv, Antarctic Ecosyst Res Div, Southwest Fisheries Sci Ctr, La Jolla, CA 92038 USA; [Durban, John W.; Joyce, Trevor] Natl Marine Fisheries Serv, Marine Mammal &amp; Turtle Div, Southwest Fisheries Sci Ctr, La Jolla, CA 92038 USA; [Fearnbach, Holly] SR3, Seattle, WA USA; [Panigada, Simone] Tethys Res Inst, Milan, Italy; [Lauriano, Giancarlo] ISPRA, Italian Natl Inst Environm Protect &amp; Res, Rome, Italy; [Pitman, Robert L.] Oregon State Univ, Marine Mammal Inst, 2030 SE Marine Sci Dr, Newport, OR 97365 USA</t>
  </si>
  <si>
    <t>National Oceanic Atmospheric Admin (NOAA) - USA; National Oceanic Atmospheric Admin (NOAA) - USA; Italian Institute for Environmental Protection &amp; Research (ISPRA); Oregon State University</t>
  </si>
  <si>
    <t>Pitman, RL (corresponding author), Oregon State Univ, Marine Mammal Inst, 2030 SE Marine Sci Dr, Newport, OR 97365 USA.</t>
  </si>
  <si>
    <t>robert.pitman@oregonstate.edu</t>
  </si>
  <si>
    <t>Lauriano, Giancarlo/ABG-8461-2021</t>
  </si>
  <si>
    <t>lauriano, giancarlo/0000-0003-3465-6078; Pitman, Robert/0000-0002-8713-1219</t>
  </si>
  <si>
    <t>International Whaling Commission/Southern Ocean Research Partnership; Lindblad Expeditions - National Geographic Conservation Fund; Office of Polar Programs [ANT-0944747, OPP-0338428]; Italian Antarctic Research Programme [2013/AZ1.08]</t>
  </si>
  <si>
    <t>International Whaling Commission/Southern Ocean Research Partnership; Lindblad Expeditions - National Geographic Conservation Fund; Office of Polar Programs(National Science Foundation (NSF)NSF - Directorate for Geosciences (GEO)); Italian Antarctic Research Programme</t>
  </si>
  <si>
    <t>International Whaling Commission/Southern Ocean Research Partnership, Grant/Award Number: NA; Lindblad Expeditions - National Geographic Conservation Fund; Office of Polar Programs, Grant/Award Numbers: ANT-0944747, OPP-0338428; Italian Antarctic Research Programme, Grant/Award Number: 2013/AZ1.08</t>
  </si>
  <si>
    <t>0824-0469</t>
  </si>
  <si>
    <t>1748-7692</t>
  </si>
  <si>
    <t>MAR MAMMAL SCI</t>
  </si>
  <si>
    <t>Mar. Mamm. Sci.</t>
  </si>
  <si>
    <t>10.1111/mms.12661</t>
  </si>
  <si>
    <t>Marine &amp; Freshwater Biology; Zoology</t>
  </si>
  <si>
    <t>LC4SX</t>
  </si>
  <si>
    <t>WOS:000503315800001</t>
  </si>
  <si>
    <t>Molares, S; Toledo, CV; Stecher, G; Barroetavena, C</t>
  </si>
  <si>
    <t>Molares, Soledad; Toledo, Carolina, V; Stecher, Gabriel; Barroetavena, Carolina</t>
  </si>
  <si>
    <t>Traditional mycological knowledge and processes of change in Mapuche communities from Patagonia, Argentina: A study on wild edible fungi in Nothofagaceae forests</t>
  </si>
  <si>
    <t>MYCOLOGIA</t>
  </si>
  <si>
    <t>Cultural importance index; cultural innovations; exotic edible mushroom; food security; sub-Antarctic fungal species</t>
  </si>
  <si>
    <t>PLANTS; MUSHROOMS; MOUNTAINS; DIVERSITY; REGION; STATE; FOOD</t>
  </si>
  <si>
    <t>Practices, perceptions, beliefs, and other forms of relationships between rural inhabitants and fungi have scarcely been studied in Patagonia. In this work, we analyze species richness, cultural importance, and modes of use of wild edible fungi in five Mapuche communities in northwest Patagonia of Argentina. Through an ethnobiological approach, we carried out semistructured interviews, walks in forests, and participant observations. Data were analyzed qualitative and quantitatively. Community members collected 17 species in environments with different degrees of human disturbance that they consumed fresh in situ, after some processing or stored for later consumption or trade. Indigenous morels such as Morchella aff. tridentina, M. aff. septimelata, and an unidentified species of Morchella had the greatest cultural importance at the regional level, followed by the exotic Suillus luteus and the native Cyttaria hariotti. Most of these species were frequently mentioned as having commercial value, continuity of use over time, and outstanding organoleptic properties. The remaining species currently have occasional use. The differential use of edible fungi, practices, transferences, and resignifications, as well as new technologies for storage, were analyzed. Regional knowledge about fungi reflects important features of Mapuche tradition but also the process of change in responding to complex and dynamic socioeconomic and ecological contexts.</t>
  </si>
  <si>
    <t>[Molares, Soledad] CIEMEP, Roca 780, RA-9200 Esquel, Chubut, Argentina; [Molares, Soledad; Barroetavena, Carolina] Univ Nacl Patagonia San Juan Bosco, Ruta 259, RA-9200 Esquel, Argentina; [Molares, Soledad; Toledo, Carolina, V; Barroetavena, Carolina] Consejo Nacl Invest Cient &amp; Tecn, Buenos Aires, DF, Argentina; [Stecher, Gabriel] Univ Nacl Comahue, Asentamiento Univ San Martin de los Andes AUSMA, Pje de la Paz 235, RA-8370 San Martin, Neuquen, Argentina; [Barroetavena, Carolina] Ctr Invest &amp; Extens Forestal CIEFAP, Ruta 259,Km 16, RA-9200 Esquel, Argentina</t>
  </si>
  <si>
    <t>Universidad Nacional de la Patagonia San Juan Bosco; Consejo Nacional de Investigaciones Cientificas y Tecnicas (CONICET); Universidad Nacional del Comahue</t>
  </si>
  <si>
    <t>Barroetavena, C (corresponding author), Univ Nacl Patagonia San Juan Bosco, Ruta 259, RA-9200 Esquel, Argentina.;Barroetavena, C (corresponding author), Consejo Nacl Invest Cient &amp; Tecn, Buenos Aires, DF, Argentina.;Barroetavena, C (corresponding author), Ctr Invest &amp; Extens Forestal CIEFAP, Ruta 259,Km 16, RA-9200 Esquel, Argentina.</t>
  </si>
  <si>
    <t>cbarroetavena@correociefap.org.ar</t>
  </si>
  <si>
    <t>Barroetavena, Carolina/0000-0002-0645-1588</t>
  </si>
  <si>
    <t>CONICET [PIP 11220110100388]; FONCyT [PICT 377 2011-0118]</t>
  </si>
  <si>
    <t>CONICET(Consejo Nacional de Investigaciones Cientificas y Tecnicas (CONICET)); FONCyT(FONCyT)</t>
  </si>
  <si>
    <t>This research was supported by CONICET PIP 11220110100388 and FONCyT PICT 377 2011-0118 projects. S.M. and C.B. are researchers for the National Research Council of Argentina (CONICET).</t>
  </si>
  <si>
    <t>0027-5514</t>
  </si>
  <si>
    <t>1557-2536</t>
  </si>
  <si>
    <t>Mycologia</t>
  </si>
  <si>
    <t>JAN 2</t>
  </si>
  <si>
    <t>10.1080/00275514.2019.1680219</t>
  </si>
  <si>
    <t>Mycology</t>
  </si>
  <si>
    <t>KG1IM</t>
  </si>
  <si>
    <t>WOS:000503291700001</t>
  </si>
  <si>
    <t>Fontaine, CM; De Pol-Holz, R; Michel, E; Siani, G; Reyes-Macaya, D; Martínez-Méndez, G; DeVries, T; Stott, L; Southon, J; Mohtadi, M; Hebbeln, D</t>
  </si>
  <si>
    <t>Martinez Fontaine, Consuelo; De Pol-Holz, Ricardo; Michel, Elisabeth; Siani, Giuseppe; Reyes-Macaya, Dharma; Martinez-Mendez, Gema; DeVries, Tim; Stott, Lowell; Southon, John; Mohtadi, Mahyar; Hebbeln, Dierk</t>
  </si>
  <si>
    <t>Ventilation of the Deep Ocean Carbon Reservoir During the Last Deglaciation: Results From the Southeast Pacific</t>
  </si>
  <si>
    <t>SEA-SURFACE TEMPERATURE; ATMOSPHERIC CO2; PLANKTONIC-FORAMINIFERA; ENVIRONMENTAL-CONTROL; HYDROGRAPHIC SECTION; RADIOCARBON EVIDENCE; INTERMEDIATE WATERS; UPWELLING REGION; GLACIAL MAXIMUM; CLIMATE CHANGES</t>
  </si>
  <si>
    <t>Coeval changes in atmospheric CO2 and C-14 contents during the last deglaciation are often attributed to ocean circulation changes that released carbon stored in the deep ocean during the Last Glacial Maximum (LGM). Work is being done to generate records that allow for the identification of the exact mechanisms leading to the accumulation and release of carbon from the oceanic reservoir, but these mechanisms are still the subject of debate. Here we present foraminifera C-14 data from five cores in a transect across the Chilean continental margin between similar to 540 and similar to 3,100 m depth spanning the last 20,000 years. Our data reveal that during the LGM, waters at similar to 2,000 m were 50% to 80% more depleted in Delta C-14 than waters at similar to 1,500 m when compared to modern values, consistent with the hypothesis of a glacial deep ocean carbon reservoir that was isolated from the atmosphere. During the deglaciation, our intermediate water records reveal homogenization in the Delta C-14 values between similar to 800 and similar to 1,500 m from similar to 16.5-14.5 ka cal BP to similar to 14-12 ka cal BP, which we interpret as deeper penetration of Antarctic Intermediate Water. While many questions still remain, this process could aid the ventilation of the deep ocean at the beginning of the deglaciation, contributing to the observed similar to 40 ppm rise in atmospheric pCO(2).</t>
  </si>
  <si>
    <t>[Martinez Fontaine, Consuelo] Univ Chile, Dept Geol, Santiago, Chile; [De Pol-Holz, Ricardo] Univ Magallanes, Ctr Invest GAIA Antarct CIGA &amp; Network Extreme En, Punta Arenas, Chile; [Martinez Fontaine, Consuelo; Michel, Elisabeth] CNRS, LSCE, Lab Mixte, CEA, Gif Sur Yvette, France; [Martinez Fontaine, Consuelo; Siani, Giuseppe] Univ Paris Sud, Geosci Paris Sud GEOPS, Orsay, France; [Martinez Fontaine, Consuelo; Siani, Giuseppe] CNRS, Paris Saclay, Orsay, France; [Reyes-Macaya, Dharma; Martinez-Mendez, Gema; Mohtadi, Mahyar; Hebbeln, Dierk] Univ Bremen, Ctr Marine Environm Sci, MARUM, Bremen, Germany; [DeVries, Tim] Univ Calif Santa Barbara, Earth Res Inst, Santa Barbara, CA 93106 USA; [Stott, Lowell] Univ Southern Calif, Dept Earth Sci, Los Angeles, CA 90007 USA; [Southon, John] Univ Calif Irvine, Earth Syst Sci Dept, Irvine, CA USA</t>
  </si>
  <si>
    <t>Universidad de Chile; Universidad de Magallanes; CEA; Centre National de la Recherche Scientifique (CNRS); Universite Paris Saclay; Universite Paris Saclay; Universite Paris Cite; Centre National de la Recherche Scientifique (CNRS); Universite Paris Saclay; University of Bremen; University of California System; University of California Santa Barbara; University of Southern California; University of California System; University of California Irvine</t>
  </si>
  <si>
    <t>De Pol-Holz, R (corresponding author), Univ Magallanes, Ctr Invest GAIA Antarct CIGA &amp; Network Extreme En, Punta Arenas, Chile.</t>
  </si>
  <si>
    <t>ricardo.depol@umag.cl</t>
  </si>
  <si>
    <t>Hebbeln, Dierk/P-9766-2016; Mohtadi, Mahyar/N-2106-2014; Méndez, Gema Martínez/AAB-2245-2020; De Pol-Holz, Ricardo/E-3740-2013</t>
  </si>
  <si>
    <t>Mohtadi, Mahyar/0000-0003-3306-0969; Méndez, Gema Martínez/0000-0001-7950-6837; DeVries, Tim/0000-0002-7771-9430; Stott, Lowell/0000-0002-2025-0731; De Pol-Holz, Ricardo/0000-0002-3281-8232; Martinez Fontaine, Consuelo/0000-0002-0838-8551; Reyes Macaya, Dharma Andrea/0000-0003-3913-6004</t>
  </si>
  <si>
    <t>FONDECYT Grants [11100281, 1140536, NC-120066]; Fondap [15110009 (CR)2]; ECOS-SUD/CONICYT [C15U04]</t>
  </si>
  <si>
    <t>FONDECYT Grants(Comision Nacional de Investigacion Cientifica y Tecnologica (CONICYT)CONICYT FONDECYT); Fondap; ECOS-SUD/CONICYT(Comision Nacional de Investigacion Cientifica y Tecnologica (CONICYT))</t>
  </si>
  <si>
    <t>We are indebted to the staff of the Keck radiocarbon facility at the University of California, Irvine. We also thank Dra. Silvana Collado, Paola Cardenas, Andrea Iturra, and Victor MerinoCampos for laboratory assistance. This work was partially funded by FONDECYT Grants 11100281 and 1140536, Iniciativa Cientifica Milenio NC-120066, Fondap 15110009 (CR)2, and ECOS-SUD/CONICYT C15U04. All the data used in this study can be found in the PANGAEA repository (through this link: https://doi.pangaea.de/10.1594/PANGAEA.907746). We also would like to thank the reviewers for the comments on the manuscript, which have enriched the discussion and broaden our view on the issue here addressed.</t>
  </si>
  <si>
    <t>10.1029/2019PA003613</t>
  </si>
  <si>
    <t>Green Published, Green Submitted</t>
  </si>
  <si>
    <t>WOS:000503344400001</t>
  </si>
  <si>
    <t>Kirchgaessner, A; King, J; Gadian, A</t>
  </si>
  <si>
    <t>Kirchgaessner, Amelie; King, John; Gadian, Alan</t>
  </si>
  <si>
    <t>The Representation of Fohn Events to the East of the Antarctic Peninsula in Simulations by the Antarctic Mesoscale Prediction System</t>
  </si>
  <si>
    <t>Fohn; Antarctic; AMPS; AWS</t>
  </si>
  <si>
    <t>ROSS ICE SHELF; HEMISPHERE ANNULAR MODE; POLAR WEATHER RESEARCH; MCMURDO DRY VALLEYS; FOEHN WINDS; BOUNDARY-LAYER; CLIMATE-CHANGE; SEA-ICE; PART I; SUMMER</t>
  </si>
  <si>
    <t>Fohn winds are warm, strong, downslope winds on the leeside of mountains, which can last from several hours to a few days. The years 1995 and 2002 saw the dramatic breakup of huge parts of the Larsen Ice Shelf (LIS) on the east of the Antarctic Peninsula. It is widely accepted that hydrofracturing, the widening of crevasses due to the excess hydrostatic pressure exerted by meltwater which accumulates inside them, is the mechanism behind the breakup of the Larsen A and Larsen B ice shelves. On the LIS, in the lee of the mountain range that runs along the spine of the Antarctic Peninsula, Fohn winds are thought to provide the atmospheric conditions for significant warming over the ice shelf, leading to the initial firn densification, and subsequently providing the melt water for hydrofracturing. Measurements provide evidence that in some cases Fohn events reach an Automatic Weather Station on the LIS at over 100 km distance. In this paper, we examine the representation of Fohn events during 2011 as they were observed in measurements by an Automatic Weather Station and in simulations with the Weather Research and Forecasting Model as run for the Antarctic Mesoscale Prediction System (AMPS). We find that, while the model generally simulates meteorological parameters very well and shows good skill in capturing the occurrence, frequency, and duration of Fohn events, it underestimates the temperature increase and humidity decrease during the Fohn significantly and may thus underestimate the contribution of Fohn to driving surface melt on LIS.</t>
  </si>
  <si>
    <t>[Kirchgaessner, Amelie; King, John] British Antarctic Survey, Cambridge, England; [Gadian, Alan] Natl Ctr Atmospher Sci, Leeds, W Yorkshire, England; [Gadian, Alan] Univ Leeds, Sch Earth &amp; Environm, Leeds, W Yorkshire, England</t>
  </si>
  <si>
    <t>UK Research &amp; Innovation (UKRI); Natural Environment Research Council (NERC); NERC British Antarctic Survey; UK Research &amp; Innovation (UKRI); Natural Environment Research Council (NERC); NERC National Centre for Atmospheric Science; University of Leeds; University of Leeds</t>
  </si>
  <si>
    <t>Kirchgaessner, A (corresponding author), British Antarctic Survey, Cambridge, England.</t>
  </si>
  <si>
    <t>amelie.kirchgaessner@bas.ac.uk</t>
  </si>
  <si>
    <t>U.K. Natural Environment Research Council (NERC) [NE/G014124/1]; Netherlands Organisation for Scientific Research [818.01.016]; NERC [NE/G014124/1, bas0100032] Funding Source: UKRI</t>
  </si>
  <si>
    <t>U.K. Natural Environment Research Council (NERC)(UK Research &amp; Innovation (UKRI)Natural Environment Research Council (NERC)); Netherlands Organisation for Scientific Research(Netherlands Organization for Scientific Research (NWO)); NERC(UK Research &amp; Innovation (UKRI)Natural Environment Research Council (NERC))</t>
  </si>
  <si>
    <t>The work reported in this paper was supported by the U.K. Natural Environment Research Council (NERC) under Grant NE/G014124/1 Orographic Flows and the Climate of the Antarctic Peninsula and by the Netherlands Organisation for Scientific Research under Grant 818.01.016. We would like to thank the Mesoscale and Microscale Meteorology Division of the National Center for Atmospheric Research for giving us access to the AMPS forecast archive. The foresight of the AMPS design team to archive all the forecast output and make it available to the scientific community has enabled a wide range of research investigations including this one. We also would like to express our thanks to the British Antarctic Survey staff at Rothera Research Station for supporting the field measurement programme. We also much appreciate the time that the reviewers have given up. Their comments and suggestions have certainly helped to improve the manuscript. The AWS data are deposited at the Centre of Environmental Data Analysis at the website (https://catalogue.ceda.ac.uk/uuid/76f82001334afceadfe0df6e1544d75d).The AWS data can also be found by searching OFCAP at the http://archive.ceda.ac.uk/website.The AMPS data are available to the scientific community at the website (https://www.earthsystemgrid.org/dataset/ucar.mmm.amps.wrf_45.html).</t>
  </si>
  <si>
    <t>10.1029/2019JD030637</t>
  </si>
  <si>
    <t>hybrid, Green Published, Green Accepted</t>
  </si>
  <si>
    <t>WOS:000503223800001</t>
  </si>
  <si>
    <t>Hindley, NP; Wright, CJ; Smitha, ND; Hoffmann, L; Holt, LA; Alexander, MJ; Moffat-Griffin, T; Mitchell, NJ</t>
  </si>
  <si>
    <t>Hindley, Neil P.; Wright, Corwin J.; Smitha, Nathan D.; Hoffmann, Lars; Holt, Laura A.; Alexander, M. Joan; Moffat-Griffin, Tracy; Mitchell, Nicholas J.</t>
  </si>
  <si>
    <t>Gravity waves in the winter stratosphere over the Southern Ocean: high-resolution satellite observations and 3-D spectral analysis</t>
  </si>
  <si>
    <t>ATMOSPHERIC CHEMISTRY AND PHYSICS</t>
  </si>
  <si>
    <t>MOMENTUM FLUX; STOCKWELL TRANSFORM; S-TRANSFORM; VERTICAL WAVELENGTHS; MOUNTAIN WAVES; AIRS; PROPAGATION; GENERATION; MODEL; INTERMITTENCY</t>
  </si>
  <si>
    <t>Atmospheric gravity waves play a key role in the transfer of energy and momentum between layers of the Earth's atmosphere. However, nearly all general circulation models (GCMs) seriously under-represent the momentum fluxes of gravity waves at latitudes near 60 degrees S, which can lead to significant biases. A prominent example of this is the cold pole problem, where modelled winter stratospheres are unrealistically cold. There is thus a need for large-scale measurements of gravity wave fluxes near 60 degrees S, and indeed globally, to test and constrain GCMs. Such measurements are notoriously difficult, because they require 3-D observations of wave properties if the fluxes are to be estimated without using significant limiting assumptions. Here we use 3-D satellite measurements of stratospheric gravity waves from NASA's Atmospheric Infrared Sounder (AIRS) Aqua instrument. We present the first extended application of a 3-D Stockwell transform (3DST) method to determine localised gravity wave amplitudes, wavelengths and directions of propagation around the entire region of the Southern Ocean near 60 degrees S during austral winter 2010. We first validate our method using a synthetic wavefield and two case studies of real gravity waves over the southern Andes and the island of South Georgia. A new technique to overcome wave amplitude attenuation problems in previous methods is also presented. We then characterise large-scale gravity wave occurrence frequencies, directional momentum fluxes and short-timescale intermittency over the entire Southern Ocean. Our results show that highest wave occurrence frequencies, amplitudes and momentum fluxes are observed in the stratosphere over the mountains of the southern Andes and Antarctic Peninsula. However, we find that around 60 %-80 % of total zonal-mean momentum flux is located over the open Southern Ocean during June-August, where a large belt of increased wave occurrence frequencies, amplitudes and fluxes is observed. Our results also suggest significant short-timescale variability of fluxes from both orographic and non-orographic sources in the region. A particularly striking result is a widespread convergence of gravity wave momentum fluxes towards latitudes around 60 degrees S from the north and south. We propose that this convergence, which is observed at nearly all longitudes during winter, could account for a significant part of the under-represented flux in GCMs at these latitudes.</t>
  </si>
  <si>
    <t>[Hindley, Neil P.; Wright, Corwin J.; Mitchell, Nicholas J.] Univ Bath, Ctr Space Atmospher &amp; Ocean Sci, Bath, Avon, England; [Hoffmann, Lars] Forschungszentrum Julich, Julich Supercomp Ctr, Julich, Germany; [Holt, Laura A.; Alexander, M. Joan] NorthWest Res Associates, Boulder, CO USA; [Moffat-Griffin, Tracy] British Antarctic Survey, Atmosphere Ice &amp; Climate Grp, Cambridge, England</t>
  </si>
  <si>
    <t>University of Bath; Helmholtz Association; Research Center Julich; NorthWest Research Associates; UK Research &amp; Innovation (UKRI); Natural Environment Research Council (NERC); NERC British Antarctic Survey</t>
  </si>
  <si>
    <t>Hindley, NP (corresponding author), Univ Bath, Ctr Space Atmospher &amp; Ocean Sci, Bath, Avon, England.</t>
  </si>
  <si>
    <t>n.hindley@bath.ac.uk</t>
  </si>
  <si>
    <t>HOLT, LAURA/AAE-1938-2020; Hoffmann, Lars/ABI-3746-2020; Wright, Corwin/J-4598-2014</t>
  </si>
  <si>
    <t>HOLT, LAURA/0000-0003-0211-053X; Hoffmann, Lars/0000-0003-3773-4377; Hindley, Neil/0000-0003-4377-2038; Wright, Corwin/0000-0003-2496-953X</t>
  </si>
  <si>
    <t>UK Natural Environment Research Council [NE/R001391/1, NE/R001235/1]; Royal Society [UF160545]; NERC [NE/R001235/1, NE/R001391/1, NE/S00985X/1, bas0100032] Funding Source: UKRI</t>
  </si>
  <si>
    <t>UK Natural Environment Research Council(UK Research &amp; Innovation (UKRI)Natural Environment Research Council (NERC)); Royal Society(Royal Society); NERC(UK Research &amp; Innovation (UKRI)Natural Environment Research Council (NERC))</t>
  </si>
  <si>
    <t>This research has been supported by the UK Natural Environment Research Council (grant nos. NE/R001391/1 and NE/R001235/1) and the Royal Society (grant no. UF160545).</t>
  </si>
  <si>
    <t>1680-7316</t>
  </si>
  <si>
    <t>1680-7324</t>
  </si>
  <si>
    <t>ATMOS CHEM PHYS</t>
  </si>
  <si>
    <t>Atmos. Chem. Phys.</t>
  </si>
  <si>
    <t>DEC 17</t>
  </si>
  <si>
    <t>10.5194/acp-19-15377-2019</t>
  </si>
  <si>
    <t>JX0OV</t>
  </si>
  <si>
    <t>Green Accepted, gold</t>
  </si>
  <si>
    <t>WOS:000503444400003</t>
  </si>
  <si>
    <t>Fourteau, K; Martinerie, P; Faïn, X; Schaller, CF; Tuckwell, RJ; Löwe, H; Arnaud, L; Magand, O; Thomas, ER; Freitag, J; Mulvaney, R; Schneebeli, M; Lipenkov, VY</t>
  </si>
  <si>
    <t>Fourteau, Kevin; Martinerie, Patricia; Fain, Xavier; Schaller, Christoph F.; Tuckwell, Rebecca J.; Lowe, Henning; Arnaud, Laurent; Magand, Olivier; Thomas, Elizabeth R.; Freitag, Johannes; Mulvaney, Robert; Schneebeli, Martin; Lipenkov, Vladimir Ya.</t>
  </si>
  <si>
    <t>Multi-tracer study of gas trapping in an East Antarctic ice core</t>
  </si>
  <si>
    <t>POLAR FIRN; AIR-CONTENT; ATMOSPHERIC METHANE; ACCUMULATION-RATE; CLOSE-OFF; DOME C; DENSIFICATION; CONSTRAINTS; VARIABILITY; TRANSPORT</t>
  </si>
  <si>
    <t>We study a firn and ice core drilled at the new Lock-In site in East Antarctica, located 136 km away from Concordia station towards Dumont d'Urville. High-resolution chemical and physical measurements were performed on the core, with a particular focus on the trapping zone of the firn where air bubbles are formed. We measured the air content in the ice, closed and open porous volumes in the firn, firn density, firn liquid conductivity, major ion concentrations, and methane concentrations in the ice. The closed and open porosity volumes of firn samples were obtained using the two independent methods of pycnometry and tomography, which yield similar results. The measured increase in the closed porosity with density is used to estimate the air content trapped in the ice with the aid of a simple gas-trapping model. Results show a discrepancy, with the model trapping too much air. Experimental errors have been considered but do not explain the discrepancy between the model and the observations. The model and data can be reconciled with the introduction of a reduced compression of the closed porosity compared to the open porosity. Yet, it is not clear if this limited compression of closed pores is the actual mechanism responsible for the low amount of air in the ice. High-resolution density measurements reveal the presence of strong layering, manifesting itself as centimeter-scale variations. Despite this heterogeneous stratification, all layers, including the ones that are especially dense or less dense compared to their surroundings, display similar pore morphology and closed porosity as a function of density. This implies that all layers close in a similar way, even though some close in advance or later compared to the bulk firn. Investigation of the chemistry data suggests that in the trapping zone, the observed stratification is partly related to the presence of chemical impurities.</t>
  </si>
  <si>
    <t>[Fourteau, Kevin; Martinerie, Patricia; Fain, Xavier; Arnaud, Laurent; Magand, Olivier] Univ Grenoble Alpes, CNRS, IRD, Grenoble INP,IGE, F-38000 Grenoble, France; [Schaller, Christoph F.; Freitag, Johannes] Alfred Wegener Inst, Helmholtz Ctr Polar &amp; Marine Res, D-27568 Bremerhaven, Germany; [Tuckwell, Rebecca J.; Thomas, Elizabeth R.; Mulvaney, Robert] British Antarctic Survey, Nat Environm Res Council, Cambridge, England; [Lowe, Henning; Schneebeli, Martin] WSL Inst Snow &amp; Avalanche Res SLF, CH-7260 Davos, Switzerland; [Lipenkov, Vladimir Ya.] Arctic &amp; Antarctic Res Inst, Climate &amp; Environm Res Lab, St Petersburg 199397, Russia</t>
  </si>
  <si>
    <t>Communaute Universite Grenoble Alpes; Universite Grenoble Alpes (UGA); Institut de Recherche pour le Developpement (IRD); Institut National Polytechnique de Grenoble; Centre National de la Recherche Scientifique (CNRS); Helmholtz Association; Alfred Wegener Institute, Helmholtz Centre for Polar &amp; Marine Research; UK Research &amp; Innovation (UKRI); Natural Environment Research Council (NERC); NERC British Antarctic Survey; Swiss Federal Institutes of Technology Domain; Swiss Federal Institute for Forest, Snow &amp; Landscape Research; Arctic &amp; Antarctic Research Institute</t>
  </si>
  <si>
    <t>Fourteau, K; Martinerie, P (corresponding author), Univ Grenoble Alpes, CNRS, IRD, Grenoble INP,IGE, F-38000 Grenoble, France.</t>
  </si>
  <si>
    <t>kevin.fourteau@univ-grenoble-alpes.fr; patricia.martinerie@univ-grenoble-alpes.fr</t>
  </si>
  <si>
    <t>Fourteau, Kevin/ITV-9385-2023; Mulvaney, Robert/K-3929-2012; Thomas, Elizabeth Ruth/ADF-3660-2022; Schneebeli, Martin/B-1063-2008; Löwe, Henning/B-6279-2009; Martinerie, Patricia/N-5731-2017; FAIN, Xavier/C-8645-2009</t>
  </si>
  <si>
    <t>Fourteau, Kevin/0000-0002-9905-2446; Thomas, Elizabeth Ruth/0000-0002-3010-6493; Schneebeli, Martin/0000-0003-2872-4409; Löwe, Henning/0000-0001-7515-6809; Martinerie, Patricia/0000-0002-6820-2296; Schaller, Christoph Florian/0000-0003-1898-1188; Freitag, Johannes/0000-0003-2654-9440; arnaud, laurent/0000-0002-4432-4205; FAIN, Xavier/0000-0002-4119-6025</t>
  </si>
  <si>
    <t>INSU/CNRS LEFE through the project NEVE-CLIMAT; INSU/CNRS LEFE through the project HEPIGANE; NERC [bas0100024] Funding Source: UKRI</t>
  </si>
  <si>
    <t>INSU/CNRS LEFE through the project NEVE-CLIMAT; INSU/CNRS LEFE through the project HEPIGANE; NERC(UK Research &amp; Innovation (UKRI)Natural Environment Research Council (NERC))</t>
  </si>
  <si>
    <t>This work was funded by the INSU/CNRS LEFE through the projects NEVE-CLIMAT and HEPIGANE.</t>
  </si>
  <si>
    <t>10.5194/tc-13-3383-2019</t>
  </si>
  <si>
    <t>JX0PS</t>
  </si>
  <si>
    <t>Green Accepted, gold, Green Submitted</t>
  </si>
  <si>
    <t>WOS:000503446800003</t>
  </si>
  <si>
    <t>Nicholson, SA; Lévy, M; Jouanno, J; Capet, X; Swart, S; Monteiro, PMS</t>
  </si>
  <si>
    <t>Nicholson, S-A; Levy, M.; Jouanno, J.; Capet, X.; Swart, S.; Monteiro, P. M. S.</t>
  </si>
  <si>
    <t>Iron Supply Pathways Between the Surface and Subsurface Waters of the Southern Ocean: From Winter Entrainment to Summer Storms</t>
  </si>
  <si>
    <t>storms; seasonal iron supply; winter entrainment; eddy advection; fronts; Southern Ocean</t>
  </si>
  <si>
    <t>SUB-ANTARCTIC ZONE; SEASONAL RESTRATIFICATION; PHYTOPLANKTON BIOMASS; CYCLE; CHLOROPHYLL; MECHANISMS; DYNAMICS; MODEL</t>
  </si>
  <si>
    <t>Dissolved iron (DFe) plays an immeasurable role in shaping the biogeochemical processes of the open-ocean Southern Ocean. However, due to observational constraints iron supply pathways remain poorly understood. Using an idealized eddy-resolving physical-biogeochemical model representing a turbulent sector of the Southern Ocean with seasonal buoyancy forcing and zonal winds overlaid by storms, we quantify the importance of a range of subsurface and surface iron supply mechanisms. The main physical supply pathways to the surface layer are via eddy advection and winter convective mixing in equal proportions. The associated subsurface loss of DFe is restocked via net remineralization (75%) and eddy advection (25%). Summer storms resulted in weak DFe supplies relative to the seasonal supplies (&lt;7.6%). However, in situations of deep summer mixed layers and when interacting with underlying ocean fronts, summer storms resulted in enhanced diffusive and advective DFe supplies and raised summer primary production by 20% for several days.</t>
  </si>
  <si>
    <t>[Nicholson, S-A; Monteiro, P. M. S.] CSIR, Southern Ocean Carbon Climate Observ, Cape Town, South Africa; [Levy, M.; Capet, X.] Sorbonne Univ, LOCEAN IPSL, CNRS IRD MNHN, Paris, France; [Jouanno, J.] Univ Toulouse, LEGOS, IRD, CNRS,CNES,UPS, Toulouse, France; [Swart, S.] Univ Gothenburg, Dept Marine Sci, Gothenburg, Sweden; [Swart, S.] Univ Cape Town, Dept Oceanog, Rondebosch, South Africa</t>
  </si>
  <si>
    <t>Council for Scientific &amp; Industrial Research (CSIR) - South Africa; Sorbonne Universite; Museum National d'Histoire Naturelle (MNHN); Institut de Recherche pour le Developpement (IRD); Universite de Toulouse; Universite Toulouse III - Paul Sabatier; Centre National de la Recherche Scientifique (CNRS); Institut de Recherche pour le Developpement (IRD); Laboratoire d'Etudes en Geophysique et oceanographie spatiales; University of Gothenburg; University of Cape Town</t>
  </si>
  <si>
    <t>Nicholson, SA (corresponding author), CSIR, Southern Ocean Carbon Climate Observ, Cape Town, South Africa.</t>
  </si>
  <si>
    <t>snicholson@csir.co.za</t>
  </si>
  <si>
    <t>Nicholson, Sarah-Anne/AAN-2655-2021; Swart, Sebastiaan/U-5498-2017; Levy, Marina/A-1315-2012</t>
  </si>
  <si>
    <t>Nicholson, Sarah-Anne/0000-0002-1226-1828; Levy, Marina/0000-0003-2961-608X; Jouanno, Julien/0000-0001-7750-060X</t>
  </si>
  <si>
    <t>CSIR Parliamentary Grant [SNA2011112600001]; NRF-SANAP Grant [SNA170522231782, SNA170524232726]; Young Researchers Establishment Fund [YREF 2019 0000007361]; ANR [ANR-16-CE01-0014]; Wallenberg Academy Fellowship [WAF 2015.0186]; research staff exchange SOCCLI program (FP7-PEOPLE-2012-IRSES)</t>
  </si>
  <si>
    <t>CSIR Parliamentary Grant(Council of Scientific &amp; Industrial Research (CSIR) - India); NRF-SANAP Grant; Young Researchers Establishment Fund; ANR(Agence Nationale de la Recherche (ANR)); Wallenberg Academy Fellowship; research staff exchange SOCCLI program (FP7-PEOPLE-2012-IRSES)</t>
  </si>
  <si>
    <t>The authors thank Christian Ethe for technical assistance. This work was supported by CSIR Parliamentary Grant (SNA2011112600001), NRF-SANAP Grants SNA170522231782 and SNA170524232726, the Young Researchers Establishment Fund (YREF 2019 0000007361), and research staff exchange SOCCLI program (FP7-PEOPLE-2012-IRSES). M. L. acknowledges the CNES (climcolor project) and ANR (SOBUMS project, ANR-16-CE01-0014), and S. S., the Wallenberg Academy Fellowship (WAF 2015.0186). Data are available at ftp://socco.chpc.ac.za/Nicholson_etal2019/.</t>
  </si>
  <si>
    <t>10.1029/2019GL084657</t>
  </si>
  <si>
    <t>WOS:000502929400001</t>
  </si>
  <si>
    <t>Andrews, T; Andrews, MB; Bodas-Salcedo, A; Jones, GS; Kulhbrodt, T; Manners, J; Menary, MB; Ridley, J; Ringer, MA; Sellar, AA; Senior, CA; Tang, YM</t>
  </si>
  <si>
    <t>Andrews, Timothy; Andrews, Martin B.; Bodas-Salcedo, Alejandro; Jones, Gareth S.; Kulhbrodt, Till; Manners, James; Menary, Matthew B.; Ridley, Jeff; Ringer, Mark A.; Sellar, Alistair A.; Senior, Catherine A.; Tang, Yongming</t>
  </si>
  <si>
    <t>Forcings, Feedbacks, and Climate Sensitivity in HadGEM3-GC3.1 and UKESM1</t>
  </si>
  <si>
    <t>Climate Sensitivity; Climate feedback; Radiative forcing; CMIP6; RFMIP; CFMIP</t>
  </si>
  <si>
    <t>EXPERIMENTAL PROTOCOL; SURFACE-TEMPERATURE; CO2 FERTILIZATION; CLOUD FEEDBACK; CMIP5; SIMULATIONS; CONSTRAINTS; DEPENDENCE; PROSPECTS; MODELS</t>
  </si>
  <si>
    <t>Climate forcing, sensitivity, and feedback metrics are evaluated in both the United Kingdom's physical climate model HadGEM3-GC3.1 at low (-LL) and medium (-MM) resolution and the United Kingdom's Earth System Model UKESM1. The effective climate sensitivity (EffCS) to a doubling of CO2 is 5.5 K for HadGEM3.1-GC3.1-LL and 5.4 K for UKESM1. The transient climate response is 2.5 and 2.8 K, respectively. While the EffCS is larger than that seen in the previous generation of models, none of the model's forcing or feedback processes are found to be atypical of models, though the cloud feedback is at the high end. The relatively large EffCS results from an unusual combination of a typical CO2 forcing with a relatively small feedback parameter. Compared to the previous U.K. climate model, HadGEM3-GC2.0, the EffCS has increased from 3.2 to 5.5 K due to an increase in CO2 forcing, surface albedo feedback, and midlatitude cloud feedback. All changes are well understood and due to physical improvements in the model. At higher atmospheric and ocean resolution (HadGEM3-GC3.1-MM), there is a compensation between increased marine stratocumulus cloud feedback and reduced Antarctic sea-ice feedback. In UKESM1, a CO2 fertilization effect induces a land surface vegetation change and albedo radiative effect. Historical aerosol forcing in HadGEM3-GC3.1-LL is -1.1 W m(-2). In HadGEM3-GC3.1-LL historical simulations, cloud feedback is found to be less positive than in abrupt-4xCO(2), in agreement with atmosphere-only experiments forced with observed historical sea surface temperature and sea-ice variations. However, variability in the coupled model's historical sea-ice trends hampers accurate diagnosis of the model's total historical feedback.</t>
  </si>
  <si>
    <t>[Andrews, Timothy; Andrews, Martin B.; Bodas-Salcedo, Alejandro; Jones, Gareth S.; Manners, James; Menary, Matthew B.; Ridley, Jeff; Ringer, Mark A.; Sellar, Alistair A.; Senior, Catherine A.; Tang, Yongming] Hadley Ctr, Met Off, Exeter, Devon, England; [Kulhbrodt, Till] Univ Reading, NCAS, Reading, Berks, England; [Manners, James] Exeter Univ, Global Syst Inst, Exeter, Devon, England; [Menary, Matthew B.] Sorbonne Univ, LOCEAN IPSL, CNRS IRD MNHN, Paris, France</t>
  </si>
  <si>
    <t>Met Office - UK; Hadley Centre; University of Reading; UK Research &amp; Innovation (UKRI); Natural Environment Research Council (NERC); NERC National Centre for Atmospheric Science; University of Exeter; Sorbonne Universite; Museum National d'Histoire Naturelle (MNHN); Institut de Recherche pour le Developpement (IRD)</t>
  </si>
  <si>
    <t>Andrews, T (corresponding author), Hadley Ctr, Met Off, Exeter, Devon, England.</t>
  </si>
  <si>
    <t>timothy.andrews@metoffice.gov.uk</t>
  </si>
  <si>
    <t>Jones, Gareth/H-8022-2013; Andrews, Timothy/C-5912-2014; Menary, Matthew B/F-6215-2011; Senior, Catherine/AAA-3126-2022; Ringer, Mark/E-7294-2013</t>
  </si>
  <si>
    <t>Senior, Catherine/0000-0002-4124-0612; Bodas-Salcedo, Alejandro/0000-0002-7890-2536; Andrews, Martin/0000-0003-3145-2264; Ridley, Jeff/0000-0002-2612-9924; Kuhlbrodt, Till/0000-0003-2328-6729; Sellar, Alistair/0000-0002-2955-7254; Ringer, Mark/0000-0003-4014-2583; Manners, James/0000-0003-4402-6811</t>
  </si>
  <si>
    <t>Met Office Hadley Centre Climate Programme - Department for Business, Energy and Industrial Strategy (BEIS); Department for Environment, Food and Rural Affairs (Defra); Natural Environment Research Council (NERC) [NE/N017951/1]; EU [641816]; NERC [NE/N017951/1, ncas10014] Funding Source: UKRI</t>
  </si>
  <si>
    <t>Met Office Hadley Centre Climate Programme - Department for Business, Energy and Industrial Strategy (BEIS); Department for Environment, Food and Rural Affairs (Defra)(Department for Environment, Food &amp; Rural Affairs (DEFRA)); Natural Environment Research Council (NERC)(UK Research &amp; Innovation (UKRI)Natural Environment Research Council (NERC)); EU(European Union (EU)); NERC(UK Research &amp; Innovation (UKRI)Natural Environment Research Council (NERC))</t>
  </si>
  <si>
    <t>This work was supported by the Met Office Hadley Centre Climate Programme funded by Department for Business, Energy and Industrial Strategy (BEIS) and Department for Environment, Food and Rural Affairs (Defra). T. K. was funded by the Natural Environment Research Council (NERC) national capability grant for the U.K. Earth System Modelling project, Grant NE/N017951/1, and by the EU Horizon 2020 Framework Programme (H2020) CRESCENDO project, Grant Agreement 641816. We thank Peter Cadwell for useful discussions on the impact of ocean/atmosphere resolutions on climate sensitivity. We are grateful to Thorsten Mauritsen and two anonymous reviewers for positive and constructive comments that improved the clarity of the manuscript. The simulation data used in this study will be made available in the CMIP6 distributed data archive operated by the Earth System Grid Federation (ESGF; https://esgf-node.llnl.gov/projects/cmip6/). In the meantime, simulation data are archived at the Met Office and are available for research purposes through the JASMIN platform (www.jasmin.ac.uk) maintained by the Centre for Environmental Data Analysis (CEDA); for details, please contact um_collaboration@metoffice.gov.uk referencing this paper.</t>
  </si>
  <si>
    <t>10.1029/2019MS001866</t>
  </si>
  <si>
    <t>WOS:000502989000001</t>
  </si>
  <si>
    <t>Narayanan, A; Gille, ST; Mazloff, MR; Murali, K</t>
  </si>
  <si>
    <t>Narayanan, Aditya; Gille, Sarah T.; Mazloff, Matthew R.; Murali, K.</t>
  </si>
  <si>
    <t>Water Mass Characteristics of the Antarctic Margins and the Production and Seasonality of Dense Shelf Water</t>
  </si>
  <si>
    <t>Dense Shelf Water; Circumpolar Deep Water; Antarctic margins</t>
  </si>
  <si>
    <t>ICE SHELVES; DEEP-WATER; SEA-ICE; CIRCULATION; TRANSPORT; TRANSFORMATION; VARIABILITY; EXCHANGE; MODEL; EDDY</t>
  </si>
  <si>
    <t>Conductivity-temperature-depth data from instrumented seals of the Marine Mammals Exploring Oceans from Pole to Pole program are analyzed to characterize the water masses and the seasonality of the marginal seas. Bottom temperatures are found to be in a cold regime in Dense Shelf Water (DSW) producing regions, identified in this study as the southern Weddell Sea, Cape Darnley, Prydz Bay, Adelie Coast, and the western Ross Sea. DSW occupies the bottom of the Weddell and Ross Sea continental shelves throughout the year: Production of DSW and vertical overturning occur only during the winter. In the other DSW producing regions, salinity is reduced more markedly during the summer. We identify the Princess Martha Coast, Leopold and Astrid Coast, and the Knox Coast as Low Salinity Shelf Water producing regions, where modified Circumpolar Deep Water (CDW) intrudes onto the continental shelf, reaching areas close to the ice shelves keeping the bottom temperatures in an intermediate regime. The Prince Harald Coast, the Amundsen Sea, and the Bellingshausen Sea experience more intense CDW intrusion, which keeps them in a warm regime year-round. CDW layer thicknesses correlate with the meridional winds over the shelf sea, and with the zonal winds at the slope, while DSW layer thicknesses correlate with the meridional winds over the shelf seas and the curl of the wind stress over the slope. Locations of DSW on the continental shelf coincide with an absence of warmer CDW near the ice shelves.</t>
  </si>
  <si>
    <t>[Narayanan, Aditya; Murali, K.] Indian Inst Technol Madras, Chennai, Tamil Nadu, India; [Gille, Sarah T.; Mazloff, Matthew R.] Univ Calif San Diego, Scripps Inst Oceanog, La Jolla, CA 92093 USA</t>
  </si>
  <si>
    <t>Indian Institute of Technology System (IIT System); Indian Institute of Technology (IIT) - Madras; University of California System; University of California San Diego; Scripps Institution of Oceanography</t>
  </si>
  <si>
    <t>Narayanan, A (corresponding author), Indian Inst Technol Madras, Chennai, Tamil Nadu, India.</t>
  </si>
  <si>
    <t>adityarn@gmail.com</t>
  </si>
  <si>
    <t>Narayanan, Aditya/0000-0002-8967-2211</t>
  </si>
  <si>
    <t>Half Time Research Assistantship of IIT Madras; U.S. National Science Foundation [NSF OCE-1658001, OCE-1924388, PLR-1425989]</t>
  </si>
  <si>
    <t>Half Time Research Assistantship of IIT Madras; U.S. National Science Foundation(National Science Foundation (NSF))</t>
  </si>
  <si>
    <t>JW2UT 0We thank Laurie Padman and an anonymous reviewer for their helpful input. We are deeply grateful to the MEOP consortium for the valuable instrumented seal data set that made this study possible. It is available online (http://meop.net). Narayanan was supported by the Half Time Research Assistantship of IIT Madras and the support is gratefully acknowledged. Gille and Mazloff acknowledge support from the U.S. National Science Foundation (Grants NSF OCE-1658001, OCE-1924388, and PLR-1425989).</t>
  </si>
  <si>
    <t>10.1029/2018JC014907</t>
  </si>
  <si>
    <t>Bronze, Green Published</t>
  </si>
  <si>
    <t>WOS:000502913300001</t>
  </si>
  <si>
    <t>McMahon, KW; Michelson, CI; Hart, T; McCarthy, MD; Patterson, WP; Polito, MJ</t>
  </si>
  <si>
    <t>McMahon, Kelton W.; Michelson, Chantel I.; Hart, Tom; McCarthy, Matthew D.; Patterson, William P.; Polito, Michael J.</t>
  </si>
  <si>
    <t>Divergent trophic responses of sympatric penguin species to historic anthropogenic exploitation and recent climate change</t>
  </si>
  <si>
    <t>Antarctica; ecogeochemistry; environmental change; historical ecology; krill surplus</t>
  </si>
  <si>
    <t>SOUTHERN-OCEAN; ANTARCTIC PENINSULA; SEA-ICE; ECOLOGICAL RESPONSES; CHINSTRAP PENGUINS; KRILL; POPULATIONS; GENTOO; DELTA-N-15; DENSITY</t>
  </si>
  <si>
    <t>The Southern Ocean is in an era of significant change. Historic overharvesting of marine mammals and recent climatic warming have cascading impacts on resource availability and, in turn, ecosystem structure and function. We examined trophic responses of sympatric chinstrap (Pygoscelis antarctica) and gentoo (Pygoscelis papua) penguins to nearly 100 y of shared environmental change in the Antarctic Peninsula region using compound-specific stable isotope analyses of museum specimens. A century ago, gentoo penguins fed almost exclusively on low-trophic level prey, such as krill, during the peak of historic overexploitation of marine mammals, which was hypothesized to have resulted in a krill surplus. In the last 40 y, gentoo penguin trophic position has increased a full level as krill declined in response to recent climate change, increased competition from recovering marine mammal populations, and the development of a commercial krill fishery. A shifting isotopic baseline supporting gentoo penguins suggests a concurrent increase in coastal productivity over this time. In contrast, chinstrap penguins exhibited no change in trophic position, despite variation in krill availability over the past century. The specialized foraging niche of chinstrap penguins likely renders them more sensitive to changes in krill availability, relative to gentoo penguins, as evinced by their declining population trends in the Antarctic Peninsula over the past 40 y. Over the next century, similarly divergent trophic and population responses are likely to occur among Antarctic krill predators if climate change and other anthropogenic impacts continue to favor generalist over specialist species.</t>
  </si>
  <si>
    <t>[McMahon, Kelton W.] Univ Rhode Isl, Grad Sch Oceanog, Narragansett, RI 02882 USA; [Michelson, Chantel I.; Polito, Michael J.] Louisiana State Univ, Dept Oceanog &amp; Coastal Sci, Baton Rouge, LA 70803 USA; [Hart, Tom] Univ Oxford, Dept Zool, Oxford OX1 3SZ, England; [McCarthy, Matthew D.] Univ Calif Santa Cruz, Ocean Sci Dept, Santa Cruz, CA 95064 USA; [Patterson, William P.] Univ Saskatchewan, Dept Geol Sci, Saskatchewan Isotope Lab, Saskatoon, SK S7N 5E2, Canada</t>
  </si>
  <si>
    <t>University of Rhode Island; Louisiana State University System; Louisiana State University; University of Oxford; University of California System; University of California Santa Cruz; University of Saskatchewan</t>
  </si>
  <si>
    <t>Polito, MJ (corresponding author), Louisiana State Univ, Dept Oceanog &amp; Coastal Sci, Baton Rouge, LA 70803 USA.</t>
  </si>
  <si>
    <t>mpolito@lsu.edu</t>
  </si>
  <si>
    <t>Polito, Michael/G-9118-2012</t>
  </si>
  <si>
    <t>Polito, Michael/0000-0001-8639-4431; Michelson, Chantel/0000-0001-6117-1346; Patterson, Willam/0000-0002-1429-8624; Hart, Tom/0000-0002-4527-5046; McMahon, Kelton/0000-0002-9648-4614</t>
  </si>
  <si>
    <t>US National Science Foundation Office of Polar Programs [ANT-1443585, ANT-1826712]; Antarctic Science Bursary</t>
  </si>
  <si>
    <t>US National Science Foundation Office of Polar Programs(National Science Foundation (NSF)); Antarctic Science Bursary</t>
  </si>
  <si>
    <t>We thank the American Museum of Natural History, the National Museum of Natural History (United States), Swedish Museum of Natural History, Royal Belgian Institute of Natural Sciences, Natural History Museum at Tring (United Kingdom), Biodiversity Research and Teaching Collections of Texas A&amp;M University, University of North Carolina Wilmington Natural History Collections, and Quark Expeditions for specimen collections. We thank Steven D. Emslie, Heather J. Lynch, the PNAS editor, and two anonymous reviewers for valuable assistance and comments on this manuscript. This work was funded by US National Science Foundation Office of Polar Programs awards to M.J.P. (ANT-1443585), K.W.M. (ANT-1826712), and the Antarctic Science Bursary (M.J.P.).</t>
  </si>
  <si>
    <t>10.1073/pnas.1913093116</t>
  </si>
  <si>
    <t>JW8EX</t>
  </si>
  <si>
    <t>Green Submitted, Green Published, Bronze</t>
  </si>
  <si>
    <t>WOS:000503281500055</t>
  </si>
  <si>
    <t>Protat, A; Klepp, C; Louf, V; Petersen, WA; Alexander, SP; Barros, A; Leinonen, J; Mace, GG</t>
  </si>
  <si>
    <t>Protat, Alain; Klepp, Christian; Louf, Valentin; Petersen, Walter A.; Alexander, Simon P.; Barros, Ana; Leinonen, Jussi; Mace, Gerald G.</t>
  </si>
  <si>
    <t>The Latitudinal Variability of Oceanic Rainfall Properties and Its Implication for Satellite Retrievals: 2. The Relationships Between Radar Observables and Drop Size Distribution Parameters</t>
  </si>
  <si>
    <t>RAINDROP; ALGORITHM; SPECTRA; MODEL</t>
  </si>
  <si>
    <t>In this study, we develop statistical relationships between radar observables and drop size distribution properties in different latitude bands to inform radar rainfall retrieval techniques and understand underpinning microphysical reasons for differences reported in the literature between satellite mean zonal rainfall products at high latitudes (up to a factor 2 between products over ocean). A major assumption in satellite retrievals is the attenuation-reflectivity relationships for convective and stratiform precipitation. They are found to systematically produce higher attenuation than our relationships with all latitudes included or within individual latitude bands (except in the tropics). The scatter around fitted curves approximating the radar reflectivity-mass-weighted diameter D-m relationship and the dual-frequency ratio (ratio of Ka- to Ku-band reflectivities)-D-m relationships is found to be large and of the same magnitude. This result suggests that the added value of two radar frequencies to improve the D-m retrieval from space seems limited. In contrast, the relationship between D-m and the attenuation/reflectivity ratio is robust and not dependent on latitude. Direct relationships between rainfall and either reflectivity or attenuation are also found to be very robust. Attenuation-reflectivity, D-m-reflectivity, and rainfall rate-reflectivity relationships in the Southern Hemisphere high latitude and Northern Hemisphere polar latitude bands are fundamentally different from those at other latitude bands, producing smaller attenuation, much larger D-m, and lower rainfall rates. This implies that specific relationships need to be used for these latitude bands in radar rainfall retrieval techniques using such relationships.</t>
  </si>
  <si>
    <t>[Protat, Alain] Australian Bur Meteorol, Melbourne, Vic, Australia; [Klepp, Christian] Max Planck Inst Meteorol, Land Earth Syst, Hamburg, Germany; [Louf, Valentin] Monash Univ, Sch Earth Atmosphere &amp; Environm, Melbourne, Vic, Australia; [Petersen, Walter A.] NASA, Earth Sci Branch, Marshall Space Flight Ctr, Huntsville, AL USA; [Alexander, Simon P.] Australian Antarctic Div, Hobart, Tas, Australia; [Barros, Ana] Duke Univ, Durham, NC USA; [Leinonen, Jussi] Ecole Polytech Fed Lausanne, Lausanne, Switzerland; [Mace, Gerald G.] Univ Utah, Salt Lake City, UT USA</t>
  </si>
  <si>
    <t>Bureau of Meteorology - Australia; Max Planck Society; Monash University; Melbourne Genomics Health Alliance; National Aeronautics &amp; Space Administration (NASA); Australian Antarctic Division; Duke University; Swiss Federal Institutes of Technology Domain; Ecole Polytechnique Federale de Lausanne; Utah System of Higher Education; University of Utah</t>
  </si>
  <si>
    <t>Protat, A (corresponding author), Australian Bur Meteorol, Melbourne, Vic, Australia.</t>
  </si>
  <si>
    <t>alain.protat@bom.gov.au</t>
  </si>
  <si>
    <t>; Barros, Ana/A-3562-2011</t>
  </si>
  <si>
    <t>Louf, Valentin/0000-0001-8133-3031; Leinonen, Jussi/0000-0002-6560-6316; Alexander, Simon/0000-0001-6823-8857; Barros, Ana/0000-0003-4606-3106</t>
  </si>
  <si>
    <t>Initiative Pro Klima (Mabanaft GmbH Co. KG); Initiative Pro Klima (Mabanaft Deutschland GmbH Co. KG); Initiative Pro Klima (Petronord GmbH Co. KG); Initiative Pro Klima (OIL! Tankstellen GmbH Co. KG); CliSAP/CEN; University of Hamburg; Max Planck Society (MPG); Australian Antarctic program [4387]</t>
  </si>
  <si>
    <t>Initiative Pro Klima (Mabanaft GmbH Co. KG); Initiative Pro Klima (Mabanaft Deutschland GmbH Co. KG); Initiative Pro Klima (Petronord GmbH Co. KG); Initiative Pro Klima (OIL! Tankstellen GmbH Co. KG); CliSAP/CEN; University of Hamburg; Max Planck Society (MPG)(Max Planck Society); Australian Antarctic program</t>
  </si>
  <si>
    <t>The sustained funding by Initiative Pro Klima (Mabanaft, Mabanaft Deutschland, Petronord, and OIL! Tankstellen GmbH &amp; Co. KG) enabled the development, operation, and research on OceanRAIN. We greatly appreciate this support and gratefully thank Tanja Thiele, Gerhard Grambow, Volker Tiedemann, Ulrich Freudental, and Jan Falke. The project was hosted and cofunded by CliSAP/CEN, University of Hamburg, and the Max Planck Society (MPG). The authors wish to acknowledge the contribution of the Australian Marine National Facility MNF (Brett Muir and Will Ponsonby) for their help setting up and taking care of the ODM470 disdrometer on RV Investigator and Dr. Toshio Iguchi from the National Institute of Information and Communications Technology, Japan, for useful discussions about details of the GPM dualfrequency radar rainfall algorithm. The Australian Antarctic Division's contribution was supported by project 4387 of the Australian Antarctic program. OceanRAIN data are publicly available through the website http://www.oceanrain.org/and the World Data Center for Climate (data referenced as Klepp et al. 2017ab).</t>
  </si>
  <si>
    <t>DEC 16</t>
  </si>
  <si>
    <t>10.1029/2019JD031011</t>
  </si>
  <si>
    <t>KA2KK</t>
  </si>
  <si>
    <t>WOS:000505626200053</t>
  </si>
  <si>
    <t>Hirsch, AL; Evans, JP; Di Virgilio, G; Perkins-Kirkpatrick, SE; Argüeso, D; Pitman, AJ; Carouge, CC; Kala, J; Andrys, J; Petrelli, P; Rockel, B</t>
  </si>
  <si>
    <t>Hirsch, Annette L.; Evans, Jason P.; Di Virgilio, Giovanni; Perkins-Kirkpatrick, Sarah E.; Argueso, Daniel; Pitman, Andrew J.; Carouge, Claire C.; Kala, Jatin; Andrys, Julia; Petrelli, Paola; Rockel, Burkhardt</t>
  </si>
  <si>
    <t>Amplification of Australian Heatwaves via Local Land-Atmosphere Coupling</t>
  </si>
  <si>
    <t>CORDEX; land-atmosphere interactions; excess heat factor; two-legged coupling</t>
  </si>
  <si>
    <t>SOIL-MOISTURE; HEAT WAVES; CLIMATE VARIABILITY; RECORD-BREAKING; EUROPEAN SUMMER; MODEL; TEMPERATURES; PROJECTIONS; EXTREMES; RAINFALL</t>
  </si>
  <si>
    <t>Antecedent land surface conditions play a role in the amplification of temperature anomalies experienced during heatwaves by modifying the local partitioning of available energy between sensible and latent heating. Most existing analyses of heatwave amplification from soil moisture anomalies have focused on exceptionally rare events and consider seasonal scale timescales. However, it is not known how much the daily evolution of land surface conditions, both before and during a heatwave, contributes to the intensity and frequency of these extremes. We examine how the daily evolution of land surface conditions preceding a heatwave event contributes to heatwave intensity. We also diagnose why the land surface contribution to Australian heatwaves is not homogeneous due to spatiotemporal variations in land-atmosphere coupling. We identify two coupling regimes: a land-driven regime where surface temperatures are sensitive to local variations in sensible heating and an atmosphere-driven regime where this is not the case. Northern Australia is consistently strongly coupled, where antecedent soil moisture conditions can influence temperature anomalies up to day 4 of a heatwave. For southern Australia, heatwave temperature anomalies are not influenced by antecedent soil moisture conditions due to an atmosphere-driven coupling regime. Therefore, antecedent land surface conditions have a role in increasing the temperature anomalies experienced during a heatwave only over regions with strong land-driven coupling. The timescales over which antecedent land surface conditions contribute to Australian heatwaves also vary regionally. Overall, the spatiotemporal variations of land-atmosphere interactions help determine where and when antecedent land surface conditions contribute to Australian heat extremes.</t>
  </si>
  <si>
    <t>[Hirsch, Annette L.; Evans, Jason P.; Perkins-Kirkpatrick, Sarah E.; Pitman, Andrew J.; Carouge, Claire C.] Univ New South Wales, ARC Ctr Excellence Climate Extremes, Sydney, NSW, Australia; [Hirsch, Annette L.; Evans, Jason P.; Di Virgilio, Giovanni; Perkins-Kirkpatrick, Sarah E.; Pitman, Andrew J.] Univ New South Wales, Climate Change Res Ctr, Sydney, NSW, Australia; [Argueso, Daniel] Univ Balearic Isl, Dept Phys, Palma De Mallorca, Spain; [Kala, Jatin; Andrys, Julia] Murdoch Univ, Environm &amp; Conservat Sci, Perth, WA, Australia; [Petrelli, Paola] Univ Tasmania, Inst Marine &amp; Antarctic Sci, Hobart, Tas, Australia; [Rockel, Burkhardt] Helmholtz Zentrum Geesthacht, Inst Coastal Res, Geesthacht, Germany</t>
  </si>
  <si>
    <t>University of New South Wales Sydney; University of New South Wales Sydney; Universitat de les Illes Balears; Murdoch University; University of Tasmania; Helmholtz Association; Helmholtz-Zentrum Hereon</t>
  </si>
  <si>
    <t>Hirsch, AL (corresponding author), Univ New South Wales, ARC Ctr Excellence Climate Extremes, Sydney, NSW, Australia.;Hirsch, AL (corresponding author), Univ New South Wales, Climate Change Res Ctr, Sydney, NSW, Australia.</t>
  </si>
  <si>
    <t>a.hirsch@unsw.edu.au</t>
  </si>
  <si>
    <t>Argüeso, Daniel/G-1970-2012; Perkins-Kirkpatrick, Sarah E/O-5042-2015; Evans, Jason P./F-3716-2011; kala, Jatin/G-8408-2011; Pitman, Andrew/A-7353-2011; Hirsch, Annette/B-6892-2011</t>
  </si>
  <si>
    <t>Argüeso, Daniel/0000-0002-4792-162X; Evans, Jason P./0000-0003-1776-3429; kala, Jatin/0000-0001-9338-2965; Pitman, Andrew/0000-0003-0604-3274; Di Virgilio, Giovanni/0000-0001-7014-8412; Petrelli, Paola/0000-0002-0164-5105; Perkins-Kirkpatrick, Sarah/0000-0001-9443-4915; Hirsch, Annette/0000-0002-5811-2465; Andrys, Julia/0000-0002-9309-977X</t>
  </si>
  <si>
    <t>Australian Research Council (ARC) Centre of Excellence for Climate Extremes [CE170100023]; ARC [FT170100106, DE170100102]; European Union's Horizon 2020 programme through the Marie Sklodowska-Curie Grant [H2020MSCA-IF-2016-743547]; Australian Research Council [DE170100102] Funding Source: Australian Research Council</t>
  </si>
  <si>
    <t>Australian Research Council (ARC) Centre of Excellence for Climate Extremes(Australian Research Council); ARC(Australian Research Council); European Union's Horizon 2020 programme through the Marie Sklodowska-Curie Grant; Australian Research Council(Australian Research Council)</t>
  </si>
  <si>
    <t>We are grateful to the ECMWF for using the ERA-Interim reanalysis as boundary conditions for all regional climate models presented in this study. We thank the NCAR Mesoscale and Microscale Meteorology Division for developing and maintaining the Weather Research and Forecasting Model. The computational modeling was supported by the National Computational Infrastructure (NCI) at the Australian National University in Canberra, Australia; the Pawsey Supercomputing Centre in Perth, Western Australia; and the German Climate Research Centre (DKRZ) infrastructure. This project is supported through funding from the Australian Research Council (ARC) Centre of Excellence for Climate Extremes (CE170100023). Sarah E. PerkinsKirkpatrick is supported by an ARC Future Fellowship (FT170100106). Daniel Argueso is funded by the European Union's Horizon 2020 programme through the Marie Sklodowska-Curie Grant (H2020MSCA-IF-2016-743547). Jatin Kala is supported by the ARC Discovery Early Career Research Grant (DE170100102). All CORDEX AustralAsia data are published on the Earth System Grid Federation. Data for the WRF simulations are available on the NCI ESGF node in the CORDEX Research Collection (https://esgf.nci.org.au/search/esgf-nci/).Data for the CCLM and CCAM simulations are available at the Lawrence Livermore National Laboratory ESGF node available at https://esgf-node.llnl.gov/search/esgfllnl/.All software scripts to process the data and reproduce the analysis can be found at https://zenodo.org/record/3384347#.XeaA0dVOnb2 (doi: 10.5281/zenodo.3384347).</t>
  </si>
  <si>
    <t>10.1029/2019JD030665</t>
  </si>
  <si>
    <t>Bronze, Green Published, Green Accepted</t>
  </si>
  <si>
    <t>WOS:000502795600001</t>
  </si>
  <si>
    <t>Watanabe, E; Jin, MB; Hayashida, H; Zhang, JL; Steiner, N</t>
  </si>
  <si>
    <t>Watanabe, Eiji; Jin, Meibing; Hayashida, Hakase; Zhang, Jinlun; Steiner, Nadja</t>
  </si>
  <si>
    <t>Multi-Model Intercomparison of the Pan-Arctic Ice-Algal Productivity on Seasonal, Interannual, and Decadal Timescales</t>
  </si>
  <si>
    <t>Arctic Ocean; sea-ice decline; ice algae; marine ecosystem model</t>
  </si>
  <si>
    <t>GLOBAL SEA-ICE; THICKNESS DISTRIBUTION; PACIFIC WATER; UNDER-ICE; MODEL; OCEAN; ECOSYSTEM; BIOGEOCHEMISTRY; PHYTOPLANKTON; CLIMATOLOGY</t>
  </si>
  <si>
    <t>Seasonal, interannual, and decadal variations in the Arctic ice-algal productivity for 1980-2009 are investigated using daily outputs from five sea ice-ocean ecosystem models participating in the Forum for Arctic Modeling and Observational Synthesis project. The models show a shelf-basin contrast in the spatial distribution of ice-algal productivity (ice-PP). The simulated ice-PP substantially varies among the four subregions (Chukchi Sea, Canada Basin, Eurasian Basin, and Barents Sea) and among the five models, respectively. The simulated annual total ice-PP has no common decadal trend at least for 1980-2009 among the five models in any of the four subregions, although the simulated snow depth and sea-ice thickness in spring are mostly declining. The model intercomparison indicates that an appropriate balance of stable ice-algal habitat (i.e., sea-ice cover) and enough light availability is necessary to retain the ice-PP. The multi-model averages show that the ice-algal bloom timing shifts to an earlier date and that the bloom duration shortens in the four subregions. However, both the positive and negative decadal trends in the timing and duration are simulated. This difference in trends are attributed to temporal shifts among different types of ice-algal blooms: long-massive, short-massive, long-gentle, and short-gentle bloom. The selected value for the maximum growth rate of the ice-algal photosynthesis term is a key source for the inter-model spreads. Understanding the simulated uncertainties on the pan-Arctic and decadal scales is expected to improve coupled sea ice-ocean ecosystem models. This step will be a baseline for further modeling/field studies and future projections.</t>
  </si>
  <si>
    <t>[Watanabe, Eiji] Japan Agcy Marine Earth Sci &amp; Technol, Yokosuka, Kanagawa, Japan; [Jin, Meibing] Nanjing Univ Informat Sci &amp; Technol, Sch Marine Sci, Nanjing, Jiangsu, Peoples R China; [Jin, Meibing] Southern Lab Ocean Sci &amp; Engn, Zhuhai, Peoples R China; [Jin, Meibing] Univ Alaska Fairbanks, Int Arctic Res Ctr, Fairbanks, AK USA; [Hayashida, Hakase] Univ Victoria, Sch Earth &amp; Ocean Sci, Victoria, BC, Canada; [Hayashida, Hakase] Univ Tasmania, Inst Marine &amp; Antarctic Studies, Hobart, Tas, Australia; [Zhang, Jinlun] Univ Washington, Polar Sci Ctr, Seattle, WA 98195 USA; [Steiner, Nadja] Fisheries &amp; Oceans Canada, Inst Ocean Sci, Sidney, BC, Canada</t>
  </si>
  <si>
    <t>Japan Agency for Marine-Earth Science &amp; Technology (JAMSTEC); Nanjing University of Information Science &amp; Technology; University of Alaska System; University of Alaska Fairbanks; University of Victoria; University of Tasmania; University of Washington; University of Washington Seattle; Fisheries &amp; Oceans Canada</t>
  </si>
  <si>
    <t>Watanabe, E (corresponding author), Japan Agcy Marine Earth Sci &amp; Technol, Yokosuka, Kanagawa, Japan.</t>
  </si>
  <si>
    <t>ejnabe@jamstec.go.jp</t>
  </si>
  <si>
    <t>Hayashida, Hakase/AAY-4151-2020; WATANABE, EIJI/C-2797-2009</t>
  </si>
  <si>
    <t>Hayashida, Hakase/0000-0002-6349-4947; Steiner, Nadja/0000-0001-7456-3437</t>
  </si>
  <si>
    <t>Japan Society for the Promotion of Science (JSPS) [KAKENHI 18H03368]; Arctic Challenge for Sustainability (ArCS) - Ministry of Education, Culture, Sports, Science and Technology (MEXT), Japan; NSF Office of Polar Programs (OPP) Grant [PLR-1417925]; Canadian Network on Climate and Aerosols in Remote Environments (NETCARE), Fisheries and Oceans Canada; NASA [NNX17AD27G, NNX15AG68G]; NSF OPP [PLR-1416920, PLR-1603259]; NASA [NNX17AD27G, 804717, NNX15AG68G, 1002927] Funding Source: Federal RePORTER</t>
  </si>
  <si>
    <t>Japan Society for the Promotion of Science (JSPS)(Ministry of Education, Culture, Sports, Science and Technology, Japan (MEXT)Japan Society for the Promotion of Science); Arctic Challenge for Sustainability (ArCS) - Ministry of Education, Culture, Sports, Science and Technology (MEXT), Japan; NSF Office of Polar Programs (OPP) Grant; Canadian Network on Climate and Aerosols in Remote Environments (NETCARE), Fisheries and Oceans Canada; NASA(National Aeronautics &amp; Space Administration (NASA)); NSF OPP(National Science Foundation (NSF)NSF - Directorate for Geosciences (GEO)); NASA(National Aeronautics &amp; Space Administration (NASA))</t>
  </si>
  <si>
    <t>E. W. is supported by the Grant-in-Aid for Scientific Research of Japan Society for the Promotion of Science (JSPS) (KAKENHI 18H03368) and the Arctic Challenge for Sustainability (ArCS) project funded by the Ministry of Education, Culture, Sports, Science and Technology (MEXT), Japan. M. J. is supported by NSF Office of Polar Programs (OPP) Grant (PLR-1417925). H. H. and N. S. acknowledge funding from the Canadian Network on Climate and Aerosols in Remote Environments (NETCARE), Fisheries and Oceans Canada. J. Z. is supported by NASA Grants (NNX17AD27G, NNX15AG68G) and NSF OPP Grants (PLR-1416920 and PLR-1603259). The JAMSTEC and UVic model experiments were executed using the JAMSTEC Earth Simulator and the Compute Canada-Westgrid, respectively. The daily time series of the icePP, ice-algal biomass, sea-ice concentration, snow depth, sea-ice thickness, sea-ice nitrate, and ocean surface nitrate for 1980-2009 produced by the five models are available at the Arctic Data Archive System (https://ads.nipr.ac.jp/dataset/A20190924-001).This study is a contribution to the Forum for Arctic Modelling and Observational Synthesis (FAMOS) and the research community on Biogeochemical Exchange Processes at the Sea-Ice Interfaces (BEPSII). Finally, thoughtful and constructive comments from two anonymous referees were highly valuable.</t>
  </si>
  <si>
    <t>10.1029/2019JC015100</t>
  </si>
  <si>
    <t>Green Published, hybrid</t>
  </si>
  <si>
    <t>WOS:000502671500001</t>
  </si>
  <si>
    <t>Castle, N; Kuehl, E; Jones, J; Treiman, A</t>
  </si>
  <si>
    <t>Castle, Nicholas; Kuehl, Ethan; Jones, John; Treiman, Allan</t>
  </si>
  <si>
    <t>Multiple origins of xenoliths and xenocrysts in the Elephant Moraine 79001 Lithology A olivine-phyric shergottite</t>
  </si>
  <si>
    <t>METEORITICS &amp; PLANETARY SCIENCE</t>
  </si>
  <si>
    <t>MARTIAN BASALTS; PETROGENESIS; PETROLOGY; MELT; METEORITES; TISSINT; GEOCHEMISTRY; PETROGRAPHY; CHEMISTRY; MARS</t>
  </si>
  <si>
    <t>Petrographic examination of the xenolith and xenocryst populations in the olivine-phyric shergottite Elephant Moraine 79001 Lithology A shows more chemical heterogeneity than previously documented. Analyses of olivine grains in 18 megacrysts and in 4 lithic fragments show that these two populations either do not have the same source or that this source is heterogeneous in terms of its time-temperature history. Additionally, among the four lithic fragments analyzed, two are distinctive (1) one contains a major-element-equilibrated, euhedral olivine grain and (2) the second contains high-magnesium pyroxene cores. Furthermore, two populations of ferroan olivine were identified (1) one more ferroan than any other reported in EET 79001 and (2) a slightly less ferroan, unequilibrated olivine, but with a restricted range in Mg#. We have also observed an equilibrated pyroxene grain associated with a zoned olivine megacryst. As a result, we recognize that the xenolith/xenocryst population does not represent the incorporation of a single xeno-lithology into Lithology A, and propose that it be subdivided into a suite of seven identified lithologies, with the understanding that more are likely to be identified with further study. The abundance of Ca in olivine in the xeno-lithologies suggests a set of crustal, rather than deep mantle, lithologies. Diffusion rates in olivine suggest that the lithologies were incorporated shortly before rapid cooling of the host magma, preserving preexisting mineral chemical zoning. These mineral chemical zones could have been preserved at lower crustal temperatures for up to 10s of Ka. Trace-element studies of these distinct populations would be required to test whether they are related by igneous processes from a common source magma.</t>
  </si>
  <si>
    <t>[Castle, Nicholas; Jones, John; Treiman, Allan] USRA, Lunar &amp; Planetary Inst, Houston, TX 77058 USA; [Kuehl, Ethan] Washington Univ, St Louis, MO 63130 USA</t>
  </si>
  <si>
    <t>Washington University (WUSTL)</t>
  </si>
  <si>
    <t>Castle, N (corresponding author), USRA, Lunar &amp; Planetary Inst, Houston, TX 77058 USA.</t>
  </si>
  <si>
    <t>ncastle@psi.edu</t>
  </si>
  <si>
    <t>Treiman, Allan/0000-0002-8073-2839; Castle, Nicholas/0000-0002-0608-1249</t>
  </si>
  <si>
    <t>LPI/ARES summer internship program; LPI; NASA</t>
  </si>
  <si>
    <t>LPI/ARES summer internship program; LPI; NASA(National Aeronautics &amp; Space Administration (NASA))</t>
  </si>
  <si>
    <t>The authors would like to thank Hap McSween, Geoffrey Howarth, Chris Herd, and an anonymous reviewer for their reviews which substantially improved the quality of this manuscript, and Kevin Righter for his excellent facilitating of the review process as the associate editor. The thin sections utilized in this study were provided by the Antarctic Meteorite Program (NASA Johnson Space Center). Funding for this project was provided through the LPI/ARES summer internship program and the LPI cooperative agreement with NASA. This paper represents LPI Contribution No. 2237. LPI is operated by USRA under a cooperative agreement with the Science Mission Directorate of the National Aeronautics and Space Administration.</t>
  </si>
  <si>
    <t>1086-9379</t>
  </si>
  <si>
    <t>1945-5100</t>
  </si>
  <si>
    <t>METEORIT PLANET SCI</t>
  </si>
  <si>
    <t>Meteorit. Planet. Sci.</t>
  </si>
  <si>
    <t>10.1111/maps.13413</t>
  </si>
  <si>
    <t>KF0ZG</t>
  </si>
  <si>
    <t>WOS:000502600400001</t>
  </si>
  <si>
    <t>Jara, IA; Moreno, PI; Alloway, BV; Newnham, RM</t>
  </si>
  <si>
    <t>Jara, Ignacio A.; Moreno, Patricio I.; Alloway, Brent V.; Newnham, Rewi M.</t>
  </si>
  <si>
    <t>A 15,400-year long record of vegetation, fire-regime, and climate changes from the northern Patagonian Andes</t>
  </si>
  <si>
    <t>QUATERNARY SCIENCE REVIEWS</t>
  </si>
  <si>
    <t>Nothofagus forest; Disturbance regimes; Southern Westerly Winds; Northern Patagonia; Southern Andes</t>
  </si>
  <si>
    <t>LAST GLACIAL MAXIMUM; POSTGLACIAL VEGETATION; NORTHWESTERN PATAGONIA; SOUTHERN WESTERLIES; ATMOSPHERIC CO2; FOREST DYNAMICS; ISLA GRANDE; HISTORY; CHILE; VARIABILITY</t>
  </si>
  <si>
    <t>Paleoecological studies from the northern Patagonian Andes (40-44 degrees S) have identified past changes in vegetation, fire regimes and paleoclimate since the last glaciation, including variations in strength and position of the Southern Westerly Winds (SWW). The extent to which records west and east of the Andes provide a congruent paleoclimatic history, however, has not been explored in detail in the literature. Physical and biological contrasts are evident between these regions today and are to be expected in paleoclimate reconstructions. In this context, we present pollen and charcoal records from sediment cores collected in Lago Espejo, a small closed-basin lake located in the core sector of the northern Patagonian Andes that spans uninterrupted the last similar to 15,400 years. Following glacier withdrawal, the vegetation surrounding Lago Espejo features scattered Nothofagus woodlands, including relatively thermophilous rainforest trees between similar to 15,400 and 14,400 cal yr BP. The disappearance of these trees and an abrupt rise in Nothofagus at similar to 14,400 cal yr BP mark the establishment of closed-canopy forests during the Antarctic Cold Reversal, followed by increases in the cold-tolerant hygrophilous conifer Podocarpus nubigena during the Younger Dryas (similar to 12,700-11,500 cal yr BP). The Holocene vegetation consists of Nothofagus-dominated forests with modest variation in composition and structure until the present, attesting to the resilience of these forest communities to climate change and natural disturbance regimes. Rapid deforestation, anthropogenic fires and the establishment of artificial meadows with exotic herbs introduced by Europeans at similar to 150 cal yr BP, triggered a rapid, large-magnitude landscape transformation unprecedented in the last 14,000 years. The timing and structure of vegetation changes revealed by the Lago Espejo record suggest that changes in the SWW were the main driver of vegetation and fire regimes in the Andes of northern Patagonia over the last 15,400 years. Comparison between multiple reconstructions from northern Patagonia reveals overall coherent vegetation and fire regime changes in the western and Andean sectors, and a spatially variable and more divergent behaviour in sites located further east. This spatial patter is akin to the present-day correlation between precipitation and SWW in this region. (C) 2019 Elsevier Ltd. All rights reserved.</t>
  </si>
  <si>
    <t>[Jara, Ignacio A.; Newnham, Rewi M.] Victoria Univ Wellington, Sch Geog Environm &amp; Earth Sci, POB 600, Wellington, New Zealand; [Moreno, Patricio I.] Univ Chile, Ctr Estudios Clima &amp; Resiliencia, Nucleo Milenio Paleoclima, Santiago, Chile; [Moreno, Patricio I.] Univ Chile, Dept Ciencias Ecol, Santiago, Chile; [Alloway, Brent V.] Univ Auckland, Sch Environm, Private Bag 92019, Auckland, New Zealand; [Alloway, Brent V.] Pontificia Univ Catolica Chile, Inst Geog, Ave Vicuna Mackenna, Santiago 4860, Chile; [Jara, Ignacio A.] CEAZA, Raul Bitran 1305, La Serena, Chile</t>
  </si>
  <si>
    <t>Victoria University Wellington; Universidad de Chile; Universidad de Chile; University of Auckland; Pontificia Universidad Catolica de Chile</t>
  </si>
  <si>
    <t>Jara, IA (corresponding author), Victoria Univ Wellington, Sch Geog Environm &amp; Earth Sci, POB 600, Wellington, New Zealand.;Jara, IA (corresponding author), CEAZA, Raul Bitran 1305, La Serena, Chile.</t>
  </si>
  <si>
    <t>ignacio.jara@ceaza.cl</t>
  </si>
  <si>
    <t>Moreno, Patricio I/D-2317-2012</t>
  </si>
  <si>
    <t>Conicyt Becas Chile program; Fondecyt [1191435, 3190181]; Millennium Science Initiative of the Ministry of Economy, Development and Tourism, grant Nixie Paleoclima</t>
  </si>
  <si>
    <t>Conicyt Becas Chile program; Fondecyt(Comision Nacional de Investigacion Cientifica y Tecnologica (CONICYT)CONICYT FONDECYT); Millennium Science Initiative of the Ministry of Economy, Development and Tourism, grant Nixie Paleoclima</t>
  </si>
  <si>
    <t>This research was funded by the Conicyt Becas Chile program; Fondecyt postdoctoral grant #3190181; Fondecyt 1191435; and the Millennium Science Initiative of the Ministry of Economy, Development and Tourism, grant Nixie Paleoclima.</t>
  </si>
  <si>
    <t>0277-3791</t>
  </si>
  <si>
    <t>QUATERNARY SCI REV</t>
  </si>
  <si>
    <t>Quat. Sci. Rev.</t>
  </si>
  <si>
    <t>DEC 15</t>
  </si>
  <si>
    <t>10.1016/j.quascirev.2019.106005</t>
  </si>
  <si>
    <t>JU0TT</t>
  </si>
  <si>
    <t>WOS:000501392800005</t>
  </si>
  <si>
    <t>Anker, A; Barwick, SW; Bernhoff, H; Besson, DZ; Bingefors, N; Gaswint, G; Glaser, C; Hallgren, A; Hanson, JC; Lahmann, R; Latif, U; Nam, J; Novikov, A; Klein, SR; Kleinfelder, SA; Nelles, A; Paul, MP; Persichilli, C; Shively, SR; Tatar, J; Unger, E; Wang, SH; Yodh, G</t>
  </si>
  <si>
    <t>Anker, A.; Barwick, S. W.; Bernhoff, H.; Besson, D. Z.; Bingefors, N.; Gaswint, G.; Glaser, C.; Hallgren, A.; Hanson, J. C.; Lahmann, R.; Latif, U.; Nam, J.; Novikov, A.; Klein, S. R.; Kleinfelder, S. A.; Nelles, A.; Paul, M. P.; Persichilli, C.; Shively, S. R.; Tatar, J.; Unger, E.; Wang, S-H.; Yodh, G.</t>
  </si>
  <si>
    <t>Targeting ultra-high energy neutrinos with the ARIANNA experiment</t>
  </si>
  <si>
    <t>ADVANCES IN SPACE RESEARCH</t>
  </si>
  <si>
    <t>Neutrino; Radio; Antarctica; Cosmic ray; Askaryan radiation; ARIANNA</t>
  </si>
  <si>
    <t>RADIO-EMISSION; AIR-SHOWERS; DETECTOR; ICE</t>
  </si>
  <si>
    <t>The measurement of ultra-high energy (UHE) neutrinos (E &gt; 10(16) eV) opens a new field of astronomy with the potential to reveal the sources of ultra-high energy cosmic rays especially if combined with observations in the electromagnetic spectrum and gravitational waves. The ARIANNA pilot detector explores the detection of UHE neutrinos with a surface array of independent radio detector stations in Antarctica which allows for a cost-effective instrumentation of large volumes. Twelve stations are currently operating successfully at the Moore's Bay site (Ross Ice Shelf) in Antarctica and at the South Pole. We will review the current state of ARIANNA and its main results. We report on a newly developed wind generator that successfully operates in the harsh Antarctic conditions and powers the station for a substantial time during the dark winter months. The robust ARIANNA surface architecture, combined with environmentally friendly solar and wind power generators, can be installed at any deep ice location on the planet and operated autonomously. We report on the detector capabilities to determine the neutrino direction by reconstructing the signal arrival direction of a 800 m deep calibration pulser, and the reconstruction of the signal polarization using the more abundant cosmic-ray air showers. Finally, we describe a large-scale design - ARIA - that capitalizes on the successful experience of the ARIANNA operation and is designed sensitive enough to discover the first UHF neutrino. (C) 2019 COSPAR. Published by Elsevier Ltd. All rights reserved.</t>
  </si>
  <si>
    <t>[Anker, A.; Barwick, S. W.; Gaswint, G.; Glaser, C.; Lahmann, R.; Paul, M. P.; Persichilli, C.; Shively, S. R.; Tatar, J.; Yodh, G.] Univ Calif Irvine, Dept Phys &amp; Astron, Irvine, CA 92697 USA; [Bernhoff, H.] Uppsala Univ, Dept Engn Sci, Div Elect, SE-75237 Uppsala, Sweden; [Besson, D. Z.; Latif, U.; Novikov, A.] Univ Kansas, Dept Phys &amp; Astron, Lawrence, KS 66045 USA; [Besson, D. Z.; Novikov, A.] Natl Res Nucl Univ, MEPhI Moscow Engn Phys Inst, Moscow 115409, Russia; [Bingefors, N.; Hallgren, A.; Unger, E.] Uppsala Univ, Dept Phys &amp; Astron, SE-75237 Uppsala, Sweden; [Hanson, J. C.] Whittier Coll, Dept Phys, Whittier, CA 90602 USA; [Lahmann, R.] Friedrich Alexander Univ Erlangen Nurnberg, ECAP, D-91058 Erlangen, Germany; [Nam, J.; Wang, S-H.] Natl Taiwan Univ, Dept Phys, Taipei 10617, Taiwan; [Nam, J.; Wang, S-H.] Natl Taiwan Univ, Leung Ctr Cosmol &amp; Particle Astrophys, Taipei 10617, Taiwan; [Klein, S. R.] Lawrence Berkeley Natl Lab, Berkeley, CA 94720 USA; [Kleinfelder, S. A.] Univ Calif Irvine, Dept Elect Engn &amp; Comp Sci, Irvine, CA 92697 USA; [Nelles, A.] DESY, D-15738 Zeuthen, Germany; [Nelles, A.] Humbolt Univ Berlin, Inst Phys, D-12489 Berlin, Germany; [Tatar, J.] Univ Calif Irvine, Res Cyberinfrastruct Ctr, Irvine, CA 92697 USA</t>
  </si>
  <si>
    <t>University of California System; University of California Irvine; Uppsala University; University of Kansas; National Research Nuclear University MEPhI (Moscow Engineering Physics Institute); Uppsala University; Whittier College; University of Erlangen Nuremberg; National Taiwan University; National Taiwan University; United States Department of Energy (DOE); Lawrence Berkeley National Laboratory; University of California System; University of California Irvine; Helmholtz Association; Deutsches Elektronen-Synchrotron (DESY); Humboldt University of Berlin; University of California System; University of California Irvine</t>
  </si>
  <si>
    <t>Glaser, C (corresponding author), Univ Calif Irvine, Dept Phys &amp; Astron, Irvine, CA 92697 USA.</t>
  </si>
  <si>
    <t>christian.glaser@uci.edu</t>
  </si>
  <si>
    <t>Novikov, Alexander S/L-7538-2016; Lahmann, Robert/L-7461-2015; Glaser, Christian/R-3021-2019; Nelles, Anna/AAU-1193-2020</t>
  </si>
  <si>
    <t>Glaser, Christian/0000-0001-5998-2553; Nelles, Anna/0000-0002-1720-6350; Wang, Shih-Hao/0000-0002-0060-7975; Hanson, Jordan/0000-0003-4055-4553; Lahmann, Robert/0009-0005-5493-1702; Novikov, Alexander/0000-0002-1086-7252</t>
  </si>
  <si>
    <t>U.S. National Science Foundation-Physics Division [NSF 1607719]; German Research Foundation (DFG) [NE 2031/2-1, GL 914/1-1]; Taiwan Ministry of Science and Technology; Swedish Government; Uppsala university - Knut and Alice Wallenberg Foundation; C.F. Liljewalch travel scholarships; MEPhI [02.a03.21.0005]; Megagrant 2013 program of Russia [14.12.31.0006]</t>
  </si>
  <si>
    <t>U.S. National Science Foundation-Physics Division(National Science Foundation (NSF)); German Research Foundation (DFG)(German Research Foundation (DFG)); Taiwan Ministry of Science and Technology; Swedish Government; Uppsala university - Knut and Alice Wallenberg Foundation; C.F. Liljewalch travel scholarships; MEPhI; Megagrant 2013 program of Russia</t>
  </si>
  <si>
    <t>We are grateful to the U.S. National Science Foundation-Office of Polar Programs, the U.S. National Science Foundation-Physics Division (grant NSF 1607719) and the U.S. Department of Energy. We thank generous support from the German Research Foundation (DFG), grant NE 2031/2-1 and GL 914/1-1, the Taiwan Ministry of Science and Technology. H. Bernhoff acknowledge support from the Swedish Government strategic program Stand Up for Energy. E. Unger acknowledge support from the Uppsala university Vice-Chancellor's travel grant (sponsored by the Knut and Alice Wallenberg Foundation) and the C.F. Liljewalch travel scholarships. D. Besson and A. Novikov acknowledge support from the MEPhI Academic Excellence Project (Contract No. 02.a03.21.0005) and the Megagrant 2013 program of Russia, via agreement 14.12.31.0006 from 24.06.2013</t>
  </si>
  <si>
    <t>0273-1177</t>
  </si>
  <si>
    <t>1879-1948</t>
  </si>
  <si>
    <t>ADV SPACE RES</t>
  </si>
  <si>
    <t>Adv. Space Res.</t>
  </si>
  <si>
    <t>10.1016/j.asr.2019.06.016</t>
  </si>
  <si>
    <t>Engineering, Aerospace; Astronomy &amp; Astrophysics; Geosciences, Multidisciplinary; Meteorology &amp; Atmospheric Sciences</t>
  </si>
  <si>
    <t>Engineering; Astronomy &amp; Astrophysics; Geology; Meteorology &amp; Atmospheric Sciences</t>
  </si>
  <si>
    <t>JU1BQ</t>
  </si>
  <si>
    <t>hybrid, Green Published, Green Submitted</t>
  </si>
  <si>
    <t>WOS:000501413300020</t>
  </si>
  <si>
    <t>Yue, LY; Kong, WD; Ji, MK; Liu, JB; Morgan-Kiss, RM</t>
  </si>
  <si>
    <t>Yue, Linyan; Kong, Weidong; Ji, Mukan; Liu, Jinbo; Morgan-Kiss, Rachael M.</t>
  </si>
  <si>
    <t>Community response of microbial primary producers to salinity is primarily driven by nutrients in lakes</t>
  </si>
  <si>
    <t>cbbL; Lake waters; Microbial primary producers; Nutrient; Salinity</t>
  </si>
  <si>
    <t>SUBUNIT GENES CBBL; CLIMATE-CHANGE; TIBETAN PLATEAU; CARBON-FIXATION; BACTERIAL COMMUNITIES; NITROGEN DEPOSITION; ANTARCTIC LAKES; ORGANIC-CARBON; FRESH-WATER; SALT-LAKE</t>
  </si>
  <si>
    <t>Higher microbial diversity was frequently observed in saline than fresh waters, but the underlying mechanisms remains unknown, particularly in microbial primary producers (MPP). MPP abundance and activity are notably constrained by high salinity, but facilitated by high nutrients. It remains to be ascertained whether and how nutrients regulate the salinity constraints on MPP abundance and community structure. Here we investigated the impact of nutrients on salinity constraints on MPP abundance and diversity in undisturbed lakes with a wide salinity range on the Tibetan Plateau. MPP community was explored using quantitative PCR, terminal restriction fragment length polymorphism and sequencing of cloning libraries targeting form IC cbbL gene. The MPP community structure was sorted by salinity into freshwater (salinity&lt;1 parts per thousand), saline (1 parts per thousand &lt; salinity&lt;29 parts per thousand) and hypersaline (salinity&gt;29 parts per thousand) lakes. Furthermore, while MPP abundance, diversity and richness were significantly constrained with increasing salinity, these constraints were mitigated by enhancing total organic carbon (TOC) and total nitrogen (TN) contents in freshwater and saline lakes. In contrast, the MPP diversity increased significantly with the salinity in hypersaline lakes, due to the mitigation of enhancing TOC and TN contents and salt-tolerant MPP taxa. The mitigating effect of nutrients was more pronounced in saline than in freshwater and hypersaline lakes. The MPP compositions varied along salinity, with Betaproteobacteria dominating both the freshwater and saline lakes and Gammaproteobacteria dominating the hypersaline lakes. We concluded that high nutrients could mitigate the salinity constraining effects on MPP abundance, community richness and diversity. Our findings offer a novel insight into the salinity effects on primary producers and highlight the interactive effects of salinity and nutrients on MPP in lakes. These findings can be used as a baseline to illuminate the effects of increased anthropogenic activities altering nutrient dynamics on the global hydrological cycle and the subsequent responses thereof by MPP communities. (C) 2019 Elsevier B.V. All rights reserved.</t>
  </si>
  <si>
    <t>[Yue, Linyan; Kong, Weidong; Ji, Mukan] Chinese Acad Sci, Inst Tibetan Plateau Res, Key Lab Alpine Ecol LAE, Beijing 100101, Peoples R China; [Yue, Linyan; Kong, Weidong; Ji, Mukan] Univ Chinese Acad Sci, Coll Resources &amp; Environm, Beijing 100039, Peoples R China; [Kong, Weidong] Chinese Acad Sci, CAS Ctr Excellence Tibetan Plateau Earth Sci, Beijing 100101, Peoples R China; [Liu, Jinbo] Southwest Med Univ, Dept Hepatobiliary Surg, Affiliated Hosp, Luzhou 646000, Peoples R China; [Morgan-Kiss, Rachael M.] Miami Univ, Dept Microbiol, Oxford, OH 45056 USA</t>
  </si>
  <si>
    <t>Chinese Academy of Sciences; Institute of Tibetan Plateau Research, CAS; Chinese Academy of Sciences; University of Chinese Academy of Sciences, CAS; Chinese Academy of Sciences; Southwest Medical University; University System of Ohio; Miami University</t>
  </si>
  <si>
    <t>Kong, WD (corresponding author), Bldg 3,Courtyard 16,Liricui Rd, Beijing 100101, Peoples R China.</t>
  </si>
  <si>
    <t>wdkong@itpcas.ac.cn</t>
  </si>
  <si>
    <t>Kong, Weidong/H-7432-2012; Ji, Mukan/AAI-5743-2020</t>
  </si>
  <si>
    <t>Kong, Weidong/0000-0001-9682-1484; Ji, Mukan/0000-0001-8139-2875</t>
  </si>
  <si>
    <t>Chinese Academy of Sciences [XDA19070304, XDA20050101, KZZD-EW-TZ-14]; National Natural Science Foundation of China [41471054, 41771303]; Ministry of Science and Technology of the People's Republic of China [2015FY110100]; National Science Foundation of the United States [OPP-1637708]</t>
  </si>
  <si>
    <t>Chinese Academy of Sciences(Chinese Academy of Sciences); National Natural Science Foundation of China(National Natural Science Foundation of China (NSFC)); Ministry of Science and Technology of the People's Republic of China(Ministry of Science and Technology, China); National Science Foundation of the United States(National Science Foundation (NSF))</t>
  </si>
  <si>
    <t>The authors thank Dr. Kang Zhao, Dr. Guangxia Guo and Ms. Jing Gao for lake water sampling assistance in fields. This study was financially supported by Chinese Academy of Sciences (XDA19070304, XDA20050101 and KZZD-EW-TZ-14), National Natural Science Foundation of China (41471054 and 41771303) and Ministry of Science and Technology of the People's Republic of China (2015FY110100). RMK was supported by National Science Foundation of the United States (OPP-1637708).</t>
  </si>
  <si>
    <t>10.1016/j.scitotenv.2019.134001</t>
  </si>
  <si>
    <t>JQ2RR</t>
  </si>
  <si>
    <t>WOS:000498798600031</t>
  </si>
  <si>
    <t>Davidson, J; Schrader, DL; Alexander, CMO; Nittler, LR; Bowden, R</t>
  </si>
  <si>
    <t>Davidson, Jemma; Schrader, Devin L.; Alexander, Conel M. O'D; Nittler, Larry R.; Bowden, Roxane</t>
  </si>
  <si>
    <t>Re-examining thermal metamorphism of the Renazzo-like (CR) carbonaceous chondrites: Insights from pristine Miller Range 090657 and shock-heated Graves Nunataks 06100</t>
  </si>
  <si>
    <t>CR chondrites; Pristine meteorites; Primitive meteorites; Presolar grains; MIL 090657; GRA 06100</t>
  </si>
  <si>
    <t>INSOLUBLE ORGANIC-MATTER; FE-NI METAL; AQUEOUS ALTERATION; PARENT BODY; CRYSTALLINE SILICATES; PRIMITIVE METEORITES; OXYGEN ISOTOPES; PRESOLAR GRAINS; HIGH ABUNDANCES; SOLID-SOLUTION</t>
  </si>
  <si>
    <t>We re-examine the Renazzo-like (CR) chondrite metamorphic trend based on Cr2O3 contents of FeO-rich olivine, indicating that it is only appropriate to use such analyses to identify the endmembers of this group (i.e., those that have experienced either no detectable heating or significant heating). As such Miller Range (MIL) 090657 appears to have experienced very minimal (if any) thermal processing and is one of the most pristine CR chondrites analyzed to date, while Graves Nunataks 06100 is the most shock-heated CR chondrite studied. On the basis of bulk H-C-N isotopic compositions, MIL 090657 appears to be of petrological type 2.7. We also report the H-C-N isotopic compositions of extracted insoluble organic matter, in situ chemical compositional data, presolar grain abundances, and a petrologic description of MIL 090657. As a minimally altered CR chondrite of relatively high mass (133.1 g), MIL 090657 provides an invaluable opportunity to perform coordinated, often destructive, analyses on pristine CR chondrite material. By combining a number of petrographic characteristics (Cr2O3-content of ferroan olivine, Co/Ni ratios of Fe,Ni metal, ratios of Fe# in chondrule olivine and low-Ca pyroxene, and the presence of excess silica in chondrule plagioclase) with bulk isotopic compositions, we demonstrate their utility as indicators for determining the relative pristinity/heating of low petrographic (type 1-3) chondrites. (C) 2019 Elsevier Ltd. All rights reserved.</t>
  </si>
  <si>
    <t>[Davidson, Jemma; Alexander, Conel M. O'D; Nittler, Larry R.] Carnegie Inst Sci, Dept Terr Magnetism, 5241 Broad Branch Rd, Washington, DC 20015 USA; [Davidson, Jemma; Schrader, Devin L.] Arizona State Univ, Ctr Meteorite Studies, Sch Earth &amp; Space Explorat, 781 East Terrace Rd, Tempe, AZ 85287 USA; [Bowden, Roxane] Carnegie Inst Sci, Geophys Lab, 5251 Broad Branch Rd, Washington, DC 20015 USA</t>
  </si>
  <si>
    <t>Carnegie Institution for Science; Arizona State University; Arizona State University-Tempe; Carnegie Institution for Science</t>
  </si>
  <si>
    <t>Davidson, J (corresponding author), Arizona State Univ, Ctr Meteorite Studies, Sch Earth &amp; Space Explorat, 781 East Terrace Rd, Tempe, AZ 85287 USA.</t>
  </si>
  <si>
    <t>jdavidson@asu.edu</t>
  </si>
  <si>
    <t>Davidson, Jemma/ABB-2655-2021; Schrader, Devin L/H-6293-2012; Alexander, Conel M. O'D./N-7533-2013</t>
  </si>
  <si>
    <t>Davidson, Jemma/0000-0002-3725-2960; Alexander, Conel M. O'D./0000-0002-8558-1427; Schrader, Devin/0000-0001-5282-232X</t>
  </si>
  <si>
    <t>NSF; NASA [NNX11AG67G, NNX10AI63G, NNX11AB40G, NNX17AE53G]; Arizona State University Center for Meteorite Studies; NASA [1002623, NNX11AG67G, 150036, NNX17AE53G, 144076, NNX11AB40G] Funding Source: Federal RePORTER</t>
  </si>
  <si>
    <t>NSF(National Science Foundation (NSF)); NASA(National Aeronautics &amp; Space Administration (NASA)); Arizona State University Center for Meteorite Studies; NASA(National Aeronautics &amp; Space Administration (NASA))</t>
  </si>
  <si>
    <t>We thank Ken Domanik (UA), Tim Rose, Emma Bullock, and Steve Lynton (SI), and J.T. Armstrong (CIW) for assistance with the electron microprobes. This manuscript was significantly improved by helpful reviews from Alan Rubin, Travis Tenner, an anonymous reviewer, and the editorial expertise of AE Sara Russell. US Antarctic meteorite samples are recovered by the Antarctic Search for Meteorites (ANSMET) program, which has been funded by NSF and NASA, and characterized and curated by the Department of Mineral Sciences of the Smithsonian Institution and the Astromaterials Acquisition and Curation Office at NASA Johnson Space Center. This work was funded by NASA grants NNX11AG67G (PI: CMODA), NNX10AI63G and NNX11AB40G (PI: LRN), and NNX17AE53G (PI: DLS), and the Arizona State University Center for Meteorite Studies.</t>
  </si>
  <si>
    <t>10.1016/j.gca.2019.09.033</t>
  </si>
  <si>
    <t>JG1YE</t>
  </si>
  <si>
    <t>WOS:000491872600014</t>
  </si>
  <si>
    <t>Ganeshan, M; Yang, YK</t>
  </si>
  <si>
    <t>Ganeshan, Manisha; Yang, Yuekui</t>
  </si>
  <si>
    <t>Evaluation of the Antarctic Boundary Layer Thermodynamic Structure in MERRA2 Using Dropsonde Observations from the Concordiasi Campaign</t>
  </si>
  <si>
    <t>Antarctic boundary layer; MERRA2; thermodynamic structure; reanalyses; planetary boundary layer; dropsondes</t>
  </si>
  <si>
    <t>DOME-C; PART I; SURFACE; MODEL; CLIMATE; TURBULENCE; TEMPERATURE; RADIATION; PLATEAU; WEATHER</t>
  </si>
  <si>
    <t>Recent high-resolution dropsonde observations from the 2010 Concordiasi field campaign in austral spring season show that surface-based inversions (SBIs) over Antarctica are frequently eroded, with well-mixed boundary layers occurring 33% and 18% of the time in West and East Antarctica, respectively. In this study, using the dropsonde observations, we evaluate the performance of the Modern-Era Retrospective analysis for Research and Applications, version 2 (MERRA2) in representing the Antarctic boundary layer thermodynamic structure. Results show that MERRA2 has a good overall representation of the Antarctic surface stability and correctly predicts 82% of the SBIs. However, an underprediction of less stable boundary layer occurrence, especially over the elevated East Antarctic plateau, is favored during conditions of increased lower tropospheric stability associated with model dynamics, indicating difficulty in parameterizing turbulence in very stable boundary layers. In addition, a lower tropospheric cool bias (first model level and above) is observed in the MERRA2 reanalysis, especially over West Antarctica, which amplifies in the boundary layer during mixed conditions. The near-surface cold bias is most pronounced when the model fails to predict mixed layers over West Antarctica and is expected to negatively impact the representation of surface energy budget and melt processes.</t>
  </si>
  <si>
    <t>[Ganeshan, Manisha] USRA, Goddard Earth Sci Technol &amp; Res, Greenbelt, MD 20771 USA; [Ganeshan, Manisha; Yang, Yuekui] NASA, Goddard Space Flight Ctr, Greenbelt, MD 20771 USA</t>
  </si>
  <si>
    <t>National Aeronautics &amp; Space Administration (NASA); NASA Goddard Space Flight Center</t>
  </si>
  <si>
    <t>Ganeshan, M (corresponding author), USRA, Goddard Earth Sci Technol &amp; Res, Greenbelt, MD 20771 USA.;Ganeshan, M (corresponding author), NASA, Goddard Space Flight Ctr, Greenbelt, MD 20771 USA.</t>
  </si>
  <si>
    <t>mganeshan@usra.edu</t>
  </si>
  <si>
    <t>Yang, Yuekui/B-4326-2015</t>
  </si>
  <si>
    <t>Yang, Yuekui/0000-0002-1630-272X; Ganeshan, Manisha/0000-0001-7824-9111</t>
  </si>
  <si>
    <t>NASA CloudSat/CALIPSO Science Team Recompete program; NASA ICESat-2 Science Definition Team program</t>
  </si>
  <si>
    <t>This research was supported by the NASA CloudSat/CALIPSO Science Team Recompete program and the NASA ICESat-2 Science Definition Team program. The authors would like to thank Dr. Andrea Molod and Dr. Richard Cullather for their valuable inputs on the MERRA2 data set. The dropsonde data used are listed in the references and may be found at https://www.eol.ucar.edu/field_projects/concordiasi. MERRA2 data used may be downloaded at https://disc.gsfc.nasa.gov/.</t>
  </si>
  <si>
    <t>10.1029/2019EA000890</t>
  </si>
  <si>
    <t>WOS:000502470500001</t>
  </si>
  <si>
    <t>The Latitudinal Variability of Oceanic Rainfall Properties and Its Implication for Satellite Retrievals: 1. Drop Size Distribution Properties</t>
  </si>
  <si>
    <t>RAINDROP SPECTRA; MODEL; PARAMETERS; ALGORITHM; REPRESENT</t>
  </si>
  <si>
    <t>In this study, we analyze an in situ shipboard global ocean drop size distribution (DSD) 8-year database to understand the underpinning microphysical reasons for discrepancies between satellite oceanic rainfall products at high latitudes reported in the literature. The natural, latitudinal, and convective-stratiform variability of the DSD is found to be large, with a substantially lower drop concentration with diameter smaller than 3 mm in the Southern hemisphere high latitude (S-highlat, south of 45 degrees S) and Northern Hemisphere polar latitude (N-polar, north of 67.5 degrees S) bands, which is where satellite rainfall products most disagree. In contrast, the latitudinal variability of the normalized oceanic DSD is small, implying that the functional form of the normalized DSD can be assumed constant and accurately parameterized using proposed fits. The S-highlat and N-polar latitude bands stand out as regions with oceanic rainfall properties different from other latitudes, highlighting fundamental differences in rainfall processes at different latitudes and associated specific challenges for satellite rainfall retrieval techniques. The most salient differences in DSD properties between these two regions and the other latitude bands are: (1) a systematically higher (lower) frequency of occurrence of rainfall rates below (above) 1 mm h(-1), (2) much lower drop concentrations, (3) very different values of the DSD shape parameter (mu(0)) from what is currently assumed in satellite radar rainfall algorithms, and (4) very different DSD properties in both the convective and stratiform rainfall regimes. Overall, this study provides insights into how DSD assumptions in satellite radar rainfall retrieval techniques could be refined.</t>
  </si>
  <si>
    <t>[Protat, Alain] Australian Bur Meteorol, Melbourne, Vic, Australia; [Klepp, Christian] Max Planck Inst Meteorol, Hamburg, Germany; [Louf, Valentin] Monash Univ, Sch Earth Atmosphere &amp; Environm, Melbourne, Vic, Australia; [Petersen, Walter A.] NASA, Earth Sci Branch, Marshall Space Flight Ctr, Huntsville, AL USA; [Alexander, Simon P.] Australian Antarctic Div, Hobart, Tas, Australia; [Barros, Ana] Duke Univ, Durham, NC USA; [Leinonen, Jussi] Ecole Polytech Fed Lausanne, Lausanne, Switzerland; [Mace, Gerald G.] Univ Utah, Salt Lake City, UT USA</t>
  </si>
  <si>
    <t>Bureau of Meteorology - Australia; Max Planck Society; Melbourne Genomics Health Alliance; Monash University; National Aeronautics &amp; Space Administration (NASA); Australian Antarctic Division; Duke University; Swiss Federal Institutes of Technology Domain; Ecole Polytechnique Federale de Lausanne; Utah System of Higher Education; University of Utah</t>
  </si>
  <si>
    <t>Leinonen, Jussi/0000-0002-6560-6316; Alexander, Simon/0000-0001-6823-8857; Louf, Valentin/0000-0001-8133-3031; Barros, Ana/0000-0003-4606-3106</t>
  </si>
  <si>
    <t>National Environmental Science Program (NESP), Australia; Initiative Pro Klima (Mabanaft); Initiative Pro Klima (Mabanaft Deutschland); Initiative Pro Klima (Petronord); Initiative Pro Klima (OIL! Tankstellen GmbH Co. KG); CliSAP/CEN; University of Hamburg; Max Planck Society (MPG); Australian Antarctic program [4387]; NASA PMM; GPM NASA Ground Validation Program</t>
  </si>
  <si>
    <t>National Environmental Science Program (NESP), Australia; Initiative Pro Klima (Mabanaft); Initiative Pro Klima (Mabanaft Deutschland); Initiative Pro Klima (Petronord); Initiative Pro Klima (OIL! Tankstellen GmbH Co. KG); CliSAP/CEN; University of Hamburg; Max Planck Society (MPG)(Max Planck Society); Australian Antarctic program; NASA PMM; GPM NASA Ground Validation Program</t>
  </si>
  <si>
    <t>This study was partly funded by the National Environmental Science Program (NESP), Australia. The sustained funding by Initiative Pro Klima (Mabanaft, Mabanaft Deutschland, Petronord and OIL! Tankstellen GmbH &amp; Co. KG) enabled the development, operation and research on OceanRAIN. We greatly appreciate this support and gratefully thank Tanja Thiele, Gerhard Grambow, Volker Tiedemann, Ulrich Freudental and Jan Falke. The project was hosted and co-funded by CliSAP/CEN, University of Hamburg, and the Max Planck Society (MPG). The authors wish to acknowledge the contribution of the Australian Marine National Facility MNF (Brett Muir and Will Ponsonby) for their help setting up and taking care of the ODM470 disdrometer on RV Investigator, and Dr. Toshio Iguchi from the National Institute of Information and Communications Technology, Japan, for useful discussions about details of the GPM dualfrequency radar rainfall algorithm. The Australian Antarctic Division's contribution was supported by project 4387 of the Australian Antarctic program. W. Petersen acknowledges the NASA PMM funding support provided by Dr. G. Skofronick-Jackson and the GPM NASA Ground Validation Program. All OceanRAIN data used in this study are publicly available through the website http://www.oceanrain.org/and the World Data Center for Climate (WDCC, data referenced as Klepp et al., 2017a, Klepp et al., 2017b).</t>
  </si>
  <si>
    <t>10.1029/2019JD031010</t>
  </si>
  <si>
    <t>WOS:000502496100001</t>
  </si>
  <si>
    <t>Pittman, NA; Strutton, PG; Johnson, R; Matear, RJ</t>
  </si>
  <si>
    <t>Pittman, Nicholas A.; Strutton, Peter G.; Johnson, Robert; Matear, Richard J.</t>
  </si>
  <si>
    <t>An Assessment and Improvement of Satellite Ocean Color Algorithms for the Tropical Pacific Ocean</t>
  </si>
  <si>
    <t>equatorial Pacific; chlorophyll algorithm; ocean color; regional ocean color algorithm; SeaWiFS; MODIS-Aqua</t>
  </si>
  <si>
    <t>EL-NINO; EQUATORIAL PACIFIC; DATA PRODUCTS; CHLOROPHYLL ALGORITHMS; NEURAL-NETWORK; VARIABILITY; SEA; RECORDS; TRENDS; PCO(2)</t>
  </si>
  <si>
    <t>The tropical Pacific Ocean is a globally significant region of climate-driven biogeochemical variability. Satellite ocean color algorithms have been used for over 20 years, providing a substantial historical record of global ocean chlorophyll-a variability. Current chlorophyll algorithms perform better in the tropical Pacific than for the globe. Nevertheless, improvements can be made to produce a robust historical record of chlorophyll variability, which is essential to accurately identify ocean-atmosphere carbon fluxes and long-term trends in ocean productivity. We use a large in situ chlorophyll database to tune empirical ocean color algorithms to reduce bias in the equatorial Pacific. Traditional band ratio chlorophyll algorithms (OCx) perform adequately but exhibit errors at low chlorophyll concentrations. A new algorithm, the Ocean Color Index (OCI; Hu et al., 2012, https://doi.org/10.1029/2011JC007395), is more effective at calculating low chlorophyll concentrations in the mesotrophic tropical Pacific Ocean. Existing ocean color algorithms underestimate tropical Pacific chlorophyll by 5.8%, 14%, and 2% for three satellite ocean color sensors: SeaWiFS, MODIS-Aqua, and MERIS. In this paper, we develop regionally tuned sensor-specific coefficients and blending windows between the OCI to OCx algorithms to reduce systematic biases in the tropical Pacific. We assess cross-sensor consistency to produce robust 21-year time series trends. These updated estimates increase chlorophyll concentrations in open water and decrease around island and warm-pool regions, with implications for our understanding of El Nino-Southern Oscillation driven carbon fluxes and net primary productivity.</t>
  </si>
  <si>
    <t>[Pittman, Nicholas A.; Strutton, Peter G.; Johnson, Robert] Univ Tasmania, Inst Marine &amp; Antarctic Studies, Hobart, Tas, Australia; [Pittman, Nicholas A.; Strutton, Peter G.] Univ Tasmania, Australian Res Council, Ctr Excellence Climate Extremes, Hobart, Tas, Australia; [Matear, Richard J.] Commonwealth Sci &amp; Ind Res Org, Hobart, Tas, Australia</t>
  </si>
  <si>
    <t>University of Tasmania; University of Tasmania; Commonwealth Scientific &amp; Industrial Research Organisation (CSIRO)</t>
  </si>
  <si>
    <t>Pittman, NA; Strutton, PG (corresponding author), Univ Tasmania, Inst Marine &amp; Antarctic Studies, Hobart, Tas, Australia.;Pittman, NA; Strutton, PG (corresponding author), Univ Tasmania, Australian Res Council, Ctr Excellence Climate Extremes, Hobart, Tas, Australia.</t>
  </si>
  <si>
    <t>nic.pittman@utas.edu.au; peter.strutton@utas.edu.au</t>
  </si>
  <si>
    <t>; matear, richard/C-5133-2011; Johnson, Robert/E-7321-2012; Strutton, Peter/C-4466-2011</t>
  </si>
  <si>
    <t>Pittman, Nicholas/0000-0002-4632-7223; matear, richard/0000-0002-3225-0800; Johnson, Robert/0000-0002-5915-5416; Strutton, Peter/0000-0002-2395-9471</t>
  </si>
  <si>
    <t>ARC Centre of Excellence for Climate Extremes [CE170100023]; Australian Government</t>
  </si>
  <si>
    <t>ARC Centre of Excellence for Climate Extremes; Australian Government(Australian Government)</t>
  </si>
  <si>
    <t>N. P. and P. S. acknowledge support from the ARC Centre of Excellence for Climate Extremes (CE170100023). This research was undertaken with the assistance of resources and services from the National Computational Infrastructure (NCI), which is supported by the Australian Government. We would like to thank NASA/Goddard Space Flight Center for freely providing satellite chlorophyll data for SeaWiFS, MODIS-Aqua, and MERIS. Python 3.7 was used here for analysis, with packages including xarray, Numpy, Scipy, Pandas, and Matplotlib. The TPCA algorithm Python source code and matchup database is available from Pittman (2019a), and the TPCA reprocessed satellite data is available from Pittman (2019b).</t>
  </si>
  <si>
    <t>10.1029/2019JC015498</t>
  </si>
  <si>
    <t>WOS:000502495900001</t>
  </si>
  <si>
    <t>Mendonça, RRS; Wang, C; Braga, CR; Echer, E; Dal Lago, A; Costa, JER; Munakata, K; Li, H; Liu, Z; Raulin, JP; Kuwabara, T; Kozai, M; Kato, C; Rockenbach, M; Schuch, NJ; Al Jassar, HK; Sharma, MM; Tokumaru, M; Duldig, ML; Humble, JE; Evenson, P; Sabbah, I</t>
  </si>
  <si>
    <t>Mendonca, R. R. S.; Wang, C.; Braga, C. R.; Echer, E.; Dal Lago, A.; Costa, J. E. R.; Munakata, K.; Li, H.; Liu, Z.; Raulin, J-P; Kuwabara, T.; Kozai, M.; Kato, C.; Rockenbach, M.; Schuch, N. J.; Al Jassar, H. K.; Sharma, M. M.; Tokumaru, M.; Duldig, M. L.; Humble, J. E.; Evenson, P.; Sabbah, I</t>
  </si>
  <si>
    <t>Analysis of Cosmic Rays' Atmospheric Effects and Their Relationships to Cutoff Rigidity and Zenith Angle Using Global Muon Detector Network Data</t>
  </si>
  <si>
    <t>cosmic rays; atmospheric effects; pressure effect; temperature effect; geomagnetic cutoff rigidity; zenith angle</t>
  </si>
  <si>
    <t>PRECURSORS</t>
  </si>
  <si>
    <t>Cosmic rays are charged particles whose flux observed at Earth shows temporal variations related to space weather phenomena and may be an important tool to study them. The cosmic ray intensity recorded with ground-based detectors also shows temporal variations arising from atmospheric variations. In the case of muon detectors, the main atmospheric effects are related to pressure and temperature changes. In this work, we analyze both effects using data recorded by the Global Muon Detector Network, consisting of four multidirectional muon detectors at different locations, in the period between 2007 and 2016. For each Global Muon Detector Network directional channel, we obtain coefficients that describe the pressure and temperature effects. We then analyze how these coefficients can be related to the geomagnetic cutoff rigidity and zenith angle associated with cosmic ray particles observed by each channel. In the pressure effect analysis, we found that the observed barometric coefficients show a very clear logarithmic correlation with the cutoff rigidity divided by the zenith angle cosine. On the other hand, the temperature coefficients show a good logarithmic correlation with the product of the cutoff and zenith angle cosine after adding a term proportional to the sine of geographical latitude of the observation site. This additional term implies that the temperature effect measured in the Northern Hemisphere detectors is stronger than that observed in the Southern Hemisphere. The physical origin of this term and of the good correlations found in this analysis should be studied in detail in future works.</t>
  </si>
  <si>
    <t>[Mendonca, R. R. S.; Wang, C.; Li, H.; Liu, Z.] Chinese Acad Sci, Natl Space Sci Ctr, State Key Lab Space Weather, Beijing, Peoples R China; [Mendonca, R. R. S.; Braga, C. R.; Echer, E.; Dal Lago, A.; Costa, J. E. R.; Rockenbach, M.; Schuch, N. J.] Natl Inst Space Res, Sao Jose Dos Campos, SP, Brazil; [Munakata, K.; Kato, C.] Shinshu Univ, Phys Dept, Matsumoto, Nagano, Japan; [Raulin, J-P] Univ Prebiteriana Mackenzie, Engn Sch, Tenter Radio Astron &amp; Astrophys Mackenzie, Sao Paulo, SP, Brazil; [Kuwabara, T.] Chiba Univ, Grad Sch Sci, Chiba, Japan; [Kozai, M.] Japan Aerosp Explorat Agcy, Inst Space &amp; Astronaut Sci, Sagamihara, Kanagawa, Japan; [Al Jassar, H. K.; Sharma, M. M.] Kuwait Univ, Phys Dept, Kuwait, Kuwait; [Tokumaru, M.] Nagoya Univ, Inst Space Earth Environm Res, Nagoya, Aichi, Japan; [Duldig, M. L.; Humble, J. E.] Univ Tasmania, Sch Nat Sci, Hobart, Tas, Australia; [Evenson, P.] Univ Delaware, Dept Phys &amp; Astron, Bartol Res Inst, Newark, DE 19716 USA; [Sabbah, I] Publ Author Appl Educ &amp; Training, Coll Technol Studies, Dept Appl Sci, Shuwaikh, Kuwait</t>
  </si>
  <si>
    <t>Chinese Academy of Sciences; National Space Science Center, CAS; Instituto Nacional de Pesquisas Espaciais (INPE); Shinshu University; Universidade Presbiteriana Mackenzie; Chiba University; Japan Aerospace Exploration Agency (JAXA); Institute of Space &amp; Astronautical Science (ISAS); Kuwait University; Nagoya University; University of Tasmania; University of Delaware; Public Authority for Applied Education &amp; Training (PAAET) - Kuwait</t>
  </si>
  <si>
    <t>Mendonça, RRS (corresponding author), Chinese Acad Sci, Natl Space Sci Ctr, State Key Lab Space Weather, Beijing, Peoples R China.;Mendonça, RRS (corresponding author), Natl Inst Space Res, Sao Jose Dos Campos, SP, Brazil.</t>
  </si>
  <si>
    <t>rafael.mendonca@inpe.br</t>
  </si>
  <si>
    <t>Raulin, Jean-Pierre/A-4109-2015; Costa, Joaquim E R/AFW-3750-2022; Mendonça, Rafael/J-6648-2016; Echer, Ezequiel/AFP-7220-2022; Li, Hui/L-7677-2019; AlJassar, Hala/Y-3030-2019; Schuch, Nelson Jorge/K-9730-2015; Rockenbach, Marlos/C-1711-2012; Dal Lago, Alisson/H-6511-2017</t>
  </si>
  <si>
    <t>Raulin, Jean-Pierre/0000-0002-7501-3231; Echer, Ezequiel/0000-0002-8351-6779; Li, Hui/0000-0002-4839-4614; Braga, Carlos Roberto/0000-0003-1485-9564; Costa, Joaquim/0000-0002-0703-4735; AlJassar, Hala/0000-0002-4486-237X; Munakata, Kazuoki/0000-0002-2131-4100; Rockenbach, Marlos/0000-0002-9737-9429; /0000-0002-0417-6877; Dal Lago, Alisson/0000-0002-4361-6492; Duldig, Marcus/0000-0001-7463-8267</t>
  </si>
  <si>
    <t>Institute for Space-Earth Environmental Research (ISEE), Nagoya University; Institute for Cosmic Ray Research (ICRR), University of Tokyo; Nagoya University; INPE; UFSM; Australian Antarctic Division; Research Administration of Kuwait University [SP01/09]; CNPq [304209/2014-7, PQ 302583/2015-7, 312066/2016-3]; Sao Paulo Research Foundation (FAPESP) [2017/21270-7, 2014/24711-6]; FAPESP [2018/21657-1]; CAPES [88881.310386/2018-01]</t>
  </si>
  <si>
    <t>Institute for Space-Earth Environmental Research (ISEE), Nagoya University; Institute for Cosmic Ray Research (ICRR), University of Tokyo; Nagoya University; INPE; UFSM; Australian Antarctic Division; Research Administration of Kuwait University; CNPq(Conselho Nacional de Desenvolvimento Cientifico e Tecnologico (CNPQ)); Sao Paulo Research Foundation (FAPESP)(Fundacao de Amparo a Pesquisa do Estado de Sao Paulo (FAPESP)); FAPESP(Fundacao de Amparo a Pesquisa do Estado de Sao Paulo (FAPESP)); CAPES(Coordenacao de Aperfeicoamento de Pessoal de Nivel Superior (CAPES))</t>
  </si>
  <si>
    <t>This work is supported in part by the joint research programs of the Institute for Space-Earth Environmental Research (ISEE), Nagoya University, and the Institute for Cosmic Ray Research (ICRR), University of Tokyo. The observations are supported by Nagoya University with the Nagoya muon detector, by INPE and UFSM with the Sao Martinho da Serra muon detector, and by the Australian Antarctic Division with the Hobart muon detector. Observations with the Kuwait City muon detector are supported by project SP01/09 of the Research Administration of Kuwait University. R. R. S. M. thanks the China-Brazil Joint Laboratory for Space Weather. A. D. L. thanks CNPq for Grant 304209/2014-7. C. R. B. thanks Grants 2017/21270-7 and 2014/24711-6 from Sao Paulo Research Foundation (FAPESP). E. E. thanks CNPq (PQ 302583/2015-7) and FAPESP (2018/21657-1). J.-P. Raulin thanks CNPq (312066/2016-3) and CAPES (88881.310386/2018-01). Global Muon Detector Network data are available at the website (http://cosray.shinshu-u.ac.jp/crest/DB/Public/main.php) of the Cosmic Ray Experimental Science Team (CREST) of Shinshu University. The authors gratefully acknowledge the NOAA Air Resources Laboratory (ARL) for the provision of GDAS data used in this publication, which are available at READY website (http://www.ready.noaa.gov).The data generated in the present analysis are available in the supporting information and in a public domain repository through the link https://doi.org/10.6084/m9.figshare.9939554.Finally, authors thank the reviewers for their constructive comments and suggestions, which helped to improve the quality of the paper.</t>
  </si>
  <si>
    <t>10.1029/2019JA026651</t>
  </si>
  <si>
    <t>hybrid, Green Submitted, Green Accepted</t>
  </si>
  <si>
    <t>WOS:000502501900001</t>
  </si>
  <si>
    <t>Wang, Y; Jiao, WW; Wang, YC; Sun, L; Li, JQ; Wang, ZM; Xiao, J; Shen, C; Xu, F; Qi, H; Wang, YH; Guo, YJ; Shen, AD</t>
  </si>
  <si>
    <t>Wang, Yi; Jiao, Wei-wei; Wang, Yacui; Sun, Lin; Li, Jie-qiong; Wang, Ze-ming; Xiao, Jing; Shen, Chen; Xu, Fang; Qi, Hui; Wang, Yong-hong; Guo, Ya-jie; Shen, A-dong</t>
  </si>
  <si>
    <t>Simultaneous Nucleic Acids Detection and Elimination of Carryover Contamination With Nanoparticles-Based Biosensor- and Antarctic Thermal Sensitive Uracil-DNA-Glycosylase-Supplemented Polymerase Spiral Reaction</t>
  </si>
  <si>
    <t>FRONTIERS IN BIOENGINEERING AND BIOTECHNOLOGY</t>
  </si>
  <si>
    <t>isothermal nucleic acid amplification; polymerase spiral reaction; nanoparticle-based biosensor; Klebsiella pneumoniae; carryover contamination; LoD; rapid diagnosis; NB-ATSU-PSR</t>
  </si>
  <si>
    <t>ISOTHERMAL AMPLIFICATION; REACTION PSR; PCR</t>
  </si>
  <si>
    <t>The current report devised a novel isothermal diagnostic assay, termed as nanoparticle-based biosensor (NB)- and antarctic thermal sensitive uracil-DNA-glycosylase (ATSU)-supplemented polymerase spiral reaction (PSR; NB-ATSU-PSR). The technique merges enzymatic digestion of carryover contaminants and isothermal nucleic acid amplification technique (PSR) for simultaneous detection of nucleic acid sequences and elimination of carryover contamination. In particular, nucleic acid amplification and elimination of carryover contamination are conducted in a single pot and, thus, the use of a closed-tube reaction can remove undesired results due to carryover contamination. For demonstration purpose, Klebsiella pneumoniae is employed as the model to demonstrate the usability of NB-ATSU-PSR assay. The assay's sensitivity, specificity, and practical feasibility were successfully evaluated using the pure cultures and sputum samples. The amplification products were detectable from as little as 100 fg of genomic DNAs and from 550 colony-forming unit (CFU) in 1 ml of spiked sputum samples. All K. pneumoniae strains examined were positive for NB-ATSU-PSR detection, and all non-K. pneumoniae strains tested were negative for the NB-ATSU-PSR technique. The whole process, including rapid template preparation (20 min), PSR amplification (60 min), ATSU treatment (5 min), and result reporting (within 2 min), can be finished within 90 min. As a proof-of-concept methodology, NB-ATSU-PSR technique can be reconfigured to detect various target nucleic acid sequences by redesigning the PSR primer set.</t>
  </si>
  <si>
    <t>[Wang, Yi; Jiao, Wei-wei; Wang, Yacui; Sun, Lin; Li, Jie-qiong; Wang, Ze-ming; Xiao, Jing; Shen, Chen; Xu, Fang; Qi, Hui; Wang, Yong-hong; Guo, Ya-jie; Shen, A-dong] Capital Med Univ, Key Lab Major Dis Children,Beijing Childrens Hosp, Natl Key Discipline Pediat,Minist Educ,Beijing Pe, Natl Clin Res Ctr Resp Dis,Beijing Key Lab Pediat, Beijing, Peoples R China</t>
  </si>
  <si>
    <t>Capital Medical University</t>
  </si>
  <si>
    <t>Shen, AD (corresponding author), Capital Med Univ, Key Lab Major Dis Children,Beijing Childrens Hosp, Natl Key Discipline Pediat,Minist Educ,Beijing Pe, Natl Clin Res Ctr Resp Dis,Beijing Key Lab Pediat, Beijing, Peoples R China.</t>
  </si>
  <si>
    <t>shenad18@126.com</t>
  </si>
  <si>
    <t>SUN, YANLING/JTT-9082-2023; Wang, Yonghong/AAN-4845-2020; 孙, 琳/HGE-6966-2022; xiao, jing/HRB-7391-2023</t>
  </si>
  <si>
    <t>Capital Health Research and Development of Special Grant [2016-1-2092]; National Science and Technology Major Project [2018ZX10101004002005]</t>
  </si>
  <si>
    <t>Capital Health Research and Development of Special Grant; National Science and Technology Major Project</t>
  </si>
  <si>
    <t>This work was supported by the Capital Health Research and Development of Special Grant (No. 2016-1-2092) and the National Science and Technology Major Project (2018ZX10101004002005).</t>
  </si>
  <si>
    <t>FRONTIERS MEDIA SA</t>
  </si>
  <si>
    <t>LAUSANNE</t>
  </si>
  <si>
    <t>AVENUE DU TRIBUNAL FEDERAL 34, LAUSANNE, CH-1015, SWITZERLAND</t>
  </si>
  <si>
    <t>2296-4185</t>
  </si>
  <si>
    <t>FRONT BIOENG BIOTECH</t>
  </si>
  <si>
    <t>Front. Bioeng. Biotechnol.</t>
  </si>
  <si>
    <t>DEC 13</t>
  </si>
  <si>
    <t>10.3389/fbioe.2019.00401</t>
  </si>
  <si>
    <t>Biotechnology &amp; Applied Microbiology; Engineering, Biomedical</t>
  </si>
  <si>
    <t>Biotechnology &amp; Applied Microbiology; Engineering</t>
  </si>
  <si>
    <t>JY9SD</t>
  </si>
  <si>
    <t>WOS:000504744900001</t>
  </si>
  <si>
    <t>Wang, ZM; Lin, GB; Ai, ST</t>
  </si>
  <si>
    <t>Wang, Zemin; Lin, Guobiao; Ai, Songtao</t>
  </si>
  <si>
    <t>How long will an Arctic mountain glacier survive? A case study of Austre Lovenbreen, Svalbard</t>
  </si>
  <si>
    <t>Climate scenarios; Elmer/Ice; basal sliding; peak runoff; glacier disappearance</t>
  </si>
  <si>
    <t>SURFACE MASS-BALANCE; FULL-STOKES MODEL; MIDTRE LOVENBREEN; ICE CAPS; SIMULATIONS; SPITSBERGEN; CLIMATE; ELEVATION; DYNAMICS; RETREAT</t>
  </si>
  <si>
    <t>To study Arctic valley glacier responses to global climate change, the Elmer/Ice ice-flow model was used to investigate long-term changes in Austre Lovenbreen, a typical polythermal glacier in Svalbard. Evolution and features, including volume, area, ice thickness, runoff and time and mode of glacier disappearance, were projected. Firstly, steady-state simulations were performed to determine the best parameters for the ice-flow model, which were then used to simulate glacial dynamics. Based on the 21st-century Arctic warming trend in the fifth assessment report published by the Intergovernmental Panel on Climate Change, the evolution of the glacier was simulated under three hypothetical climatic scenarios: pessimistic, high-probability and optimistic. The results predicted that the glacier will retreat until disappearance under all three scenarios, and its disappearance time will likely be approximately 111 years (by 2120). Under all scenarios, glacier volume and area reductions will be slow at first, then fast and finally slow again at the end. In particular, glacial runoff will increase markedly until 2070 in the high-probability scenario, and the peak runoff will be double the current value.</t>
  </si>
  <si>
    <t>[Wang, Zemin; Lin, Guobiao; Ai, Songtao] Wuhan Univ, Chinese Antarctic Ctr Surveying &amp; Mapping, 129 Luoyu Rd, Wuhan 430079, Hubei, Peoples R China</t>
  </si>
  <si>
    <t>Wuhan University</t>
  </si>
  <si>
    <t>Ai, ST (corresponding author), Wuhan Univ, Chinese Antarctic Ctr Surveying &amp; Mapping, 129 Luoyu Rd, Wuhan 430079, Hubei, Peoples R China.</t>
  </si>
  <si>
    <t>ast@whu.edu.cn</t>
  </si>
  <si>
    <t>ZeMin, Wang/AAU-3422-2020</t>
  </si>
  <si>
    <t>National Natural Science Foundation of China [41531069, 41476162]; National Key R&amp;D Program of China [2016YFC1402701]</t>
  </si>
  <si>
    <t>National Natural Science Foundation of China(National Natural Science Foundation of China (NSFC)); National Key R&amp;D Program of China</t>
  </si>
  <si>
    <t>This research was funded by the National Natural Science Foundation of China (41531069, 41476162) and the National Key R&amp;D Program of China (2016YFC1402701).</t>
  </si>
  <si>
    <t>NORWEGIAN POLAR INST</t>
  </si>
  <si>
    <t>TROMSO</t>
  </si>
  <si>
    <t>POLAR ENVIRONMENTAL CENTRE, HJALMAR JOHANSENSGATE 14, TROMSO, FRAMSENTERET, NORWAY</t>
  </si>
  <si>
    <t>POLAR RES</t>
  </si>
  <si>
    <t>10.33265/polar.v38.3519</t>
  </si>
  <si>
    <t>JY5QF</t>
  </si>
  <si>
    <t>WOS:000504468700001</t>
  </si>
  <si>
    <t>Golikov, AV; Ceia, FR; Sabirov, RM; Ablett, JD; Gleadall, IG; Gudmundsson, G; Hoving, HJ; Judkins, H; Pálsson, J; Reid, AL; Rosas-Luis, R; Shea, EK; Schwarz, R; Xavier, JC</t>
  </si>
  <si>
    <t>Golikov, Alexey V.; Ceia, Filipe R.; Sabirov, Rushan M.; Ablett, Jonathan D.; Gleadall, Ian G.; Gudmundsson, Gudmundur; Hoving, Hendrik J.; Judkins, Heather; Palsson, Jonbjorn; Reid, Amanda L.; Rosas-Luis, Rigoberto; Shea, Elizabeth K.; Schwarz, Richard; Xavier, Jose C.</t>
  </si>
  <si>
    <t>The first global deep-sea stable isotope assessment reveals the unique trophic ecology of Vampire Squid Vampyroteuthis infernalis (Cephalopoda)</t>
  </si>
  <si>
    <t>SCIENTIFIC REPORTS</t>
  </si>
  <si>
    <t>PACIFIC SUBTROPICAL GYRE; MARINE FOOD WEBS; INCLUDING GIANT; CARBON; RATIOS; DELTA-N-15; DELTA-C-13; BEAKS; ECOSYSTEM; POSITION</t>
  </si>
  <si>
    <t>Vampyroteuthis infernalis Chun, 1903, is a widely distributed deepwater cephalopod with unique morphology and phylogenetic position. We assessed its habitat and trophic ecology on a global scale via stable isotope analyses of a unique collection of beaks from 104 specimens from the Atlantic, Pacific and Indian Oceans. Cephalopods typically are active predators occupying a high trophic level (TL) and exhibit an ontogenetic increase in delta N-15 and TL. Our results, presenting the first global comparison for a deep-sea invertebrate, demonstrate that V. infernalis has an ontogenetic decrease in delta N-15 and TL, coupled with niche broadening. Juveniles are mobile zooplanktivores, while larger Vampyroteuthis are slow-swimming opportunistic consumers and ingest particulate organic matter. Vampyroteuthis infernalis occupies the same TL (3.0-4.3) over its global range and has a unique niche in deep-sea ecosystems. These traits have enabled the success and abundance of this relict species inhabiting the largest ecological realm on the planet.</t>
  </si>
  <si>
    <t>[Golikov, Alexey V.; Sabirov, Rushan M.] Kazan Fed Univ, Dept Zool, Kazan 420008, Russia; [Ceia, Filipe R.; Xavier, Jose C.] Univ Coimbra, Dept Life Sci, Marine &amp; Environm Sci Ctr, P-3000456 Coimbra, Portugal; [Ablett, Jonathan D.] Nat Hist Museum, Dept Life Sci, London SW7 5BD, England; [Gleadall, Ian G.] Tohoku Univ, Grad Sch Agr Sci, Sendai, Miyagi 9800845, Japan; [Gudmundsson, Gudmundur] Iceland Inst Nat Hist, Collect &amp; Systemat Dept, IS-210 Gardabaer, Iceland; [Hoving, Hendrik J.] Helmholtz Ctr Ocean Res Kiel, GEOMAR, D-24105 Kiel, Germany; [Judkins, Heather] Univ South Florida St Petersburg, Dept Biol Sci, St Petersburg, FL 33701 USA; [Palsson, Jonbjorn] Marine &amp; Freshwater Res Inst, IS-101 Reykjavik, Iceland; [Reid, Amanda L.] Australian Museum Res Inst, Sydney, NSW 2010, Australia; [Rosas-Luis, Rigoberto] CONACyT Tecnol Nacl Mexico IT Chetumal, Chetmal 77013, Quintana Roo, Mexico; [Rosas-Luis, Rigoberto] Tecnol Nacl Mexico IT Chetumal, Chetmal 77013, Quintana Roo, Mexico; [Shea, Elizabeth K.] Delaware Museum Nat Hist, Wilmington, DE 19807 USA; [Schwarz, Richard] Univ Vale Itajai, Escola Mar Ciencia &amp; Tecnol, BR-88302901 Itajai, SC, Brazil; [Xavier, Jose C.] British Antarctic Survey, Nat Environm Res Council, Cambridge CB3 0ET, England</t>
  </si>
  <si>
    <t>Kazan Federal University; Universidade de Coimbra; Natural History Museum London; Tohoku University; Helmholtz Association; GEOMAR Helmholtz Center for Ocean Research Kiel; State University System of Florida; University of South Florida; Marine &amp; Freshwater Research Institute (MFRI); Australian Museum; Universidade do Vale do Itajai; UK Research &amp; Innovation (UKRI); Natural Environment Research Council (NERC); NERC British Antarctic Survey</t>
  </si>
  <si>
    <t>Golikov, AV (corresponding author), Kazan Fed Univ, Dept Zool, Kazan 420008, Russia.</t>
  </si>
  <si>
    <t>golikov_ksu@mail.ru</t>
  </si>
  <si>
    <t>Golikov, Alexey/T-3504-2019; Ablett, Jonathan/AAY-7113-2020; Sabirov, Rushan Mirzovich/N-6605-2013; Xavier, José/KFB-6739-2024; Rosas-Luis, Rigoberto/AAB-8012-2019; Ceia, Filipe R./A-2196-2012; Schwarz, Richard/IQU-3323-2023; Hoving, Henk-Jan T./A-9267-2018</t>
  </si>
  <si>
    <t>Golikov, Alexey/0000-0002-1596-2857; Rosas-Luis, Rigoberto/0000-0002-7785-7120; Ceia, Filipe R./0000-0002-5470-5183; Schwarz, Richard/0000-0002-0961-5998; Reid, Amanda/0000-0001-5765-1363; /0000-0002-9621-6660; Ablett, Jonathan/0000-0002-7277-1934; Hoving, Henk-Jan T./0000-0002-4330-6507</t>
  </si>
  <si>
    <t>BIOICE program; Fundacao para a Ciencia e Tecnologia (FCT; Portugal); FCT [SFRH/BPD/95372/2013]; European Social Fund (POPH; EU); David and Lucile Packard Foundation; Netherlands Organization for Scientific Research (NWO) through a Rubicon grant [825.09.016]; Cluster of Excellence 80 'The Future Ocean' [CP1218]; Excellence Initiative by the Deutsche Forschungsgemeinschaft (DFG) on behalf of the German federal and state governments; DFG [HO 5569/2-1]; [UID/MAR/04292/2019]; NERC [bas010011] Funding Source: UKRI; Fundação para a Ciência e a Tecnologia [UID/MAR/04292/2019] Funding Source: FCT</t>
  </si>
  <si>
    <t>BIOICE program; Fundacao para a Ciencia e Tecnologia (FCT; Portugal)(Fundacao para a Ciencia e a Tecnologia (FCT)); FCT(Fundacao para a Ciencia e a Tecnologia (FCT)); European Social Fund (POPH; EU); David and Lucile Packard Foundation(The David &amp; Lucile Packard Foundation); Netherlands Organization for Scientific Research (NWO) through a Rubicon grant(Netherlands Organization for Scientific Research (NWO)); Cluster of Excellence 80 'The Future Ocean'; Excellence Initiative by the Deutsche Forschungsgemeinschaft (DFG) on behalf of the German federal and state governments(German Research Foundation (DFG)); DFG(German Research Foundation (DFG)); ; NERC(UK Research &amp; Innovation (UKRI)Natural Environment Research Council (NERC)); Fundação para a Ciência e a Tecnologia(Fundacao para a Ciencia e a Tecnologia (FCT))</t>
  </si>
  <si>
    <t>We are very grateful to Dr. Brad Seibel (College of Marine Science, University of South Florida) for permission to cite his unpublished observations, including the feeding of Vampyroteuthis in captivity. A.V.G. and G.G. gratefully acknowledge the financial support received from the BIOICE program; J.C.X. acknowledges the financial support received from Fundacao para a Ciencia e Tecnologia (FCT; Portugal); and F.R.C. acknowledges funding via a postdoctoral grant (SFRH/BPD/95372/2013) from FCT and the European Social Fund (POPH; EU). This study benefited from the strategic project UID/MAR/04292/2019, granted to MARE, and is part of the long-term monitoring project BAS-CEPH, and of SCAR Ant-ERA, and ICED research programs. In the time of specimen collection H.J.H. received funding from the David and Lucile Packard Foundation, the Netherlands Organization for Scientific Research (NWO) through a Rubicon grant (#825.09.016) to H.J.H., and by a grant (CP1218) to H.J.H. of the Cluster of Excellence 80 'The Future Ocean'. 'The Future Ocean' is funded within the framework of the Excellence Initiative by the Deutsche Forschungsgemeinschaft (DFG) on behalf of the German federal and state governments. We also thank DFG for financial support to H. J.H. under the grant HO 5569/2-1 that supports the Emmy Noether Junior Research Group of H.J.H. We thank the National Oceanic and Atmospheric Administration (NOAA) and Dr. Dan Kamikawa for organizing the collection of specimens for our study during West Coast Groundfish Slope/Shelf Bottom Trawl Surveys executed by NOAA, National Marine Fisheries Service, Northwest Fisheries Science Center. We also thank Dr. Bruce Robison of the Monterey Bay Aquarium Research Institute for facilitating and supporting the work on Vampyroteuthis by R.S. and H.J.H.</t>
  </si>
  <si>
    <t>NATURE PORTFOLIO</t>
  </si>
  <si>
    <t>2045-2322</t>
  </si>
  <si>
    <t>SCI REP-UK</t>
  </si>
  <si>
    <t>Sci Rep</t>
  </si>
  <si>
    <t>10.1038/s41598-019-55719-1</t>
  </si>
  <si>
    <t>JW6NK</t>
  </si>
  <si>
    <t>WOS:000503166100002</t>
  </si>
  <si>
    <t>Goldbogen, JA; Cade, DE; Wisniewska, DM; Potvin, J; Segre, PS; Savoca, MS; Hazen, EL; Czapanskiy, MF; Kahane-Rapport, SR; DeRuiter, SL; Gero, S; Tonnesen, P; Gough, WT; Hanson, MB; Holt, MM; Jensen, FH; Simon, M; Stimpert, AK; Arranz, P; Johnston, DW; Nowacek, DP; Parks, SE; Visser, F; Friedlaender, AS; Tyack, PL; Madsen, PT; Pyenson, ND</t>
  </si>
  <si>
    <t>Goldbogen, J. A.; Cade, D. E.; Wisniewska, D. M.; Potvin, J.; Segre, P. S.; Savoca, M. S.; Hazen, E. L.; Czapanskiy, M. F.; Kahane-Rapport, S. R.; DeRuiter, S. L.; Gero, S.; Tonnesen, P.; Gough, W. T.; Hanson, M. B.; Holt, M. M.; Jensen, F. H.; Simon, M.; Stimpert, A. K.; Arranz, P.; Johnston, D. W.; Nowacek, D. P.; Parks, S. E.; Visser, F.; Friedlaender, A. S.; Tyack, P. L.; Madsen, P. T.; Pyenson, N. D.</t>
  </si>
  <si>
    <t>Why whales are big but not bigger: Physiological drivers and ecological limits in the age of ocean giants</t>
  </si>
  <si>
    <t>FINNED PILOT WHALES; WESTERN NORTH PACIFIC; BAIRDS BEAKED-WHALE; GLOBICEPHALA-MELAS; FORAGING BEHAVIOR; BODY-SIZE; FEEDING PERFORMANCE; BERARDIUS-BAIRDII; EUPHAUSIA-SUPERBA; HARBOR PORPOISES</t>
  </si>
  <si>
    <t>The largest animals are marine filter feeders, but the underlying mechanism of their large size remains unexplained. We measured feeding performance and prey quality to demonstrate how whale gigantism is driven by the interplay of prey abundance and harvesting mechanisms that increase prey capture rates and energy intake. The foraging efficiency of toothed whales that feed on single prey is constrained by the abundance of large prey, whereas filter-feeding baleen whales seasonally exploit vast swarms of small prey at high efficiencies. Given temporally and spatially aggregated prey, filter feeding provides an evolutionary pathway to extremes in body size that are not available to lineages that must feed on one prey at a time. Maximum size in filter feeders is likely constrained by prey availability across space and time.</t>
  </si>
  <si>
    <t>[Goldbogen, J. A.; Cade, D. E.; Wisniewska, D. M.; Segre, P. S.; Savoca, M. S.; Hazen, E. L.; Czapanskiy, M. F.; Kahane-Rapport, S. R.; Gough, W. T.] Stanford Univ, Hopkins Marine Stn, Dept Biol, Pacific Grove, CA 93950 USA; [Potvin, J.] St Louis Univ, Dept Phys, St Louis, MO 63103 USA; [Hazen, E. L.] NOAA, Environm Res Div, Southwest Fisheries Sci Ctr, Monterey, CA USA; [Hazen, E. L.; Friedlaender, A. S.] Univ Calif Santa Cruz, Inst Marine Sci, Santa Cruz, CA 95064 USA; [DeRuiter, S. L.] Calvin Univ, Math &amp; Stat Dept, Grand Rapids, MI USA; [Gero, S.; Tonnesen, P.; Madsen, P. T.] Aarhus Univ, Dept Biosci, Zoophysiol, Aarhus, Denmark; [Hanson, M. B.; Holt, M. M.] NOAA, Conservat Biol Div, Northwest Fisheries Sci Ctr, Natl Marine Fisheries Serv, Seattle, WA USA; [Jensen, F. H.] Woods Hole Oceanog Inst, Biol Dept, Woods Hole, MA 02543 USA; [Simon, M.] Greenland Inst Nat Resources, Greenland Climate Res Ctr, Nuuk, Greenland; [Stimpert, A. K.] Moss Landing Marine Labs, Pob 450, Moss Landing, CA 95039 USA; [Arranz, P.] Univ La Laguna, Dept Anim Biol, Biodivers Marine Ecol &amp; Conservat Grp, San Cristobal la Laguna, Spain; [Johnston, D. W.] Duke Univ, Marine Lab, Nicholas Sch Environm, Beaufort, NC 28516 USA; [Nowacek, D. P.] Duke Univ, Pratt Sch Engn, Durham, NC USA; [Parks, S. E.] Syracuse Univ, Dept Biol, Syracuse, NY 13244 USA; [Visser, F.] Univ Amsterdam, Dept Freshwater &amp; Marine Ecol, IBED, Amsterdam, Netherlands; [Visser, F.] NIOZ, Dept Coastal Syst, Utrecht, Netherlands; [Visser, F.] Univ Utrecht, Utrecht, Netherlands; [Visser, F.] Kelp Marine Res, Hoorn, Netherlands; [Tyack, P. L.] Univ St Andrews, Sch Biol, Scottish Oceans Inst, Sea Mammal Res Unit, St Andrews, Fife, Scotland; [Madsen, P. T.] Aarhus Univ, Aarhus Inst Adv Studies, DK-8000 Aarhus C, Denmark; [Pyenson, N. D.] Natl Museum Nat Hist, Dept Paleobiol, Washington, DC 20560 USA; [Pyenson, N. D.] Burke Museum Nat Hist &amp; Culture, Dept Paleontol &amp; Geol, Seattle, WA USA</t>
  </si>
  <si>
    <t>Stanford University; Saint Louis University; National Oceanic Atmospheric Admin (NOAA) - USA; University of California System; University of California Santa Cruz; Calvin University; Aarhus University; National Oceanic Atmospheric Admin (NOAA) - USA; Woods Hole Oceanographic Institution; Greenland Institute of Natural Resources; Moss Landing Marine Laboratories; Universidad de la Laguna; Duke University; Duke University; Syracuse University; University of Amsterdam; Utrecht University; Royal Netherlands Institute for Sea Research (NIOZ); Utrecht University; University of St Andrews; Aarhus University; Smithsonian Institution; Smithsonian National Museum of Natural History</t>
  </si>
  <si>
    <t>Goldbogen, JA (corresponding author), Stanford Univ, Hopkins Marine Stn, Dept Biol, Pacific Grove, CA 93950 USA.</t>
  </si>
  <si>
    <t>jergold@stanford.edu</t>
  </si>
  <si>
    <t>Hazen, Elliott/G-4149-2014; Arranz, Patricia/ABD-7328-2021; Visser, Fleur/IQR-7506-2023; Johnston, David/AAJ-5013-2020; Czapanskiy, Max/HLX-2992-2023; Parks, Susan E/D-2675-2014; Segre, Paolo S/A-7865-2011; Jensen, Frants/G-3438-2013; Wisniewska, Danuta Maria/AAE-3375-2019; Tyack, Peter/AAC-4513-2019; Savoca, Matthew/K-3677-2019; Madsen, Peter T./K-5832-2013</t>
  </si>
  <si>
    <t>Hazen, Elliott/0000-0002-0412-7178; Arranz, Patricia/0000-0001-8998-5149; Visser, Fleur/0000-0003-1024-3244; Jensen, Frants/0000-0001-8776-3606; Wisniewska, Danuta Maria/0000-0002-3599-7440; Tyack, Peter/0000-0002-8409-4790; Savoca, Matthew/0000-0002-7318-4977; Czapanskiy, Max/0000-0002-6302-905X; Johnston, David/0000-0003-2424-036X; Cade, David/0000-0003-3641-1242; Kahane-Rapport, Shirel/0000-0002-5208-1100; Goldbogen, Jeremy/0000-0002-4170-7294; Pyenson, Nicholas/0000-0003-4678-5782; Madsen, Peter T./0000-0002-5208-5259</t>
  </si>
  <si>
    <t>National Science Foundation [IOS-1656676, IOS-1656656, OPP-1644209, 07-39483]; Office of Naval Research [N000141612477, N00014-07-10988, N00014-07-11023, N00014-08-10990, N00014-18-1-2062, 00014-15-1-2553]; Stanford University; U.S. Strategic Environmental Research and Development Program [SI-1539]; MASTS pooling initiative (The Marine Alliance for Science and Technology for Scotland); Scottish Funding Council [HR09011]; Office of Naval Research (ONR) [N00014-12-1-0410, N000141210417, N00014-15-1-2341, N00014-17-1-2715]; Danish Council for Independent Research [0602-02271B]; Dutch Research Council [016.Veni.181.086]; Carlsberg Foundation; NOAA Ocean Acoustics Program; FNU fellowship from the Danish Council for Independent Research; Sapere Aude Research Talent Award; Focused on Nature; National Geographic Society; FNU large frame grant; Villum Foundation; Dansk Akustisk Selskab; Oticon Foundation; Dansk Tennis Foundation; German Federal Agency for Nature Conservation (BfN) [Z1.2-530/2010/14]; BfN-Cluster 7 Effects of underwater noise on marine vertebrates</t>
  </si>
  <si>
    <t>National Science Foundation(National Science Foundation (NSF)); Office of Naval Research(Office of Naval Research); Stanford University(Stanford University); U.S. Strategic Environmental Research and Development Program; MASTS pooling initiative (The Marine Alliance for Science and Technology for Scotland); Scottish Funding Council; Office of Naval Research (ONR)(Office of Naval Research); Danish Council for Independent Research(Det Frie Forskningsrad (DFF)); Dutch Research Council; Carlsberg Foundation(Carlsberg Foundation); NOAA Ocean Acoustics Program(National Oceanic Atmospheric Admin (NOAA) - USA); FNU fellowship from the Danish Council for Independent Research(Det Frie Forskningsrad (DFF)); Sapere Aude Research Talent Award; Focused on Nature; National Geographic Society(National Geographic Society); FNU large frame grant; Villum Foundation(Villum Fonden); Dansk Akustisk Selskab; Oticon Foundation; Dansk Tennis Foundation; German Federal Agency for Nature Conservation (BfN); BfN-Cluster 7 Effects of underwater noise on marine vertebrates</t>
  </si>
  <si>
    <t>This research was funded in part by grants from the National Science Foundation (IOS-1656676 and IOS-1656656; OPP-1644209 and 07-39483); the Office of Naval Research (N000141612477); and a Terman Fellowship from Stanford University. All procedures in the United States were conducted under approval of the National Marine Fisheries Service (permits 781-1824, 16163, 14809, 16111, 19116, 15271, and 20430); Canada DFO SARA/MML 2010-01/SARA-106B; National Marine Sanctuaries (MULTI-2017-007); Antarctic Conservation Act (2009-014 and 2015-011); and institutional IACUC committee protocols. Fieldwork, data collection, and data processing for M. densirostris were funded by the Office of Naval Research grants N00014-07-10988, N00014-07-11023, N00014-08-10990, N00014-18-1-2062, and 00014-15-1-2553, and the U.S. Strategic Environmental Research and Development Program Grant SI-1539. P.L.T. gratefully acknowledges funding from the MASTS pooling initiative (The Marine Alliance for Science and Technology for Scotland). MASTS is funded by the Scottish Funding Council (HR09011) and contributing institutions. Fieldwork, data collection, and data processing for Globicephala melas and data collection at the Azores were funded by the Office of Naval Research (ONR grants N00014-12-1-0410, N000141210417, N00014-15-1-2341, and N00014-17-1-2715); the Danish Council for Independent Research (award number 0602-02271B); the Dutch Research Council (award number 016.Veni.181.086); and a Semper Ardens Grant from the Carlsberg Foundation. For SRKW field work, we thank the NOAA Ocean Acoustics Program for providing funding and C. Emmons, D. Giles, and J. Hogan for assistance in the field. For P. macrocephalus, fieldwork off Dominica was supported through a FNU fellowship from the Danish Council for Independent Research, supplemented by a Sapere Aude Research Talent Award, a Carlsberg Foundation expedition grant, a grant from Focused on Nature, and a CRE Grant from the National Geographic Society to S.G.; a FNU large frame grant; as well as a Villum Foundation Grant (to P.T.M.) with supplementary grants from Dansk Akustisk Selskab (to P.T.), Oticon Foundation (to P.T.), and Dansk Tennis Foundation (to P.T.). The Greenland data collection and analysis were funded by grants from the Oticon Foundation and the Carlsberg Foundation to M.S. Tagging work on P. phocoena was funded in part by the German Federal Agency for Nature Conservation (BfN) under contract Z1.2-530/2010/14 and the BfN-Cluster 7 Effects of underwater noise on marine vertebrates.</t>
  </si>
  <si>
    <t>10.1126/science.aax9044</t>
  </si>
  <si>
    <t>JW1ET</t>
  </si>
  <si>
    <t>WOS:000502802300057</t>
  </si>
  <si>
    <t>Busdieker, KM; Patrick, SC; Trevail, AM; Descamps, S</t>
  </si>
  <si>
    <t>Busdieker, Karl M.; Patrick, Samantha C.; Trevail, Alice M.; Descamps, Sebastien</t>
  </si>
  <si>
    <t>Prey density affects predator foraging strategy in an Antarctic ecosystem</t>
  </si>
  <si>
    <t>ECOLOGY AND EVOLUTION</t>
  </si>
  <si>
    <t>Antarctic petrel; habitat selection; prey defense; prey density; south polar skua</t>
  </si>
  <si>
    <t>SKUA CATHARACTA-MACCORMICKI; SOUTH POLAR; NEST PREDATION; BREEDING SUCCESS; RISK-TAKING; COLONIALITY; PETREL; EVOLUTION; DEFENSE; SEX</t>
  </si>
  <si>
    <t>Studying the effects of prey distribution on predator behavior is complex in systems where there are multiple prey species. The role of prey density in predator behavior is rarely studied in closed ecosystems of one predator species and one prey species, despite these being an ideal opportunity to test these hypotheses. In this study, we investigate the effect of prey density on the foraging behavior of a predatory species in an isolated Antarctic ecosystem of effectively a single predatory species and a single prey species. We use resource selection models to compare prey density in areas utilized by predators (obtained from fine-scale GPS telemetry data) to prey density at randomly generated points (pseudoabsences) throughout the available area. We demonstrate that prey density of breeding Antarctic petrels (Thalassoica antarctica) is negatively associated with the probability of habitat use in its only predator, the south polar skua (Catharacta maccormicki). Skuas are less likely to utilize habitats with higher petrel densities, reducing predation in these areas, but these effects are present during chick rearing only and not during incubation. We suggest that this might be caused by successful group defense strategies employed by petrel chicks, primarily spitting oil at predators.</t>
  </si>
  <si>
    <t>[Busdieker, Karl M.; Patrick, Samantha C.; Trevail, Alice M.] Univ Liverpool, Sch Environm Sci, Liverpool, Merseyside, England; [Descamps, Sebastien] Norwegian Polar Res Inst, Fram Ctr, Tromso, Norway</t>
  </si>
  <si>
    <t>University of Liverpool; Norwegian Polar Institute</t>
  </si>
  <si>
    <t>Patrick, SC (corresponding author), Univ Liverpool, Sch Environm Sci, Liverpool, Merseyside, England.</t>
  </si>
  <si>
    <t>Samantha.Patrick@liverpool.ac.uk</t>
  </si>
  <si>
    <t>Trevail, Alice M./Y-9000-2019</t>
  </si>
  <si>
    <t>Trevail, Alice M./0000-0002-6459-5213; Busdieker, Karl/0000-0002-6861-9905</t>
  </si>
  <si>
    <t>Norges Forskningsrad</t>
  </si>
  <si>
    <t>Norges Forskningsrad(Research Council of Norway)</t>
  </si>
  <si>
    <t>2045-7758</t>
  </si>
  <si>
    <t>ECOL EVOL</t>
  </si>
  <si>
    <t>Ecol. Evol.</t>
  </si>
  <si>
    <t>10.1002/ece3.5899</t>
  </si>
  <si>
    <t>Ecology; Evolutionary Biology</t>
  </si>
  <si>
    <t>Environmental Sciences &amp; Ecology; Evolutionary Biology</t>
  </si>
  <si>
    <t>KF8WM</t>
  </si>
  <si>
    <t>WOS:000502403800001</t>
  </si>
  <si>
    <t>Shelamoff, V; Layton, C; Tatsumi, M; Cameron, MJ; Wright, JT; Johnson, CR</t>
  </si>
  <si>
    <t>Shelamoff, Victor; Layton, Cayne; Tatsumi, Masayuki; Cameron, Matthew J.; Wright, Jeffrey T.; Johnson, Craig R.</t>
  </si>
  <si>
    <t>Patch size and density of canopy-forming kelp modify influences of ecosystem engineering on understorey algal and sessile invertebrate assemblages</t>
  </si>
  <si>
    <t>MARINE ECOLOGY PROGRESS SERIES</t>
  </si>
  <si>
    <t>Ecosystem engineer; Foliose algae; Kelp; Understorey; Recruitment; Sessile invertebrate; Turf algae; Ecklonia radiata</t>
  </si>
  <si>
    <t>MACROALGAL ASSEMBLAGES; PHYSICAL DISTURBANCES; COMMUNITY STRUCTURE; LIGHT PENETRATION; SUBTIDAL HABITAT; MARINE MACROALGA; WESTERN PORT; RECRUITMENT; ECOLOGY; TURF</t>
  </si>
  <si>
    <t>Ecosystem engineers are important in shaping the composition of associated communities, including the abundance of species which exert additional influences on the ecosystem. Using an array of 28 artificial reefs supporting transplants of a dominant canopy-forming kelp (Ecklonia radiata) representing 7 patch sizes (0.12-7.68 m(2)) crossed with 4 kelp densities (0-16 ind. m(-2)), we determined how differences in the patch size and density of this ecosystem engineer influenced the associated understorey assemblages, including the abundance of turf algae, foliose algae and sessile invertebrates. We then determined how abiotic and biotic factors modified by E. radiata related to the abundance of these functional groups and E. radiata recruitment. Decreasing patch size and absence of kelp led to the proliferation of turfs, whilst foliose algae and invertebrates were dominant on larger reefs with kelp, where intermediate densities of kelp supported the highest abundance of foliose algae. We postulate that benthic light was the most important factor positively influencing turf cover, which in turn suppressed foliose algae. Adverse effects of light and sediment deposition best explained the cover of invertebrates. Contrary to expectation, understorey species had little effect on the density of E. radiata recruits, which instead was strongly correlated with the abundance of transplanted kelp on each reef. These results highlight the capacity of E. radiata to influence major functional groups within the sub-canopy via abiotic ecosystem engineering and through control of turfs and indicate that the negative effect of understorey algae on kelp recruitment may be context specific.</t>
  </si>
  <si>
    <t>[Shelamoff, Victor; Layton, Cayne; Tatsumi, Masayuki; Cameron, Matthew J.; Wright, Jeffrey T.; Johnson, Craig R.] Univ Tasmania, Inst Marine &amp; Antarctic Studies, Hobart, Tas 7004, Australia</t>
  </si>
  <si>
    <t>Cameron, Matthew/AAE-2786-2020; Layton, Cayne/J-8443-2013; Wright, Jeffrey/J-7536-2014</t>
  </si>
  <si>
    <t>Layton, Cayne/0000-0002-3390-6437; Wright, Jeffrey/0000-0002-1085-4582</t>
  </si>
  <si>
    <t>Australian Research Council [DP130101113]</t>
  </si>
  <si>
    <t>Australian Research Council(Australian Research Council)</t>
  </si>
  <si>
    <t>This study would not have possible without generous assistance in the field and laboratory provided by David Aguirre, Damon Britton, Claire Butler, Jeff Ross, Stephanie Scott, Pim Somers, Laura Tamburello, Kathy Willis and Bree Woods. This study was funded by an Australian Research Council Discovery Grant (DP130101113) (www.arc.gov.au) awarded to J.T.W. and C.R.J.</t>
  </si>
  <si>
    <t>0171-8630</t>
  </si>
  <si>
    <t>1616-1599</t>
  </si>
  <si>
    <t>MAR ECOL PROG SER</t>
  </si>
  <si>
    <t>Mar. Ecol.-Prog. Ser.</t>
  </si>
  <si>
    <t>DEC 12</t>
  </si>
  <si>
    <t>10.3354/meps13155</t>
  </si>
  <si>
    <t>Ecology; Marine &amp; Freshwater Biology; Oceanography</t>
  </si>
  <si>
    <t>Environmental Sciences &amp; Ecology; Marine &amp; Freshwater Biology; Oceanography</t>
  </si>
  <si>
    <t>KW5EX</t>
  </si>
  <si>
    <t>WOS:000521189100005</t>
  </si>
  <si>
    <t>Golikov, AV; Ceia, FR; Sabirov, RM; Belyaev, AN; Blicher, ME; Arboe, NH; Zakharov, DV; Xavier, JC</t>
  </si>
  <si>
    <t>Golikov, Alexey, V; Ceia, Filipe R.; Sabirov, Rushan M.; Belyaev, Alexander N.; Blicher, Martin E.; Arboe, Nanette H.; Zakharov, Denis, V; Xavier, Jose C.</t>
  </si>
  <si>
    <t>Food spectrum and trophic position of an Arctic cephalopod, Rossia palpebrosa (Sepiolida), inferred by stomach contents and stable isotope (δ13C and δ15N) analyses</t>
  </si>
  <si>
    <t>Bobtail squid; Arctic marine food webs; Trophic ecology; Feeding; Ecological niche; Competition; Pandalus borealis; Northern shrimp</t>
  </si>
  <si>
    <t>FEEDING-HABITS; GONATUS-FABRICII; INCLUDING GIANT; SQUID; SEA; ECOLOGY; RATIOS; CARBON; WEBS; ECOSYSTEM</t>
  </si>
  <si>
    <t>Rossia palpebrosa (Sepiolida) is the most abundant nekto-benthic cephalopod in the Arctic; however, its feeding and trophic ecology are largely unknown. This work aims to assess the role of this species in Arctic ecosystems based on the contents of its stomach and analyses of delta C-13 and delta N-15 stable isotopes in its beak. The main taxa identified in the food spectrum were Crustacea (frequency of occurrence: 52.1%), followed by Polychaeta (14.6%) and fishes (6.3%). Sipuncula and Echinoidea were occasionally found and were recorded here as R. palpebrosa prey for the first time, as well as Polychaeta and Euphausiacea. A significant geographic increase in delta C-13 values (mean +/- SE, -19.3 +/- 0.2%) from the Barents Sea to West Greenland was found, but no significant ontogenetic increase, suggesting no migrations occurred among different water masses. Values of delta N-15 (8.7 +/- 0.2%) and trophic level (TL; 3.6 +/- 0.1) revealed significant ontogenetic increases and an absence of geographic patterns, suggesting the trophic role of this species is similar throughout the studied part of the Arctic. Stable isotope values, TL and food spectrum for R. palpebrosa are close to Arctic nekto-benthic predatory fishes and shrimps, especially Pandalus borealis. However, sepiolids prey on organisms exceeding their own size and do not scavenge. A gradual ontogenetic decrease in isotopic niche width, while increasing diversity in the food spectrum of larger specimens, was observed in R. palpebrosa. However, delta C-13 values, i.e. variation in primary productivity supporting food sources, were more responsible for these ontogenetic differences in niche size than delta N-15 values.</t>
  </si>
  <si>
    <t>[Golikov, Alexey, V; Sabirov, Rushan M.; Belyaev, Alexander N.] Kazan Fed Univ, Dept Zool, Kazan 420008, Russia; [Ceia, Filipe R.; Xavier, Jose C.] Univ Coimbra, Marine &amp; Environm Sci Ctr, Dept Life Sci, P-3000456 Coimbra, Portugal; [Blicher, Martin E.] Greenland Inst Nat Resources, Greenland Climate Res Ctr, Nuuk 3900, Greenland; [Arboe, Nanette H.] Greenland Inst Nat Resources, Dept Fish &amp; Shellfish, Nuuk 3900, Greenland; [Zakharov, Denis, V] All Russian Res Inst Fisheries &amp; Oceanog, Lab Coastal Res, Polar Branch, Murmansk 183038, Russia; [Zakharov, Denis, V] Murmansk Marine Biol Inst, Lab Zoobenthos, Murmansk 183010, Russia; [Xavier, Jose C.] British Antarctic Survey, Nat Environm Res Council, Madingley Rd, Cambridge CB3 0ET, England</t>
  </si>
  <si>
    <t>Kazan Federal University; Universidade de Coimbra; Greenland Institute of Natural Resources; Greenland Institute of Natural Resources; Russian Academy of Sciences; UK Research &amp; Innovation (UKRI); Natural Environment Research Council (NERC); NERC British Antarctic Survey</t>
  </si>
  <si>
    <t>Xavier, José/KFB-6739-2024; Zakharov, Denis/AAW-8821-2020; Sabirov, Rushan Mirzovich/N-6605-2013; Ceia, Filipe R./A-2196-2012; Belyaev, Alexander/O-3649-2016; Golikov, Alexey/T-3504-2019</t>
  </si>
  <si>
    <t>Zakharov, Denis/0000-0002-0885-3249; Ceia, Filipe R./0000-0002-5470-5183; Golikov, Alexey/0000-0002-1596-2857; /0000-0002-9621-6660</t>
  </si>
  <si>
    <t>Greenland Institute of Natural Resources; North Atlantic Cooperation [510-151]; Sustainable Fisheries Greenland; Ministry for Research in Greenland (IKIIN); Environmental Protection Agency (Dancea) of the Ministry of Environment and Food of Denmark [mst-112-00272]; Foundation for Science and Technology (FCT -Portugal); European Social Fund (POPH, EU) [SFRH/BPD/95372/2013]; strategic program of MARE [MARE -UID/MAR/04292/2019]; NERC [bas010011] Funding Source: UKRI</t>
  </si>
  <si>
    <t>Greenland Institute of Natural Resources; North Atlantic Cooperation; Sustainable Fisheries Greenland; Ministry for Research in Greenland (IKIIN); Environmental Protection Agency (Dancea) of the Ministry of Environment and Food of Denmark; Foundation for Science and Technology (FCT -Portugal)(Fundacao para a Ciencia e a Tecnologia (FCT)); European Social Fund (POPH, EU); strategic program of MARE; NERC(UK Research &amp; Innovation (UKRI)Natural Environment Research Council (NERC))</t>
  </si>
  <si>
    <t>We are grateful to 'PINRO-IMR Ecosystem Survey in the Barents Sea' project and 'Initiating North Atlantic Benthos Monitoring (INAMon)' project for providing parts of the samples, to the scientific groups and crews of the mentioned RVs, especially Pavel A. Lubin and Igor E. Manushin, for help onboard, to Arina V. Yunusova for help with stomach contents analysis and to Alexandra Baeta, Zara F. Teixeira and Claudia S. Moreira for help with stable isotope analysis. INAMon was financially supported by the Greenland Institute of Natural Resources, North Atlantic Cooperation (nora.fo; J. nr. 510-151), Sustainable Fisheries Greenland, the Ministry for Research in Greenland (IKIIN) and the Environmental Protection Agency (Dancea) of the Ministry of Environment and Food of Denmark (J. nr. mst-112-00272). The work is also part of the Danish Presidency project in Nordic Council of Ministers, mapping seabed biodiversity and vulnerability in the Arctic and North Atlantic. This research was co-sponsored by the Foundation for Science and Technology (FCT -Portugal) and the European Social Fund (POPH, EU) through a postdoc grant to F.R.C. (SFRH/BPD/95372/2013) and by strategic program of MARE (MARE -UID/MAR/04292/2019). We thank Dr. Mike Vecchione, 2 anonymous reviewers of the manuscript and the editor Dr. James McClintock for their valuable comments to improve the quality of the paper.</t>
  </si>
  <si>
    <t>10.3354/meps13152</t>
  </si>
  <si>
    <t>WOS:000521189100009</t>
  </si>
  <si>
    <t>Sanchez, N; Reiss, CS; Holm-Hansen, O; Hewes, CD; Bizsel, KC; Ardelan, MV</t>
  </si>
  <si>
    <t>Sanchez, Nicolas; Reiss, Christian S.; Holm-Hansen, Osmund; Hewes, Christopher D.; Bizsel, Kemal C.; Ardelan, Murat, V</t>
  </si>
  <si>
    <t>Weddell-Scotia Confluence Effect on the Iron Distribution in Waters Surrounding the South Shetland (Antarctic Peninsula) and South Orkney (Scotia Sea) Islands During the Austral Summer in 2007 and 2008</t>
  </si>
  <si>
    <t>FRONTIERS IN MARINE SCIENCE</t>
  </si>
  <si>
    <t>iron; Antarctic Peninsula; Weddell-Scotia Confluence; Weddell gyre; Scotia Sea; natural fertilization</t>
  </si>
  <si>
    <t>MIXED-LAYER DEPTH; A MAXIMA DCMS; DRAKE PASSAGE; DISSOLVED IRON; CHLOROPHYLL-A; PHYTOPLANKTON BIOMASS; SPATIAL-DISTRIBUTION; BRANSFIELD STRAIT; ELEPHANT ISLAND; OCEAN</t>
  </si>
  <si>
    <t>An oceanographic survey around the South Shetland Islands (SSI) and the South Orkney Islands (SOI) was conducted during January 2007 and February 2008, respectively, as part of the United States Antarctic Marine Living Resources (AMLR) program ecosystems surveys. At 27 stations, concentrations of dissolved labile Fe (DFe) and total acid leachable (unfiltered, TaLFe) iron (Fe) were measured in the upper 200 m (including coastal and oceanic waters) to better resolve the factors limiting primary production in these regions. Northwest of the SSI, a region influenced by Drake Passage (DP) waters, mean DFe (similar to 0.26 nM) and TaLFe (similar to 1.02 nM) concentrations were the lowest, whereas intermediate concentrations for both DFe and TaLFe were measured in the Bransfield Strait (BS). Around Elephant Island (EI), over and off the continental shelf, Fe concentrations differed between the west and the east margins. DFe and TaLFe concentrations further support the argument that the effect of the Shackleton Transverse Ridge (STR) is a crucial structure affecting both the Fe and the chlorophyll distributions in this region. The waters around the SOI had DFe concentrations higher than those in the SSI, with the area north of the South Scotia Ridge (SSR) (60 degrees S), having the highest DFe (0.54 nM) concentrations and the waters in Powell Basin (PB) having the lowest DFe (1.17 nM) and TaLFe (4.51 nM) and concentrations. These spatial patterns of Fe suggest that there are different Fe inputs from shelf waters near the Antarctic Slope Front (ASF). The overall TaLFe:DFe ratios, used as indicator for understanding the relative distance of Fe sources, were lower around the SOI compared to those in the SSI, suggesting that the Fe source for SOI waters was more distant. The spatial patterns between Fe and chlorophyll-a (Chl-a) concentrations in relation to the hydrography highlight the complexity and variability of the oceanographic processes in the region. These results improve the knowledge on the Fe sources and inputs in the less known SOI waters during the austral summer, and they further support the importance of advective processes from the Fe-rich waters that flow from the eastern margin of the Antarctic Peninsula (AP) into the Weddell-Scotia Confluence (WSC).</t>
  </si>
  <si>
    <t>[Sanchez, Nicolas; Ardelan, Murat, V] Norwegian Univ Sci &amp; Technol, Dept Chem, Trondheim, Norway; [Reiss, Christian S.] NOAA, Antarctic Ecosyst Res Div, Southwest Fisheries Sci Ctr, La Jolla, CA USA; [Holm-Hansen, Osmund; Hewes, Christopher D.] Univ Calif San Diego, Scripps Inst Oceanog, Polar Res Program, Marine Biol Res Div, La Jolla, CA 92093 USA; [Bizsel, Kemal C.] Dokuz Eylul Univ, Inst Marine Sci &amp; Technol, Izmir, Turkey</t>
  </si>
  <si>
    <t>Norwegian University of Science &amp; Technology (NTNU); National Oceanic Atmospheric Admin (NOAA) - USA; University of California System; University of California San Diego; Scripps Institution of Oceanography; Dokuz Eylul University</t>
  </si>
  <si>
    <t>Sanchez, N (corresponding author), Norwegian Univ Sci &amp; Technol, Dept Chem, Trondheim, Norway.</t>
  </si>
  <si>
    <t>nicolas.sanchez@ntnu.no</t>
  </si>
  <si>
    <t>Ardelan, Murat V./J-6492-2013</t>
  </si>
  <si>
    <t>Department of Chemistry, Faculty of Natural Sciences, Norwegian University of Science and Technology (NTNU)</t>
  </si>
  <si>
    <t>This work was supported by the Department of Chemistry, Faculty of Natural Sciences, Norwegian University of Science and Technology (NTNU). The US AMLR Program, administered by the Antarctic Ecosystem Research Division at NOAA's Southwest Fisheries Research Center, La Jolla, CA, United States.</t>
  </si>
  <si>
    <t>2296-7745</t>
  </si>
  <si>
    <t>FRONT MAR SCI</t>
  </si>
  <si>
    <t>Front. Mar. Sci.</t>
  </si>
  <si>
    <t>10.3389/fmars.2019.00771</t>
  </si>
  <si>
    <t>Environmental Sciences; Marine &amp; Freshwater Biology</t>
  </si>
  <si>
    <t>Environmental Sciences &amp; Ecology; Marine &amp; Freshwater Biology</t>
  </si>
  <si>
    <t>JW3RV</t>
  </si>
  <si>
    <t>WOS:000502973300001</t>
  </si>
  <si>
    <t>Balasco, N; Vitagliano, L; Merlino, A; Verde, C; Mazzarella, L; Vergara, A</t>
  </si>
  <si>
    <t>Balasco, Nicole; Vitagliano, Luigi; Merlino, Antonello; Verde, Cinzia; Mazzarella, Lelio; Vergara, Alessandro</t>
  </si>
  <si>
    <t>The unique structural features of carbonmonoxy hemoglobin from the sub-Antarctic fish Eleginops maclovinus</t>
  </si>
  <si>
    <t>BIS-HISTIDYL ADDUCTS; X-RAY-DIFFRACTION; CRYSTAL-STRUCTURE; CRYSTALLOGRAPHIC CHARACTERIZATION; TETRAMERIC HEMOGLOBIN; TREMATOMUS-BERNACCHII; QUATERNARY-STRUCTURE; TRANSITION; DYNAMICS; MODEL</t>
  </si>
  <si>
    <t>Tetrameric hemoglobins (Hbs) are prototypical systems for the investigations of fundamental properties of proteins. Although the structure of these proteins has been known for nearly sixty years, there are many aspects related to their function/structure that are still obscure. Here, we report the crystal structure of a carbonmonoxy form of the Hb isolated from the sub-Antarctic notothenioid fish Eleginops maclovinus characterised by either rare or unique features. In particular, the distal site of the a chain results to be very unusual since the distal His is displaced from its canonical position. This displacement is coupled with a shortening of the highly conserved E helix and the formation of novel interactions at tertiary structure level. Interestingly, the quaternary structure is closer to the T-deoxy state of Hbs than to the R-state despite the full coordination of all chains. Notably, these peculiar structural features provide a rationale for some spectroscopic properties exhibited by the protein in solution. Finally, this unexpected structural plasticity of the heme distal side has been associated with specific sequence signatures of various Hbs.</t>
  </si>
  <si>
    <t>[Balasco, Nicole; Vitagliano, Luigi] CNR, Inst Biostruct &amp; Bioimaging, Via Mezzocannone 16, Naples, Italy; [Merlino, Antonello; Mazzarella, Lelio; Vergara, Alessandro] Univ Napoli Federico II, Dept Chem Sci, Via Cinthia, I-80126 Naples, Italy; [Verde, Cinzia] CNR, Inst Biosci &amp; BioResources, Via Pietro Castellino 111, I-80131 Naples, Italy</t>
  </si>
  <si>
    <t>Consiglio Nazionale delle Ricerche (CNR); Istituto di Biostrutture e Bioimmagini (IBB-CNR); University of Naples Federico II; Consiglio Nazionale delle Ricerche (CNR); Istituto di Bioscienze e Biorisorse (IBBR-CNR)</t>
  </si>
  <si>
    <t>Vitagliano, L (corresponding author), CNR, Inst Biostruct &amp; Bioimaging, Via Mezzocannone 16, Naples, Italy.;Vergara, A (corresponding author), Univ Napoli Federico II, Dept Chem Sci, Via Cinthia, I-80126 Naples, Italy.</t>
  </si>
  <si>
    <t>luigi.vitagliano@unina.it; avergara@unina.it</t>
  </si>
  <si>
    <t>Merlino, Antonello/AAI-2114-2020; Balasco, Nicole/JFK-4445-2023; Vergara, Alessandro/C-4435-2013</t>
  </si>
  <si>
    <t>Vergara, Alessandro/0000-0003-4135-0245</t>
  </si>
  <si>
    <t>CINECA Supercomputing (ISCRA@CINECA) [HP10C1G4W3 HsHbDYN]</t>
  </si>
  <si>
    <t>CINECA Supercomputing (ISCRA@CINECA)</t>
  </si>
  <si>
    <t>The authors thank Luca De Luca and Maurizio Amendola for technical support. CINECA Supercomputing (framework ISCRA@CINECA - project code HP10C1G4W3 HsHbDYN) is acknowledged for computational support.</t>
  </si>
  <si>
    <t>10.1038/s41598-019-55331-3</t>
  </si>
  <si>
    <t>JW4QT</t>
  </si>
  <si>
    <t>WOS:000503038600002</t>
  </si>
  <si>
    <t>McMahon, CR; Hindell, MA; Charrassin, JB; Corney, S; Guinet, C; Harcourt, R; Jonsen, I; Trebilco, R; Williams, G; Bestley, S</t>
  </si>
  <si>
    <t>McMahon, Clive R.; Hindell, Mark A.; Charrassin, Jean-Benoit; Corney, Stuart; Guinet, Christophe; Harcourt, Robert; Jonsen, Ian; Trebilco, Rowan; Williams, Guy; Bestley, Sophie</t>
  </si>
  <si>
    <t>Finding mesopelagic prey in a changing Southern Ocean</t>
  </si>
  <si>
    <t>SEALS MIROUNGA-LEONINA; ELEPHANT SEALS; STABLE-ISOTOPES; JUVENILE SOUTHERN; FORAGING BEHAVIOR; LUNAR CYCLE; DIET; HABITAT; PREDATOR; ECOLOGY</t>
  </si>
  <si>
    <t>Mesopelagic fish and squid occupy ocean depths extending below the photic zone and their vertical migrations represent a massive pathway moving energy and carbon through the water column. Their spatio-temporal distribution is however, difficult to map across remote regions particularly the vast Southern Ocean. This represents a key gap in understanding biogeochemical processes, marine ecosystem structure, and how changing ocean conditions will affect marine predators, which depend upon mesopelagic prey. We infer mesopelagic prey vertical distribution and relative abundance in the Indian sector of the Southern Ocean (20 degrees to 130 degrees E) with a novel approach using predator-derived indices. Fourteen years of southern elephant seal tracking and dive data, from the open ocean between the Antarctic Polar Front and the southern Antarctic Circumpolar Current front, clearly show that the vertical distribution of mesopelagic prey is influenced by the physical hydrographic processes that structure their habitat. Mesopelagic prey have a more restricted vertical migration and higher relative abundance closer to the surface where Circumpolar Deep Water rises to shallower depths. Combining these observations with a future projection of Southern Ocean conditions we show that changes in the coupling of surface and deep waters will potentially redistribute mesopelagic prey. These changes are small overall, but show important spatial variability: prey will increase in relative abundance to the east of the Kerguelen Plateau but decrease to the west. The consequences for deep-diving specialists such as elephant seals and whales over this time scale will likely be minor, but the changes in mesoscale vertical energy flow have implications for predators that forage within the mesopelagic zone as well as the broader pelagic ecosystem.</t>
  </si>
  <si>
    <t>[McMahon, Clive R.] Sydney Inst Marine Sci, 19 Chowder Bay Rd, Mosman, NSW 2088, Australia; [McMahon, Clive R.; Hindell, Mark A.; Corney, Stuart; Trebilco, Rowan; Williams, Guy; Bestley, Sophie] Inst Marine &amp; Antarctic Studies, IMAS Waterfront Bldg,20 Castray Esplanade, Battery Point, Tas 7004, Australia; [McMahon, Clive R.; Harcourt, Robert; Jonsen, Ian] Macquarie Univ, Dept Biol Sci, Sydney, NSW 2109, Australia; [Hindell, Mark A.; Trebilco, Rowan; Williams, Guy; Bestley, Sophie] Univ Tasmania, Antarctic Climate &amp; Ecosyst Cooperat Res Ctr, Private Bag 80, Hobart, Tas 7001, Australia; [Charrassin, Jean-Benoit] Univ Paris 06, LOcean, 4 Pl Jussieu, F-75005 Paris, France; [Guinet, Christophe] Univ Rochelle, CNRS, UMR 7372, Ctr Etud Biol Chize, Carrefour Canauderie, F-79360 Villiers En Bois, France; [Trebilco, Rowan] CSIRO Oceans &amp; Atmosphere, Hobart, Tas, Australia</t>
  </si>
  <si>
    <t>Sydney Institute of Marine Science; University of Tasmania; Macquarie University; University of Tasmania; Antarctic Climate &amp; Ecosystems Cooperative Research Centre (ACE CRC); Museum National d'Histoire Naturelle (MNHN); Sorbonne Universite; Centre National de la Recherche Scientifique (CNRS); CNRS - Institute of Ecology &amp; Environment (INEE); Commonwealth Scientific &amp; Industrial Research Organisation (CSIRO)</t>
  </si>
  <si>
    <t>McMahon, CR (corresponding author), Sydney Inst Marine Sci, 19 Chowder Bay Rd, Mosman, NSW 2088, Australia.;McMahon, CR (corresponding author), Inst Marine &amp; Antarctic Studies, IMAS Waterfront Bldg,20 Castray Esplanade, Battery Point, Tas 7004, Australia.;McMahon, CR (corresponding author), Macquarie Univ, Dept Biol Sci, Sydney, NSW 2109, Australia.</t>
  </si>
  <si>
    <t>clive.mcmahon@utas.edu.au</t>
  </si>
  <si>
    <t>McMahon, Clive R/D-5713-2013; Hindell, Mark A/K-1131-2013; Bestley, Sophie/AAN-2483-2021; Guinet, Christophe/AAR-8457-2020; Trebilco, Rowan/I-5311-2012</t>
  </si>
  <si>
    <t>McMahon, Clive R/0000-0001-5241-8917; Bestley, Sophie/0000-0001-9342-669X; Trebilco, Rowan/0000-0001-9712-8016; Jonsen, Ian/0000-0001-5423-6076; Corney, Stuart/0000-0002-8293-0863; Harcourt, Robert/0000-0003-4666-2934; Hindell, Mark/0000-0002-7823-7185</t>
  </si>
  <si>
    <t>Australian Government; French Polar Institute [109, 1201]; SNO-MEMO; CNES-TOSCA; Australia Research Council's Special Research Initiative for Antarctic Gateway Partnership [SR140300001]; DECRA [DE180100828]; Macquarie University; RJL Hawke postdoctoral fellowship</t>
  </si>
  <si>
    <t>Australian Government(Australian Government); French Polar Institute; SNO-MEMO; CNES-TOSCA; Australia Research Council's Special Research Initiative for Antarctic Gateway Partnership; DECRA; Macquarie University; RJL Hawke postdoctoral fellowship</t>
  </si>
  <si>
    <t>The ARGOS seal tracking and dive data were sourced from the Integrated Marine Observing System (IMOS). IMOS is a national collaborative research infrastructure, supported by the Australian Government. It is operated by a consortium of institutions as an unincorporated joint venture, with the University of Tasmania as lead agent. The International Argo Program provided the Argo floats hydrographic data (https://portal.aodn.org.au). The marine mammal hydrographic data were sourced from the International MEOP Consortium and the national programs that contribute to it (http://meop.net), including IMOS for the Australian data and Mammals as samplers of the Ocean Environment (MEMO) for the French data. This work was further also supported by the French Polar Institute (program 109: PI. H. Weimerskirch and 1201: PI. C. Gilbert and C. Guinet), the SNO-MEMO and CNES-TOSCA. We thank Indi Hodgson-Johnston for preparing Fig. 3. SB was supported under the Australia Research Council's Special Research Initiative for Antarctic Gateway Partnership (Project ID SR140300001) and DECRA award DE180100828., IJ was supported by a Macquarie University Co-Funded Fellowship.and RT was supported by the RJL Hawke postdoctoral fellowship.</t>
  </si>
  <si>
    <t>10.1038/s41598-019-55152-4</t>
  </si>
  <si>
    <t>JW0GA</t>
  </si>
  <si>
    <t>WOS:000502736600001</t>
  </si>
  <si>
    <t>Haiblen, AM; Opdyke, BN; Roberts, AP; Heslop, D; Wilson, PA</t>
  </si>
  <si>
    <t>Haiblen, A. M.; Opdyke, B. N.; Roberts, A. P.; Heslop, D.; Wilson, P. A.</t>
  </si>
  <si>
    <t>Midlatitude Southern Hemisphere Temperature Change at the End of the Eocene Greenhouse Shortly Before Dawn of the Oligocene Icehouse</t>
  </si>
  <si>
    <t>Eocene-Oligocene transition; paleotemperature; laser ablation mass spectrometry; foraminiferal Mg; Ca; stable isotopes; stratigraphy</t>
  </si>
  <si>
    <t>SEA-SURFACE TEMPERATURES; MAGNETIC PARTICLE-SYSTEMS; CALCAREOUS NANNOFOSSILS; FORAMINIFERAL BIOFACIES; ANTARCTIC GLACIATION; ICE GROWTH; MG/CA; PACIFIC; TRANSITION; BIOCHRONOLOGY</t>
  </si>
  <si>
    <t>The Eocene-Oligocene transition (EOT) marked the initiation of large-scale Antarctic glaciation. This fundamental change in Cenozoic climate state is recorded in deep-sea sediments by a rapid benthic foraminiferal delta O-18 increase and appearance of ice-rafted debris in the Southern Ocean. However, we know little about the magnitude of cooling associated with the EOT in shallow water environments, particularly at middle to high latitudes. Here we present new stratigraphic records of the C13r/C13n magnetochron boundary and the EOT in the clay-rich Blanche Point Formation, South Australia. The Blanche Point Formation was deposited in a shallow shelf setting (water depths of &lt;100 m) at a paleolatitude of 51 degrees S. We present high-resolution delta O-18, delta C-13, and Mg/Ca records of environmental change from well-preserved benthic foraminifera of latest Eocene age at this site. A marked, negative delta C-13 excursion occurs immediately before EOT Step 1 and may be a globally representative signal. An 2 degrees C cooling of shallow shelf seawater is evident from benthic foraminiferal Mg/Ca across Step 1. This cooling signal is both sufficient to account fully for the delta O-18 increase in our data and is of similar amplitude to that documented in published records for shallow shelf and upper water column open ocean settings, which suggests no obvious polar amplification of this cooling signal. Our results strengthen the evidence base for attributing EOT Step 1 to global cooling with little contribution from ice volume growth and contradict the mechanism suggested to explain the inferred northward migration of the intertropical convergence zone in the contemporaneous equatorial Pacific Ocean.</t>
  </si>
  <si>
    <t>[Haiblen, A. M.; Opdyke, B. N.; Roberts, A. P.; Heslop, D.] Australian Natl Univ, Res Sch Earth Sci, Canberra, ACT, Australia; [Haiblen, A. M.] Geosci Australia, Symonston, Australia; [Wilson, P. A.] Univ Southampton, Natl Oceanog Ctr Southampton, Southampton, Hants, England</t>
  </si>
  <si>
    <t>Australian National University; Geoscience Australia; University of Southampton; NERC National Oceanography Centre</t>
  </si>
  <si>
    <t>Haiblen, AM (corresponding author), Australian Natl Univ, Res Sch Earth Sci, Canberra, ACT, Australia.;Haiblen, AM (corresponding author), Geosci Australia, Symonston, Australia.</t>
  </si>
  <si>
    <t>anna.haiblen@ga.gov.au; bradley.opdyke@anu.edu.au</t>
  </si>
  <si>
    <t>Heslop, David/AGE-1592-2022; Roberts, Andrew P/E-6422-2010</t>
  </si>
  <si>
    <t>Heslop, David/0000-0001-8245-0555; Haiblen, Anna/0000-0002-9773-8030; Roberts, Andrew P./0000-0003-0566-8117</t>
  </si>
  <si>
    <t>10.1029/2019PA003679</t>
  </si>
  <si>
    <t>WOS:000502229100001</t>
  </si>
  <si>
    <t>Cox, SL; Authier, M; Orgeret, F; Weimerskirch, H; Guinet, C</t>
  </si>
  <si>
    <t>Cox, Sam L.; Authier, Matthieu; Orgeret, Florian; Weimerskirch, Henri; Guinet, Christophe</t>
  </si>
  <si>
    <t>High mortality rates in a juvenile free-ranging marine predator and links to dive and forage ability</t>
  </si>
  <si>
    <t>bio-logging; early life; foraging ecology; juvenile mortality; Mirounga leonina; southern elephant seal; survival analyses</t>
  </si>
  <si>
    <t>SOUTHERN ELEPHANT SEALS; ANTARCTIC FUR SEALS; MIROUNGA-LEONINA; BODY CONDITION; REGULARIZATION PATHS; VARIABLE SELECTION; WEANING MASS; SURVIVAL; BEHAVIOR; POPULATION</t>
  </si>
  <si>
    <t>High juvenile mortality rates are typical of many long-lived marine vertebrate predators. Insufficient development in dive and forage ability is considered a key driver of this. However, direct links to survival outcome are sparse, particularly in free-ranging marine animals that may not return to land. In this study, we conduct exploratory investigations toward early mortality in juvenile southern elephant seals Mirounga leonina. Twenty postweaning pups were equipped with (a) a new-generation satellite relay data tag, capable of remotely transmitting fine-scale behavioral movements from accelerometers, and (b) a location transmitting only tag (so that mortality events could be distinguished from device failures). Individuals were followed during their first trip at sea (until mortality or return to land). Two analyses were conducted. First, the behavioral movements and encountered environmental conditions of nonsurviving pups were individually compared to temporally concurrent observations from grouped survivors. Second, common causes of mortality were investigated using Cox's proportional hazard regression and penalized shrinkage techniques. Nine individuals died (two females and seven males) and 11 survived (eight females and three males). All but one individual died before the return phase of their first trip at sea, and all but one were negatively buoyant. Causes of death were variable, although common factors included increased horizontal travel speeds and distances, decreased development in dive and forage ability, and habitat type visited (lower sea surface temperatures and decreased total [eddy] kinetic energy). For long-lived marine vertebrate predators, such as the southern elephant seal, the first few months of life following independence represent a critical period, when small deviations in behavior from the norm appear sufficient to increase mortality risk. Survival rates may subsequently be particularly vulnerable to changes in climate and environment, which will have concomitant consequences on the demography and dynamics of populations.</t>
  </si>
  <si>
    <t>[Cox, Sam L.; Orgeret, Florian; Weimerskirch, Henri; Guinet, Christophe] CNRS, UMR 7372, Ctr Etud Biol Chize, F-79360 Villiers En Bois, France; [Cox, Sam L.; Orgeret, Florian; Weimerskirch, Henri; Guinet, Christophe] Univ La Rochelle, F-79360 Villiers En Bois, France; [Cox, Sam L.] UMR MARBEC, Stn Ifremer Sete, Sete, France; [Cox, Sam L.] CNES, Toulouse, France; [Authier, Matthieu] Univ La Rochelle, UMS 3462, Observ PELAGIS, La Rochelle, France; [Authier, Matthieu] CNRS, La Rochelle, France; [Authier, Matthieu] ADERA, Pessac, France</t>
  </si>
  <si>
    <t>Centre National de la Recherche Scientifique (CNRS); CNRS - Institute of Ecology &amp; Environment (INEE); La Rochelle Universite; Universite de Montpellier; Ifremer; La Rochelle Universite; Centre National de la Recherche Scientifique (CNRS); CNRS - Institute of Ecology &amp; Environment (INEE); Centre National de la Recherche Scientifique (CNRS)</t>
  </si>
  <si>
    <t>Cox, SL (corresponding author), CNRS, UMR 7372, Ctr Etud Biol Chize, F-79360 Villiers En Bois, France.</t>
  </si>
  <si>
    <t>slcox417@gmail.com</t>
  </si>
  <si>
    <t>Guinet, Christophe/AAR-8457-2020; Weimerskirch, Henri/F-5562-2013; Cox, S L/AEX-9613-2022; Cox, S L/ABD-5059-2021</t>
  </si>
  <si>
    <t>Cox, S L/0000-0002-5409-4458; Cox, S L/0000-0002-5409-4458</t>
  </si>
  <si>
    <t>FP7 Ideas: European Research Council [FP7/2007-2013/ERC-2012-ADG_20120314]; Institut Polaire Francais Paul Emile Victor [109]</t>
  </si>
  <si>
    <t>FP7 Ideas: European Research Council(European Research Council (ERC)); Institut Polaire Francais Paul Emile Victor</t>
  </si>
  <si>
    <t>FP7 Ideas: European Research Council, Grant/Award Number: FP7/2007-2013/ERC-2012-ADG_20120314; Institut Polaire Francais Paul Emile Victor, Grant/Award Number: program 109</t>
  </si>
  <si>
    <t>10.1002/ece3.5905</t>
  </si>
  <si>
    <t>WOS:000502011200001</t>
  </si>
  <si>
    <t>Gudmundsson, GH; Paolo, FS; Adusumilli, S; Fricker, HA</t>
  </si>
  <si>
    <t>Gudmundsson, G. Hilmar; Paolo, Fernando S.; Adusumilli, Susheel; Fricker, Helen A.</t>
  </si>
  <si>
    <t>Instantaneous Antarctic ice sheet mass loss driven by thinning ice shelves</t>
  </si>
  <si>
    <t>Glaciology; Antartica; Ice-flow modelling</t>
  </si>
  <si>
    <t>GLACIER; RETREAT; SIMULATIONS; VARIABILITY; SECTOR; FLOW</t>
  </si>
  <si>
    <t>Recent observations show that the rate at which the Antarctic ice sheet (AIS) is contributing to sea level rise is increasing. Increases in ice-ocean heat exchange have the potential to induce substantial mass loss through the melting of its ice shelves. Lack of data and limitations in modeling, however, has made it challenging to quantify the importance of ocean-induced changes in ice shelf thickness as a driver for ongoing mass loss. Here, we use a numerical ice sheet model in combination with satellite observations of ice shelf thinning from 1994 to 2017 to quantify instantaneous changes in ice flow across all AIS grounding lines, resulting from changes in ice shelf buttressing alone. Our process-based predictions are in good agreement with observed spatial patterns of ice loss, providing support for the notion that a significant portion of the current ice loss of the AIS is ocean driven and caused by a reduction in ice shelf buttressing.</t>
  </si>
  <si>
    <t>[Gudmundsson, G. Hilmar] Northumbria Univ, Dept Geog &amp; Environm Sci, Newcastle Upon Tyne, Tyne &amp; Wear, England; [Paolo, Fernando S.] CALTECH, Jet Prop Lab, Pasadena, CA USA; [Adusumilli, Susheel; Fricker, Helen A.] Univ Calif San Diego, Scripps Inst Oceanog, San Diego, CA 92103 USA</t>
  </si>
  <si>
    <t>Northumbria University; National Aeronautics &amp; Space Administration (NASA); NASA Jet Propulsion Laboratory (JPL); California Institute of Technology; University of California System; University of California San Diego; Scripps Institution of Oceanography</t>
  </si>
  <si>
    <t>Gudmundsson, GH (corresponding author), Northumbria Univ, Dept Geog &amp; Environm Sci, Newcastle Upon Tyne, Tyne &amp; Wear, England.</t>
  </si>
  <si>
    <t>hilmar.gudmundsson@northumbria.ac.uk</t>
  </si>
  <si>
    <t>Paolo, Fernando/AGQ-9348-2022; Gudmundsson, Gudmundur Hilmar/AAU-5987-2020</t>
  </si>
  <si>
    <t>Paolo, Fernando/0000-0002-6439-2918; Gudmundsson, Gudmundur Hilmar/0000-0003-4236-5369; Fricker, Helen Amanda/0000-0002-0921-1432</t>
  </si>
  <si>
    <t>European Union [820575]; NSFPLR-NERC [NE/S006745/1]; NASA [NESSF 19-EARTH19R-0069, NNX17AG63G]; NERC [NE/S006745/1] Funding Source: UKRI; H2020 Societal Challenges Programme [820575] Funding Source: H2020 Societal Challenges Programme</t>
  </si>
  <si>
    <t>European Union(European Union (EU)); NSFPLR-NERC; NASA(National Aeronautics &amp; Space Administration (NASA)); NERC(UK Research &amp; Innovation (UKRI)Natural Environment Research Council (NERC)); H2020 Societal Challenges Programme(Horizon 2020European Union (EU)H2020 Societal Challenges Programme)</t>
  </si>
  <si>
    <t>This research was supported by the European Union's Horizon 2020 research and innovation progra under grant agreement no. 820575 (TiPACCs) and the NSFPLR-NERC funded project: Processes, drivers, predictions: Modeling the response of Thwaites Glacier over the next century using ice/ocean coupled models (NE/S006745/1). F. P., S. A., and H. A. F. were all supported by NASA: FP by the MEaSUREs program as part of the ITS_LIVE project; SA through an NESSF 19-EARTH19R-0069, and HAF through award NNX17AG63G. The ice shelf thickness change data used in this study are available through NASA's EarthData (https://sealevel.nasa.gov/data/dataset/?identifier=SLCP_ice_ shelf_dh_v1_1). The ice shelf heightrelated data generated and analyzed during the current study are available in the PANGAEA repository (https://doi.pangaea.de/10.1594/PANGAEA.882376).The climate data that support the findings of this study are available in the ESR repository (ftp://ftp.esr.org/pub/datasets/ERA_ Int/ngeo18).</t>
  </si>
  <si>
    <t>10.1029/2019GL085027</t>
  </si>
  <si>
    <t>JZ8ZT</t>
  </si>
  <si>
    <t>WOS:000501928600001</t>
  </si>
  <si>
    <t>Karanovic, I</t>
  </si>
  <si>
    <t>Karanovic, Ivana</t>
  </si>
  <si>
    <t>Two new Pontocyprididae (Ostracoda) species from Korea</t>
  </si>
  <si>
    <t>JOURNAL OF NATURAL HISTORY</t>
  </si>
  <si>
    <t>Biodiversity; East Asia; Ekpontocypris; Schedopontocypris; taxonomic key</t>
  </si>
  <si>
    <t>Pontocyprididae is a diverse ostracod family with over 300 species described so far. It has a worldwide distribution in various marine ecosystems. I describe two new species belonging to Ekpontocypris Maddocks, 1969 and Schedopontocypris Maddocks, 1969. They have been collected from shallow littoral and interstitial waters from the east coast of Korea. This is the first record of the family from this country. Two new species differ from their closest congeners mostly by male sexual characters, including morphology of the hemipenis and prehensile palps. Taxonomic keys to living representatives of Ekpontocypris and genera of Pontocyprididae are provided. http://www.zoobank.org/urn:lsid:zoobank.org:act:1B3664EA-4999-4625-81A3-9BE31D11F517 http://www.zoobank.org/urn:lsid:zoobank.org:act:A18697AE-F331-4E10-B1E6-866752F83ADA</t>
  </si>
  <si>
    <t>[Karanovic, Ivana] Hanyang Univ, Dept Life Sci, Nat Sci, Seoul, South Korea; [Karanovic, Ivana] Univ Tasmania, Inst Marine &amp; Antarctic Studies, Hobart, Tas, Australia</t>
  </si>
  <si>
    <t>Hanyang University; University of Tasmania</t>
  </si>
  <si>
    <t>Karanovic, I (corresponding author), Hanyang Univ, Dept Life Sci, Nat Sci, Seoul, South Korea.;Karanovic, I (corresponding author), Univ Tasmania, Inst Marine &amp; Antarctic Studies, Hobart, Tas, Australia.</t>
  </si>
  <si>
    <t>ivana@hanyang.ac.kr</t>
  </si>
  <si>
    <t>National Institute of Biological Resources (Korea) grant [NIBR201839201]</t>
  </si>
  <si>
    <t>National Institute of Biological Resources (Korea) grant</t>
  </si>
  <si>
    <t>National Institute of Biological Resources (Korea) grant (NIBR201839201).</t>
  </si>
  <si>
    <t>0022-2933</t>
  </si>
  <si>
    <t>1464-5262</t>
  </si>
  <si>
    <t>J NAT HIST</t>
  </si>
  <si>
    <t>J. Nat. Hist.</t>
  </si>
  <si>
    <t>DEC 10</t>
  </si>
  <si>
    <t>45-46</t>
  </si>
  <si>
    <t>10.1080/00222933.2020.1752404</t>
  </si>
  <si>
    <t>Biodiversity Conservation; Ecology; Zoology</t>
  </si>
  <si>
    <t>Biodiversity &amp; Conservation; Environmental Sciences &amp; Ecology; Zoology</t>
  </si>
  <si>
    <t>LK7HK</t>
  </si>
  <si>
    <t>WOS:000531033000003</t>
  </si>
  <si>
    <t>Hinke, JT; Santos, MM; Korczak-Abshire, M; Milinevsky, G; Watters, GM</t>
  </si>
  <si>
    <t>Hinke, Jefferson T.; Santos, Maria M.; Korczak-Abshire, Malgorzata; Milinevsky, Gennadi; Watters, George M.</t>
  </si>
  <si>
    <t>Individual variation in migratory movements of chinstrap penguins leads to widespread occupancy of ice-free winter habitats over the continental shelf and deep ocean basins of the Southern Ocean</t>
  </si>
  <si>
    <t>SEA-ICE; SHETLAND ISLANDS; POPULATIONS; CLIMATE; MODEL; MANAGEMENT; DECLINES; EXTENT</t>
  </si>
  <si>
    <t>A goal of tracking migratory animals is to characterize the habitats they use and to interpret population processes with respect to conditions experienced en route to, and within, overwintering areas. For migratory seabirds with broad breeding ranges, inferring population-level effects of environmental conditions that are experienced during migratory periods would benefit by directly comparing how birds from different breeding aggregations disperse, characterizing the physical conditions of areas they use, and determining whether they occupy shared foraging areas. We therefore tracked 41 adult and juvenile chinstrap penguins (Pygoscelis antarctica) from three breeding locations in the northern Antarctic Peninsula region during the austral winter of 2017. The satellite tracking data revealed overlap of individuals over continental shelf areas during autumn months (Mar-May), shared outbound corridors that track the southern Antarctic circumpolar current front, followed by occupancy of progressively colder, deeper, and ice-free waters that spanned the entire western hemisphere south of the Polar Front. Despite broadly similar physical environments used by individuals from different colonies, the proportion of birds from each colony that remained within 500km of their colony was positively correlated with their local population trends. This suggests that local migration strategies near the Antarctic Peninsula may benefit breeding populations. However, the magnitude of inter-colony and intra-colony overlap was generally low given the broad scale of habitats occupied. High individual variation in winter movements suggests that habitat selection among chinstrap penguins is more opportunistic, without clear colony-specific preference for fine-scale foraging hotspots. Mixing of individuals from multiple colonies across broad regions of the Southern Ocean would expose chinstrap penguins from the Antarctic Peninsula to a shared environmental experience that helps explain the regional decline in their abundance.</t>
  </si>
  <si>
    <t>[Hinke, Jefferson T.; Watters, George M.] Natl Ocean &amp; Atmospher Adm, Antarctic Ecosyst Res Div, Southwest Fisheries Sci Ctr, Natl Marine Fisheries Serv, La Jolla, CA 92037 USA; [Santos, Maria M.] Inst Antartico Argentino, Dept Biol Predadores Tope, San Martin, Argentina; [Santos, Maria M.] Univ Nacl La Plata, Fac Ciencias Nat &amp; Museo, Lab Anexos, La Plata, Buenos Aires, Argentina; [Korczak-Abshire, Malgorzata] Polish Acad Sci, Inst Biochem &amp; Biophys, Warsaw, Poland; [Milinevsky, Gennadi] Natl Antarctic Sci Ctr Ukraine, Kiev, Ukraine</t>
  </si>
  <si>
    <t>National Oceanic Atmospheric Admin (NOAA) - USA; Instituto Antartico Argentino; National University of La Plata; Museo La Plata; Polish Academy of Sciences; Institute of Biochemistry &amp; Biophysics - Polish Academy of Sciences; Ministry of Education &amp; Science of Ukraine; State Institution National Antarctic Scientific Center</t>
  </si>
  <si>
    <t>Hinke, JT (corresponding author), Natl Ocean &amp; Atmospher Adm, Antarctic Ecosyst Res Div, Southwest Fisheries Sci Ctr, Natl Marine Fisheries Serv, La Jolla, CA 92037 USA.</t>
  </si>
  <si>
    <t>Jefferson.Hinke@noaa.gov</t>
  </si>
  <si>
    <t>, Jefferson/AAG-1702-2021; Watters, George/HPE-2184-2023; Korczak-Abshire, Malgorzata/AAA-1563-2020; Milinevsky, Gennadi/AAD-8801-2019</t>
  </si>
  <si>
    <t>, Jefferson/0000-0002-3600-1414; Watters, George/0000-0002-6989-1273; Korczak-Abshire, Malgorzata/0000-0001-7695-0588; Milinevsky, Gennadi/0000-0002-2342-2615</t>
  </si>
  <si>
    <t>Commission for the Conservation of Antarctic Marine Living Resources Ecosystem Monitoring Program Fund; NASA MEaSUREs program; Henryk Arctowski Polish Antarctic Station; CCAMLR CEMP Special Fund; Instituto Antartico Argentino-Direccion Nacional del Antartico</t>
  </si>
  <si>
    <t>This work was supported by the Commission for the Conservation of Antarctic Marine Living Resources Ecosystem Monitoring Program Fund (https://www.ccamlr.org/).This funder had no role in study design, data collection and analysis, or preparation of the manuscript.; We thank M. Klostermann, N. de Gracia, E. Przepiorka, D. Czajka, B. Matuszczak, and A. Garaycochea for assistance in the field to deploy transmitters. Funds for the satellite tags were provided the CCAMLR CEMP Special Fund. MUR SST data and EUMETSAT OSI SAF SIC data were provided by JPL under support by NASA MEaSUREs program. We acknowledge that part of the data used here was collected with support of Henryk Arctowski Polish Antarctic Station. We thank the Instituto Antartico Argentino-Direccion Nacional del Antartico for support at Cierva Cove. Reference to any specific commercial products, process, or service by trade name, trademark, manufacturer, or otherwise, does not constitute or imply its recommendation, or favoring by the United States Government or NOAA/National Marine Fisheries Service.</t>
  </si>
  <si>
    <t>e0226207</t>
  </si>
  <si>
    <t>10.1371/journal.pone.0226207</t>
  </si>
  <si>
    <t>JX6TL</t>
  </si>
  <si>
    <t>Green Published, gold, Green Submitted</t>
  </si>
  <si>
    <t>WOS:000503864700001</t>
  </si>
  <si>
    <t>Smith, JA; Graham, AGC; Post, AL; Hillenbrand, CD; Bart, PJ; Powell, RD</t>
  </si>
  <si>
    <t>Smith, James A.; Graham, Alastair G. C.; Post, Alix L.; Hillenbrand, Claus-Dieter; Bart, Philip J.; Powell, Ross D.</t>
  </si>
  <si>
    <t>The marine geological imprint of Antarctic ice shelves</t>
  </si>
  <si>
    <t>PINE ISLAND GLACIER; ROSS SEA; EAST ANTARCTICA; SEDIMENT CORES; SOUTHERN-OCEAN; SURFACE-TEMPERATURE; STREAM RETREAT; TOTTEN GLACIER; GROUNDING-LINE; BENEATH</t>
  </si>
  <si>
    <t>Reductions in the thickness and extent of Antarctic ice shelves are triggering increased discharge of marine-terminating glaciers. While the impacts of recent changes are well documented, their role in modulating past ice-sheet dynamics remains poorly constrained. This reflects two persistent issues; first, the effective discrimination of sediments and landforms solely attributable to sub-ice-shelf deposition, and second, challenges in dating these records. Recent progress in deciphering the geological imprint of Antarctic ice shelves is summarised, including advances in dating methods and proxies to reconstruct drivers of change. Finally, we identify several challenges to overcome to fully exploit the paleo record.</t>
  </si>
  <si>
    <t>[Smith, James A.; Hillenbrand, Claus-Dieter] British Antarctic Survey, Madingley Rd, Cambridge CB3 0ET, England; [Graham, Alastair G. C.] Univ Exeter, Coll Life &amp; Environm Sci, Exeter, Devon, England; [Post, Alix L.] Geosci Australia, GPO Box 378, Canberra, ACT 2601, Australia; [Bart, Philip J.] Louisiana State Univ, Dept Geol &amp; Geophys, Baton Rouge, LA 70803 USA; [Powell, Ross D.] Northern Illinois Univ, Dept Geol &amp; Environm Geosci, De Kalb, IL 60115 USA; [Graham, Alastair G. C.] Univ S Florida, Coll Marine Sci, St Petersburg, FL 33701 USA</t>
  </si>
  <si>
    <t>UK Research &amp; Innovation (UKRI); Natural Environment Research Council (NERC); NERC British Antarctic Survey; University of Exeter; Geoscience Australia; Louisiana State University System; Louisiana State University; Northern Illinois University; State University System of Florida; University of South Florida</t>
  </si>
  <si>
    <t>Smith, JA (corresponding author), British Antarctic Survey, Madingley Rd, Cambridge CB3 0ET, England.</t>
  </si>
  <si>
    <t>jaas@bas.ac.uk</t>
  </si>
  <si>
    <t>Smith, James/0000-0002-1333-2544</t>
  </si>
  <si>
    <t>British Antarctic Survey, Natural Environment Research Council (NERC), Polar Science for Planet Earth programme; NERC [NE/M013081/1]; NSF [1246357]; NERC [bas0100030, NE/M013081/1] Funding Source: UKRI</t>
  </si>
  <si>
    <t>British Antarctic Survey, Natural Environment Research Council (NERC), Polar Science for Planet Earth programme; NERC(UK Research &amp; Innovation (UKRI)Natural Environment Research Council (NERC)); NSF(National Science Foundation (NSF)); NERC(UK Research &amp; Innovation (UKRI)Natural Environment Research Council (NERC))</t>
  </si>
  <si>
    <t>This research has been supported by the British Antarctic Survey, Natural Environment Research Council (NERC), Polar Science for Planet Earth programme. J.A.S. and C.D.H. were additionally supported by NERC grant NE/M013081/1. A.L.P. publishes with the permission of the Chief Executive Officer, Geoscience Australia. P.J.B. was supported by NSF research grant #1246357. Figure 2 is based on a schematic originally drafted by Becky Minzoni and we thank her for allowing use of it here. J.A.S. also wishes to acknowledge and thank Eugene Domack who was involved in early discussion about this paper but sadly passed away before a draft was complete.</t>
  </si>
  <si>
    <t>10.1038/s41467-019-13496-5</t>
  </si>
  <si>
    <t>JW7AV</t>
  </si>
  <si>
    <t>WOS:000503201500001</t>
  </si>
  <si>
    <t>Kern, S; Lavergne, T; Notz, D; Pedersen, LT; Tonboe, RT; Saldo, R; Sorensen, M</t>
  </si>
  <si>
    <t>Kern, Stefan; Lavergne, Thomas; Notz, Dirk; Pedersen, Leif Toudal; Tonboe, Rasmus Tage; Saldo, Roberto; Sorensen, MacDonald</t>
  </si>
  <si>
    <t>Satellite passive microwave sea-ice concentration data set intercomparison: closed ice and ship-based observations</t>
  </si>
  <si>
    <t>CONCENTRATION ALGORITHMS; LONG-TERM; RECORD; EXTENT; COVER; SSM/I; RETRIEVAL; CLIMATE; MODEL; PARAMETERS</t>
  </si>
  <si>
    <t>We report on results of a systematic intercomparison of 10 global sea-ice concentration (SIC) data products at 12.5 to 50.0 km grid resolution for both the Arctic and the Antarctic. The products are compared with each other with respect to differences in SIC, sea-ice area (SIA), and sea-ice extent (SIE), and they are compared against a global wintertime near-100 % reference SIC data set for closed pack ice conditions and against global year-round ship-based visual observations of the sea-ice cover. We can group the products based on the concept of their SIC retrieval algorithms. Group I consists of data sets using the self-optimizing EUMETSAT OSI SAF and ESA CCI algorithms. Group II includes data using the Comiso bootstrap algorithm and the NOAA NSIDC sea-ice concentration climate data record (CDR). The standard NASA Team and the ARTIST Sea Ice (ASI) algorithms are put into group III, and NASA Team 2 is the only element of group IV. The three CDRs of group I (SICCI-25km, SICCI-50km, and OSI-450) are biased low compared to a 100 % reference SIC data set with biases of - 0.4 % to -1.0 % (Arctic) and -0.3 % to -1.1 % (Antarctic). Products of group II appear to be mostly biased high in the Arctic by between +1.0 % and +3.5 %, while their biases in the Antarctic range from -0.2 % to +0.9 %. Group III product biases are different for the Arctic, +0.9 % (NASA Team) and -3.7 % (ASI), but similar for the Antarctic, -5.4 % and -5.6 %, respectively. The standard deviation is smaller in the Arctic for the quoted group I products (1.9 % to 2.9 %) and Antarctic (2.5 % to 3.1 %) than for group II and III products: 3.6 % to 5.0 % for the Arctic and 4.0 % to 6.5 % for the Antarctic. We refer to the paper to understand why we could not give values for group IV here. We discuss the impact of truncating the SIC distribution, as naturally retrieved by the algorithms around the 100 % sea-ice concentration end. We show that evaluation studies of such truncated SIC products can result in misleading statistics and favour data sets that systematically overestimate SIC. We describe a method to reconstruct the non-truncated distribution of SIC before the evaluation is performed. On the basis of this evaluation, we open a discussion about the overestimation of SIC in data products, with far-reaching consequences for surface heat flux estimations in winter. We also document inconsistencies in the behaviour of the weather filters used in products of group II, and we suggest advancing studies about the influence of these weather filters on SIA and SIE time series and their trends.</t>
  </si>
  <si>
    <t>[Kern, Stefan] Univ Hamburg, Ctr Earth Syst Res &amp; Sustainabil CEN, ICDC, Hamburg, Germany; [Lavergne, Thomas; Sorensen, MacDonald] Norwegian Meteorol Inst, Res &amp; Dev Dept, Oslo, Norway; [Notz, Dirk] Univ Hamburg, Inst Marine Res, Hamburg, Germany; [Notz, Dirk] Max Planck Inst Meteorol, Hamburg, Germany; [Pedersen, Leif Toudal; Saldo, Roberto] Danish Tech Univ, Lyngby, Denmark; [Tonboe, Rasmus Tage] Danish Meteorol Inst, Copenhagen, Denmark</t>
  </si>
  <si>
    <t>University of Hamburg; Norwegian Meteorological Institute; University of Hamburg; Max Planck Society; Technical University of Denmark; Danish Meteorological Institute DMI</t>
  </si>
  <si>
    <t>Kern, S (corresponding author), Univ Hamburg, Ctr Earth Syst Res &amp; Sustainabil CEN, ICDC, Hamburg, Germany.</t>
  </si>
  <si>
    <t>stefan.kern@uni-hamburg.de</t>
  </si>
  <si>
    <t>Pedersen, Leif Toudal/ABA-9687-2020; Notz, Dirk/P-4428-2017</t>
  </si>
  <si>
    <t>Pedersen, Leif Toudal/0000-0001-7913-6282; Notz, Dirk/0000-0003-0365-5654; Saldo, Roberto/0000-0003-4716-438X; Kern, Stefan/0000-0001-7281-3746; Lavergne, Thomas/0000-0002-9498-4551; Sorensen, Atle/0000-0002-7401-3416; Tonboe, Rasmus Tage/0000-0003-1463-4832</t>
  </si>
  <si>
    <t>EUMETSAT (Second Continuous Developments and Operation Phase of OSI SAF); ESA (Climate Change Initiative Sea_Ice_cci project); German Research Foundation (DFG) Excellence Initiative CLISAP [EXC 177/2]; Deutsche Forschungsgemeinschaft (DFG, German Research Foundation) under Germany's Excellence Strategy - EXC 2037 CLiCCS - Climate, Climatic Change, and Society [390683824]</t>
  </si>
  <si>
    <t>EUMETSAT (Second Continuous Developments and Operation Phase of OSI SAF); ESA (Climate Change Initiative Sea_Ice_cci project); German Research Foundation (DFG) Excellence Initiative CLISAP(German Research Foundation (DFG)); Deutsche Forschungsgemeinschaft (DFG, German Research Foundation) under Germany's Excellence Strategy - EXC 2037 CLiCCS - Climate, Climatic Change, and Society(German Research Foundation (DFG))</t>
  </si>
  <si>
    <t>The work presented here was funded by EUMETSAT (through the Second Continuous Developments and Operation Phase of OSI SAF), ESA (through the Climate Change Initiative Sea_Ice_cci project), and the German Research Foundation (DFG) Excellence Initiative CLISAP under grant EXC 177/2. The publication itself is funded by the Deutsche Forschungsgemeinschaft (DFG, German Research Foundation) under Germany's Excellence Strategy - EXC 2037 CLiCCS - Climate, Climatic Change, and Society -project number: 390683824, contribution to the Center for Earth System Research and Sustainability (CEN) of the University of Hamburg.</t>
  </si>
  <si>
    <t>10.5194/tc-13-3261-2019</t>
  </si>
  <si>
    <t>JV3QS</t>
  </si>
  <si>
    <t>WOS:000502281400001</t>
  </si>
  <si>
    <t>Maly, M; Schattner, U; Lobo, FJ; Dias, RJS; Ramos, RB; Couto, DDM; Sumida, PYG; de Mahiques, MM</t>
  </si>
  <si>
    <t>Maly, Mascimiliano; Schattner, Uri; Jose Lobo, Francisco; Soares Dias, Rodolfo Jasao; Ramos, Raissa Basti; Couto, Daniel de Matos; Gomes Sumida, Paulo Yukio; de Mahiques, Michel Michaelovitch</t>
  </si>
  <si>
    <t>The Alpha Crucis Carbonate Ridge (ACCR): Discovery of a giant ring-shaped carbonate complex on the SW Atlantic margin</t>
  </si>
  <si>
    <t>WATER CORAL MOUNDS; OBLIQUELY RIFTED MARGIN; ROCKALL TROUGH MARGIN; SANTOS BASIN; CONTINENTAL-MARGIN; PASSIVE MARGINS; SALT TECTONICS; OXYGEN CONTROL; DEEP; CAMPOS</t>
  </si>
  <si>
    <t>Recently acquired bathymetric and high-resolution seismic data from the upper slope of Santos Basin, southern Brazilian margin, reveal a major geomorphological feature in the SW Atlantic that is interpreted as a carbonate ridge - the Alpha Crucis Carbonate Ridge (ACCR). The ACCR is the first megastructure of this type described on the SW Atlantic margin. The -17 x 11-km-wide ring-shaped ACCR features tens of &gt;100-m-high steep-sided carbonate mounds protruding from the surrounding seabed and flanked by elongated depressions. Comet-like marks downstream of the mound structures indicate that the area is presently influenced by the northward flow of the Intermediate Western Boundary Current (IWBC), a branch of the Subtropical Gyre that transports Antarctic Intermediate Water. Abundant carbonate sands and gravels cover the mounds and are overlain by a biologically significant community of living and dead ramified corals and associated invertebrates. The IWBC acts as a hydrodynamic factor that is responsible for both shaping the bottom and transporting coral larvae. We contend that the ACCR was formed by upward fluid flow along active sub-surface faults and fractures that formed by lateral extension generated by the ascending movement of salt diapirs at depth. The ACCR provides an important modern and accessible analogue for a seabed carbonate build-up related to sub-surface hydrocarbon systems.</t>
  </si>
  <si>
    <t>[Maly, Mascimiliano; Soares Dias, Rodolfo Jasao; Ramos, Raissa Basti; Couto, Daniel de Matos; Gomes Sumida, Paulo Yukio; de Mahiques, Michel Michaelovitch] Univ Sao Paulo, Oceanog Inst, Sao Paulo, SP, Brazil; [Schattner, Uri] Univ Haifa, Leon H Charney Sch Marine Sci, Dr Moses Strauss Dept Marine Geosci, Haifa, Israel; [Jose Lobo, Francisco] Univ Granada, CSIC, Inst Andaluz Ciencias Tierra, Armilla, Spain; [de Mahiques, Michel Michaelovitch] Univ Sao Paulo, Inst Energy &amp; Environm, Sao Paulo, SP, Brazil</t>
  </si>
  <si>
    <t>Universidade de Sao Paulo; University of Haifa; University of Granada; Consejo Superior de Investigaciones Cientificas (CSIC); CSIC - Instituto Andaluz de Ciencias de la Tierra (IACT); Universidade de Sao Paulo</t>
  </si>
  <si>
    <t>de Mahiques, MM (corresponding author), Univ Sao Paulo, Oceanog Inst, Sao Paulo, SP, Brazil.;de Mahiques, MM (corresponding author), Univ Sao Paulo, Inst Energy &amp; Environm, Sao Paulo, SP, Brazil.</t>
  </si>
  <si>
    <t>mahiques@usp.br</t>
  </si>
  <si>
    <t>Maly, Mascimiliano/AAW-4575-2021; Schattner, Uri/AAC-7679-2019; Lobo, Francisco José/J-9836-2012; Mahiques, Michel/D-1526-2010; Sumida, Paulo Y G/F-2561-2011</t>
  </si>
  <si>
    <t>Maly, Mascimiliano/0000-0002-9541-4454; Schattner, Uri/0000-0002-4453-4552; Lobo, Francisco José/0000-0002-3294-7202; Mahiques, Michel/0000-0002-5249-5610; Sumida, Paulo Y G/0000-0001-7549-4541; Couto, Daniel/0000-0002-5847-2196; RAMOS, RAISSA/0000-0002-7652-2249</t>
  </si>
  <si>
    <t>Sao Paulo Science Foundation (FAPESP) [2014/08266-2, 2015/17763-2, 2016/22194-0]; Brazilian National Research Council (CNPq) [300962/2018-5]; FAPESP [2017/50191-8]; CNPq [401041/2014-0]; Shell Brasil through the BIOIL project at the Oceanographic Institute of the University of Sao Paulo; ANP through R&amp;D levy regulation</t>
  </si>
  <si>
    <t>Sao Paulo Science Foundation (FAPESP)(Fundacao de Amparo a Pesquisa do Estado de Sao Paulo (FAPESP)); Brazilian National Research Council (CNPq)(Conselho Nacional de Desenvolvimento Cientifico e Tecnologico (CNPQ)); FAPESP(Fundacao de Amparo a Pesquisa do Estado de Sao Paulo (FAPESP)); CNPq(Conselho Nacional de Desenvolvimento Cientifico e Tecnologico (CNPQ)); Shell Brasil through the BIOIL project at the Oceanographic Institute of the University of Sao Paulo; ANP through R&amp;D levy regulation</t>
  </si>
  <si>
    <t>The authors are indebted to the crew and researchers who participated in the Jan-Feb 2019 survey aboard the R.V. Alpha Crucis for their constant support. Acknowledgements are also due to the Sao Paulo Science Foundation (FAPESP grants 2014/08266-2, 2015/17763-2, and 2016/22194-0). MMdeM acknowledges the Brazilian National Research Council (CNPq, grant 300962/2018-5). The partnership between MMdeM and the US was supported by FAPESP (grant 2017/50191-8 - SPRINT Program). The partnership between MMdeM and F.J.L. was supported by CNPq (grant 401041/2014-0). The authors gratefully acknowledge support from Shell Brasil through the BIOIL project at the Oceanographic Institute of the University of Sao Paulo and the strategic importance of the support given by ANP through R&amp;D levy regulation. We thank Petrel-Schlumberger for providing academic licenses that enabled the seismic interpretation.</t>
  </si>
  <si>
    <t>10.1038/s41598-019-55226-3</t>
  </si>
  <si>
    <t>JU9MZ</t>
  </si>
  <si>
    <t>WOS:000501993100001</t>
  </si>
  <si>
    <t>Mackelworth, PC; Seker, YT; Fernández, TV; Marquess, M; Alves, FL; D'Anna, G; Fa, DA; Goldborough, D; Kyriazi, Z; Pita, C; Portman, ME; Rumes, B; Warr, SJ; Holcer, D</t>
  </si>
  <si>
    <t>Mackelworth, Peter Charles; Seker, Yael Teff; Fernandez, Tomas Vega; Marquess, Marcia; Alves, Fatima Lopes; D'Anna, Giovanni; Fa, Darren A.; Goldborough, David; Kyriazi, Zacharoula; Pita, Cristina; Portman, Michelle E.; Rumes, Bob; Warr, Stephen J.; Holcer, Drasko</t>
  </si>
  <si>
    <t>Geopolitics and Marine Conservation: Synergies and Conflicts</t>
  </si>
  <si>
    <t>transboundary conservation; conservation planning; ocean grabbing; adjacency; marine protected areas; fishery restricted areas; other effective area-based conservation measures; conservation caveats</t>
  </si>
  <si>
    <t>SEA; BIODIVERSITY; MANAGEMENT; RESERVES; SUCCESS; ISRAEL; AREAS; LAND; SIZE</t>
  </si>
  <si>
    <t>Transboundary conservation has an important, yet often undervalued, role in the international conservation regime. When applied to the legally ambiguous and interconnected marine environment this is magnified. The lack of clear guidance for transboundary marine conservation from the international conservation community exacerbates this problem, leaving individual initiatives to develop their own governance arrangements. Yet, well-managed transboundary marine protected areas (MPAs) have the potential to contribute significantly to global conservation aims. Conversely, in a period where there is increasing interest in marine resources and space from all sectors, the designation of MPAs can create or amplify a regional conflict. In some instances, states have used MPAs to extend rights over disputed marine resources, restrict the freedom of others and establish sovereignty over maritime space. Six case studies were taken from Europe, North Africa and the Middle East to illustrate how states have interpreted and utilized different legislative mechanisms to either come together or diverge over the governance of marine resources or maritime space. Each of the case studies illustrates how different actors have used the same legislative tools, but with different interpretations and applications, to justify their claims. It is clear that the role of science combined with a deeper engagement with stakeholders can play a critical role in tempering conflict between states. Where states are willing to cooperate, the absence of clear guidelines at the global level means that often ad hoc measures are put into place, with the international frameworks then playing catch up. Balancing different jurisdictional claims with the conservation of the marine environment, whilst considering the increasing special economic interests will become increasingly difficult. Developing a transboundary conservation tool, such as the simple conservation caveats found in the Barcelona Convention and Antarctic Convention, which allow for the establishment of intergovernmental cooperation without prejudicing any outstanding jurisdictional issue, would provide a framework for the development of individual transboundary MPAs.</t>
  </si>
  <si>
    <t>[Mackelworth, Peter Charles; Holcer, Drasko] Blue World Inst Marine Res &amp; Conservat, Veli Losinj, Croatia; [Mackelworth, Peter Charles] Inst Tourism, Zagreb, Croatia; [Seker, Yael Teff; Portman, Michelle E.] Technion Israel Inst Technol, Fac Architecture &amp; Town Planning, Haifa, Israel; [Fernandez, Tomas Vega] Staz Zool Anton Dohm, Naples, Italy; [Marquess, Marcia; Alves, Fatima Lopes; Pita, Cristina] Univ Aveiro, Dept Environm &amp; Planning, Aveiro, Portugal; [Marquess, Marcia; Alves, Fatima Lopes; Pita, Cristina] Univ Aveiro, Ctr Environm &amp; Marine Studies, Aveiro, Portugal; [D'Anna, Giovanni] CNR, IAS, Castellammare Del Golfo, Italy; [Fa, Darren A.; Warr, Stephen J.] Univ Gibraltar, Inst Life &amp; Earth Sci, Gibraltar, Gibraltar; [Goldborough, David] Univ Appl Sci, Van Hall Larenstein, Leeuwarden, Netherlands; [Kyriazi, Zacharoula] Univ Ghent, Fac Law, Dept Publ Int Law, Maritime Inst, Ghent, Belgium; [Kyriazi, Zacharoula] Hellen Ctr Marine Res, Inst Marine Biol Resources &amp; Inland Waters, Argyroupoli, Greece; [Rumes, Bob] Royal Belgian Inst Nat Sci, Brussels, Belgium; [Holcer, Drasko] Croatian Nat Hist Museum, Dept Zool, Zagreb, Croatia</t>
  </si>
  <si>
    <t>Institute for Tourism - Croatia; Technion Israel Institute of Technology; Stazione Zoologica Anton Dohrn di Napoli; Universidade de Aveiro; Universidade de Aveiro; Consiglio Nazionale delle Ricerche (CNR); Istituto per lo Studio degli Impatti Antropici Sostenibilita in Ambiente Marino (IAS-CNR); Ghent University; Hellenic Centre for Marine Research; Royal Belgian Institute of Natural Sciences</t>
  </si>
  <si>
    <t>Mackelworth, PC (corresponding author), Blue World Inst Marine Res &amp; Conservat, Veli Losinj, Croatia.;Mackelworth, PC (corresponding author), Inst Tourism, Zagreb, Croatia.</t>
  </si>
  <si>
    <t>peter.mackelworth@blue-world.org</t>
  </si>
  <si>
    <t>Fernández, Tomás Vega/AAT-5972-2020; Alves, Fátima Lopes/F-3375-2010; D'Anna, Giovanni/B-7995-2015; Holcer, Drasko/GWC-0193-2022; Fa, Darren A./F-1863-2015; Pita, Cristina/E-4280-2015</t>
  </si>
  <si>
    <t>Fernández, Tomás Vega/0000-0002-8788-4253; D'Anna, Giovanni/0000-0002-8644-8222; Holcer, Drasko/0000-0002-7989-0936; Fa, Darren A./0000-0002-5900-9814; Kyriazi, Zacharoula/0000-0002-5218-6092; Mackelworth, Peter/0000-0003-2135-1208; Pita, Cristina/0000-0003-1824-3396; Rumes, Bob/0000-0001-8549-6743</t>
  </si>
  <si>
    <t>Portuguese Foundation for Science and Technology (FCT) [SFRH/BD/138422/2018]; FCT/MCTES; FEDER; Compete 2020 [UID/AMB/50017/2019]; Fundação para a Ciência e a Tecnologia [SFRH/BD/138422/2018] Funding Source: FCT</t>
  </si>
  <si>
    <t>Portuguese Foundation for Science and Technology (FCT)(Fundacao para a Ciencia e a Tecnologia (FCT)); FCT/MCTES(Fundacao para a Ciencia e a Tecnologia (FCT)); FEDER(European Union (EU)Spanish Government); Compete 2020; Fundação para a Ciência e a Tecnologia(Fundacao para a Ciencia e a Tecnologia (FCT))</t>
  </si>
  <si>
    <t>MM was supported by the Portuguese Foundation for Science and Technology (FCT), with a Ph.D. grant (SFRH/BD/138422/2018). MM, FA, and CP would like to acknowledge FCT/MCTES through national funds and FEDER co-funding, within the PT2020 Partnership Agreement and Compete 2020, for the financial support to CESAM (Grant No. UID/AMB/50017/2019).</t>
  </si>
  <si>
    <t>10.3389/fmars.2019.00759</t>
  </si>
  <si>
    <t>JW3RB</t>
  </si>
  <si>
    <t>gold, Green Published</t>
  </si>
  <si>
    <t>WOS:000502971300001</t>
  </si>
  <si>
    <t>Llanillo, PJ; Aiken, CM; Cordero, RR; Damiani, A; Sepúlveda, E; Fernández-Gómez, B</t>
  </si>
  <si>
    <t>Llanillo, P. J.; Aiken, C. M.; Cordero, R. R.; Damiani, A.; Sepulveda, E.; Fernandez-Gomez, B.</t>
  </si>
  <si>
    <t>Oceanographic Variability induced by Tides, the Intraseasonal Cycle and Warm Subsurface Water intrusions in Maxwell Bay, King George Island (West-Antarctica)</t>
  </si>
  <si>
    <t>SOUTH SHETLAND ISLANDS; BRANSFIELD STRAIT; TIDAL CIRCULATION; MARIAN COVE; HYDROGRAPHY; PENINSULA; OCEAN; CURRENTS; STRATIFICATION; DECEPTION</t>
  </si>
  <si>
    <t>We examine the hydrographic variability induced by tides, winds, and the advance of the austral summer, in Maxwell Bay and tributary fjords, based on two recent oceanographic campaigns. We provide the first description in this area of the intrusion of relatively warm subsurface waters, which have led elsewhere in Antarctica to ice-shelf disintegration and tidewater glacier retreat. During flood tide, meltwater was found to accumulate toward the head of Maxwell Bay, freshening and warming the upper 70 m. Below 70 m, the flood tide enhances the intrusion and mixing of relatively warm modified Upper Circumpolar Deep Water (m-UCDW). Tidal stirring progressively erodes the remnants of Winter Waters found at the bottom of Marian Cove. There is a buoyancy gain through warming and freshening as the summer advances. In Maxwell Bay, the upper 105 m were 0.79 degrees C warmer and 0.039 PSU fresher in February than in December, changes that cannot be explained by tidal or wind-driven processes. The episodic intrusion of m-UCDW into Maxwell Bay leads to interleaving and eventually to warming, salinification and deoxygenation between 80 and 200 m, with important implications for biological productivity and for the mass balance of tidewater glaciers in the area.</t>
  </si>
  <si>
    <t>[Llanillo, P. J.; Cordero, R. R.; Sepulveda, E.] Univ Santiago Chile, Fac Ciencia, Dept Fis, Santiago, Chile; [Aiken, C. M.] Pontificia Univ Catolica, Fac Ciencias Biol, Estn Costera Invest Marinas, Santiago, Chile; [Aiken, C. M.] Pontificia Univ Catolica, Fac Ingn, Dept Ingn Hidraul &amp; Ambiental, Santiago, Chile; [Damiani, A.] Chiba Univ, Ctr Environm Remote Sensing, Chiba, Japan; [Fernandez-Gomez, B.] Univ Chile, Santiago, Chile</t>
  </si>
  <si>
    <t>Universidad de Santiago de Chile; Pontificia Universidad Catolica de Chile; Pontificia Universidad Catolica de Chile; Chiba University; Universidad de Chile</t>
  </si>
  <si>
    <t>Llanillo, PJ (corresponding author), Univ Santiago Chile, Fac Ciencia, Dept Fis, Santiago, Chile.</t>
  </si>
  <si>
    <t>pedro.llanillo@usach.cl</t>
  </si>
  <si>
    <t>Aiken, Christopher/G-3754-2019; Fernández-Gómez, Beatriz/HKO-2776-2023; Fernandez Gomez, Beatriz/E-8715-2019; Llanillo, Pedro/L-5877-2015</t>
  </si>
  <si>
    <t>Cordero, Raul R./0000-0001-7607-7993; Fernandez Gomez, Beatriz/0000-0002-0886-2460; Damiani, Alessandro/0000-0003-3014-6193; Llanillo, Pedro/0000-0002-9308-501X</t>
  </si>
  <si>
    <t>Consejo Nacional de Ciencia y Tecnologia [ACT1410]; Consejo Nacional de Ciencia y Tecnologia (Fondecyt) [3150229, 1171690, 1191932]; Chilean Antarctic Institute (INACH) [RT_70-18]; Corporacion de Fomento de la Produccion (CORFO) [Preis 17BPE-73748, 18BPCR-89100, 18BPE-93920, 19BP-117358]; Universidad de Santiago de Chile (ProyectoPOSTDOC_DICYT) [041831CC_POSTDOC]</t>
  </si>
  <si>
    <t>Consejo Nacional de Ciencia y Tecnologia(Consejo Nacional de Ciencia y Tecnologia (CONACyT)); Consejo Nacional de Ciencia y Tecnologia (Fondecyt); Chilean Antarctic Institute (INACH); Corporacion de Fomento de la Produccion (CORFO); Universidad de Santiago de Chile (ProyectoPOSTDOC_DICYT)</t>
  </si>
  <si>
    <t>The support of the Consejo Nacional de Ciencia y Tecnologia (Anillo ACT1410, as well as Fondecyt 3150229, 1191932 &amp; 1171690), The Chilean Antarctic Institute (INACH, RT_70-18), the Corporacion de Fomento de la Produccion (CORFO, Preis 17BPE-73748, 18BPCR-89100, 18BPE-93920 &amp; 19BP-117358) and the Universidad de Santiago de Chile (ProyectoPOSTDOC_DICYT, Codigo 041831CC_POSTDOC) is gratefully acknowledged. The authors are thankful for the logistic support provided by the Instituto Antartico Chileno (INACH) and by the crew onboard R/V Isabel (Jorge Rodriguez, Juan Bravo, Claudio Valenzuela and Paul Robredo).</t>
  </si>
  <si>
    <t>DEC 9</t>
  </si>
  <si>
    <t>10.1038/s41598-019-54875-8</t>
  </si>
  <si>
    <t>JU5XZ</t>
  </si>
  <si>
    <t>WOS:000501750800001</t>
  </si>
  <si>
    <t>Buckingham, CE; Lucas, NS; Belcher, SE; Rippeth, TP; Grant, ALM; Le Sommer, J; Ajayi, AO; Garabato, ACN</t>
  </si>
  <si>
    <t>Buckingham, Christian E.; Lucas, Natasha S.; Belcher, Stephen E.; Rippeth, Tom P.; Grant, Alan L. M.; Le Sommer, Julien; Ajayi, Adekunle Opeoluwa; Garabato, Alberto C. Naveira</t>
  </si>
  <si>
    <t>The Contribution of Surface and Submesoscale Processes to Turbulence in the Open Ocean Surface Boundary Layer</t>
  </si>
  <si>
    <t>turbulence; surface; submesoscale; dissipation; parameterization; mixing</t>
  </si>
  <si>
    <t>BAROCLINIC FRONTAL INSTABILITIES; PASSIVE BUOYANT TRACERS; POTENTIAL VORTICITY; ENERGY-DISSIPATION; PART I; RESTRATIFICATION; PARAMETERIZATION; CIRCULATION; MESOSCALE; DYNAMICS</t>
  </si>
  <si>
    <t>The ocean surface boundary layer is a critical interface across which momentum, heat, and trace gases are exchanged between the oceans and atmosphere. Surface processes (winds, waves, and buoyancy forcing) are known to contribute significantly to fluxes within this layer. Recently, studies have suggested that submesoscale processes, which occur at small scales (0.1-10 km, hours to days) and therefore are not yet represented in most ocean models, may play critical roles in these turbulent exchanges. While observational support for such phenomena has been demonstrated in the vicinity of strong current systems and littoral regions, relatively few observations exist in the open-ocean environment to warrant representation in Earth system models. We use novel observations and simulations to quantify the contributions of surface and submesoscale processes to turbulent kinetic energy (TKE) dissipation in the open-ocean surface boundary layer. Our observations are derived from moorings in the North Atlantic, December 2012 to April 2013, and are complemented by atmospheric reanalysis. We develop a conceptual framework for dissipation rates due to surface and submesoscale processes. Using this framework and comparing with observed dissipation rates, we find that surface processes dominate TKE dissipation. A parameterization for symmetric instability is consistent with this result. We next employ simulations from an ocean front-resolving model to reestablish that dissipation due to surface processes exceeds that of submesoscale processes by 1-2 orders of magnitude. Together, these results suggest submesoscale processes do not dramatically modify vertical TKE budgets, though such dynamics may be climatically important owing to their ability to remove energy from the ocean.</t>
  </si>
  <si>
    <t>[Buckingham, Christian E.] British Antarctic Survey, Cambridge, England; [Lucas, Natasha S.; Rippeth, Tom P.] Bangor Univ, Sch Ocean Sci, Bangor, Gwynedd, Wales; [Belcher, Stephen E.] Met Off, Exeter, Devon, England; [Grant, Alan L. M.] Univ Reading, Dept Meteorol, Reading, Berks, England; [Le Sommer, Julien; Ajayi, Adekunle Opeoluwa] Univ Grenoble, Alpes, CNRS, IRD,G INP,IGE, Grenoble, France; [Garabato, Alberto C. Naveira] Univ Southampton, Ocean &amp; Earth Sci, Southampton, Hants, England</t>
  </si>
  <si>
    <t>UK Research &amp; Innovation (UKRI); Natural Environment Research Council (NERC); NERC British Antarctic Survey; Bangor University; Met Office - UK; University of Reading; Communaute Universite Grenoble Alpes; Universite Grenoble Alpes (UGA); Institut de Recherche pour le Developpement (IRD); Centre National de la Recherche Scientifique (CNRS); University of Southampton</t>
  </si>
  <si>
    <t>Buckingham, CE (corresponding author), British Antarctic Survey, Cambridge, England.;Belcher, SE (corresponding author), Met Off, Exeter, Devon, England.</t>
  </si>
  <si>
    <t>christian.buckingham@univ-brest.fr; stephen.belcher@metoffice.gov.uk</t>
  </si>
  <si>
    <t>Buckingham, Christian E./ABC-7842-2020; Le Sommer, Julien/ABG-8801-2021; Belcher, Stephen/G-2911-2011; Garabato, Alberto Naveira/AAQ-1114-2020</t>
  </si>
  <si>
    <t>Buckingham, Christian E./0000-0001-9355-9038; Le Sommer, Julien/0000-0002-6882-2938; Garabato, Alberto Naveira/0000-0001-6071-605X; Lucas, Natasha Sarah/0000-0002-1691-913X</t>
  </si>
  <si>
    <t>Natural Environmental Research Council as part of OSMOSIS [NE/I019999/1, NE/I019905/1]; NERC [NE/I019794/1, bas0100033] Funding Source: UKRI</t>
  </si>
  <si>
    <t>Natural Environmental Research Council as part of OSMOSIS; NERC(UK Research &amp; Innovation (UKRI)Natural Environment Research Council (NERC))</t>
  </si>
  <si>
    <t>This research was funded by grants from the Natural Environmental Research Council (NE/I019999/1 and NE/I019905/1) as part of OSMOSIS. We wish to acknowledge the Editor and two anonymous reviewers for their careful read of the manuscript. We are grateful to the engineers and scientists at NMFSS, captain and crew of the RRS Discovery, RRS James Cook, and R/V Celtic Explorer, and numerous scientists and technicians that helped during deployment and recovery of the moorings/gliders. We are grateful to the following scientists for their significant contributions to this study: Gillian Damerell (UEA), Karen Heywood (UEA), Andrew Thompson (Caltech), David Marshall (Oxford), Liam Brannigan (Oxford), George Nurser (NOCS), Jeff Polton (NOCL), Peter Davis (BAS), Povl Abrahamsen (BAS), and Xiaolong Yu (Southampton). In particular, K. Heywood and A. Thompson both provided helpful feedback on the manuscript, G. Damerell derived the ML depth estimates used here, and P. Davis helped run GOTM at the observation site. We thank Aurelie Albert and Jean-Marc Molines (Grenoble) for rapid responses to NATL60 requests. Finally, we thank Leif Thomas (Stanford) for conversations regarding SI and noting that a previous estimate of global energy dissipation due to SI had been made. All data are freely available, are stored in an accessible data format, contain metadata, and can be accessed as follows: Moored observations can be obtained from the British Oceanographic Data Centre (https://www.bodc.ac.uk), ERA5 can be downloaded from the Copernicus Climate Data Store (https://cds.climate.copernicus.eu/), and NATL60 CJM165 data can be obtained directly using OPeNDAP data access protocol at the website (http://meom-group.github.io/swot-natl60/access-data.html).</t>
  </si>
  <si>
    <t>10.1029/2019MS001801</t>
  </si>
  <si>
    <t>WOS:000501207900001</t>
  </si>
  <si>
    <t>Uchida, T; Balwada, D; Abernathey, R; McKinley, G; Smith, S; Lévy, M</t>
  </si>
  <si>
    <t>Uchida, Takaya; Balwada, Dhruv; Abernathey, Ryan; McKinley, Galen; Smith, Shafer; Levy, Marina</t>
  </si>
  <si>
    <t>The Contribution of Submesoscale over Mesoscale Eddy Iron Transport in the Open Southern Ocean</t>
  </si>
  <si>
    <t>CALIFORNIA CURRENT SYSTEM; MIXED-LAYER INSTABILITIES; DISSOLVED IRON; PART II; HORIZONTAL RESOLUTION; PHYTOPLANKTON BIOMASS; METABOLIC THEORY; ENERGY CASCADES; GULF-STREAM; CARBON</t>
  </si>
  <si>
    <t>Biological productivity in the Southern Ocean is limited by iron availability. Previous studies of iron supply have focused on mixed-layer entrainment and diapycnal fluxes. However, the Southern Ocean is a region highly energetic mesoscale and submesoscale turbulence. Here we investigate the role of eddies in supplying iron to the euphotic zone, using a flat-bottom zonally re-entrant model, configured to represent the Antarctic Circumpolar Current region, that is coupled to a biogeochemical model with a realistic seasonal cycle. Eddies are admitted or suppressed by changing the model's horizontal resolution. We utilize cross spectral analysis and the generalized Omega equation to temporally and spatially decompose the vertical transport attributable to mesoscale and submesoscale motions. Our results suggest that the mesoscale vertical fluxes provide a first-order pathway for transporting iron across the mixing-layer base, where diapycnal mixing is weak, and must be included in modeling the open-Southern Ocean iron budget.</t>
  </si>
  <si>
    <t>[Uchida, Takaya; Abernathey, Ryan; McKinley, Galen] Columbia Univ, Dept Earth &amp; Environm Sci, New York, NY 10027 USA; [Balwada, Dhruv; Smith, Shafer] NYU, Courant Inst Math Sci, Ctr Atmosphere Ocean Sci, New York, NY USA; [Abernathey, Ryan; McKinley, Galen] Lamont Doherty Earth Observ, Div Ocean &amp; Climate Phys, Palisades, NY USA; [Levy, Marina] Inst Pierre Simon Laplace, Lab Oceanog &amp; Climat, Paris, France</t>
  </si>
  <si>
    <t>Columbia University; New York University; Columbia University; Universite Paris Saclay; Centre National de la Recherche Scientifique (CNRS); CNRS - National Institute for Earth Sciences &amp; Astronomy (INSU); Universite Paris Cite; Sorbonne Universite</t>
  </si>
  <si>
    <t>Uchida, T (corresponding author), Columbia Univ, Dept Earth &amp; Environm Sci, New York, NY 10027 USA.</t>
  </si>
  <si>
    <t>takaya@ldeo.columbia.edu</t>
  </si>
  <si>
    <t>Balwada, Dhruv/ABD-8429-2020; Uchida, Takaya/JYQ-0434-2024; Levy, Marina/A-1315-2012</t>
  </si>
  <si>
    <t>Balwada, Dhruv/0000-0001-6632-0187; Uchida, Takaya/0000-0002-8654-6009; Levy, Marina/0000-0003-2961-608X; Abernathey, Ryan/0000-0001-5999-4917; McKinley, Galen/0000-0002-4072-9221</t>
  </si>
  <si>
    <t>NASA as part of the SWOT Science Team [NNX16AJ35G]; NSF [OCE-1553593, OCE-1740648]; National Science Foundation, Division of Polar Programs [NSF PLR -1425989]; Foundation BNP Paribas; Massachusetts Water Resource Authority; International Argo Program; NASA [902804, NNX16AJ35G] Funding Source: Federal RePORTER</t>
  </si>
  <si>
    <t>NASA as part of the SWOT Science Team; NSF(National Science Foundation (NSF)); National Science Foundation, Division of Polar Programs(National Science Foundation (NSF)); Foundation BNP Paribas; Massachusetts Water Resource Authority; International Argo Program; NASA(National Aeronautics &amp; Space Administration (NASA))</t>
  </si>
  <si>
    <t>This research was supported by NASA Award NNX16AJ35G as part of the SWOT Science Team. Abernathey acknowledges additional support from NSF Awards OCE-1553593 and OCE-1740648. We thank three anonymous reviewers who have greatly enhanced the readability of our manuscript. The model configuration is available on Github (doi:10.5281/zenodo.3266400) and simulation outputs for 15 daily snapshot and monthly averaged outputs of physical variables (v,theta,Phi) are available on Pangeo (doi:10.5281/zenodo.3358021). For other variables, please contact the leading author. TheWorld Ocean Atlas data was acquired via https://data.nodc.noaa.gov/thredds/dodsC/woa/WOA13/DATA/, BSOSE via http://sose.ucsd.edu/bsose &amp; urluscore;solution &amp; urluscore;Iter105.html, and SeaWiFS PAR data via https://oceandata.sci.gsfc.nasa.gov/SeaWiFS/Mapped/Daily/9km/par/.BGC-Argo data were collected and made freely available by the Southern Ocean Carbon and Climate Observations and Modeling (SOCCOM) Project funded by the National Science Foundation, Division of Polar Programs (NSF PLR -1425989), supplemented by NASA, the Southern Ocean and Climate Field Studies with Innovative Tools (SOCLIM) Project funded by the Foundation BNP Paribas and the Massachusetts Water Resource Authority, and by the International Argo Program and the NOAA programs that contribute to it. (http://www.argo.ucsd.edu, http://argo.jcommops.org).CbPM data was acquired via the Oregon State University web portal (http://orca.science.oregonstate.edu/1080.by.2160.8day.hdf.carbon2.m.php).</t>
  </si>
  <si>
    <t>10.1029/2019MS001805</t>
  </si>
  <si>
    <t>WOS:000501189500001</t>
  </si>
  <si>
    <t>Saunders, RA; Lourenço, S; Vieira, RP; Collins, MA; Assis, CA; Xavier, JC</t>
  </si>
  <si>
    <t>Saunders, Ryan A.; Lourenco, Silvia; Vieira, Rui P.; Collins, Martin A.; Assis, Carlos A.; Xavier, Jose C.</t>
  </si>
  <si>
    <t>Age and growth of Brauer's lanternfish Gymnoscopelus braueri and rhombic lanternfish Krefftichthys anderssoni (Family Myctophidae) in the Scotia Sea, Southern Ocean</t>
  </si>
  <si>
    <t>JOURNAL OF FISH BIOLOGY</t>
  </si>
  <si>
    <t>body size; growth; morphology; Myctophidae; otoliths; Southern Ocean</t>
  </si>
  <si>
    <t>KRILL EUPHAUSIA-SUPERBA; MESOPELAGIC FISH; FEEDING ECOLOGY; OTOLITH MICROSTRUCTURE; POPULATION-STRUCTURE; COMMUNITY STRUCTURE; VALIDATION; DIET; PISCES; OSTEICHTHYES</t>
  </si>
  <si>
    <t>This study examines age and growth of Brauer's lanternfish Gymnoscopelus braueri and rhombic lanternfish Krefftichthys anderssoni from the Scotia Sea in the Southern Ocean, through the analysis of annual growth increments deposited on sagittal otoliths. Otolith pairs from 177 G. braueri and 118 K. anderssoni were collected in different seasons from the region between 2004 and 2009. Otolith-edge analysis suggested a seasonal change in opaque and hyaline depositions, indicative of an annual growth pattern, although variation within the populations of both species was apparent. Age estimates varied from 1 to 6 years for G. braueri (40 to 139 mm standard length; L-S) and from 0 to 2 years for K. anderssoni (26 to 70 mm L-S). Length-at-age data were broadly consistent with population cohort parameters identified in concurrent length-frequency data from the region for both species. The estimated values of von Bertalanffy growth curves for G. braueri were L-infinity = 133.22 mm, k = 0.29 year(-1) and t(0) = -0.21 year and the values for K. anderssoni were L-infinity = 68.60 mm, k = 0.71 year(-1) and t(0) = -0.49 year. There were no significant (P &gt; 0.05) differences in growth between sexes for either species, suggesting that males and females have similar growth and development trajectories in the Scotia Sea. A positive allometric relationship between L-S and wet mass was found for each species, as well as a significant (P &lt; 0.0001) linear relationship between otolith size and L-S. Growth performance (CYRILLIC CAPITAL LETTER EF ') was similar between the two species and congruent with other myctophid species across the Southern Ocean. This study provides important parameters for future Southern Ocean ecosystem studies in a resource management context.</t>
  </si>
  <si>
    <t>[Saunders, Ryan A.; Collins, Martin A.; Xavier, Jose C.] British Antarctic Survey, Nat Environm Res Council, Madingley Rd, Cambridge CB3 0ET, England; [Lourenco, Silvia] Polytech Leiria, MARE Marine &amp; Environm Sci Ctr, Peniche, Portugal; [Lourenco, Silvia] Univ Porto, Interdisciplinary Ctr Marine &amp; Environm Res, CIIMAR CIMAR, Matosinhos, Portugal; [Vieira, Rui P.] Ctr Environm Fisheries &amp; Aquaculture Sci, Lowestoft, Suffolk, England; [Assis, Carlos A.] Univ Lisbon, Fac Sci, Mare ULisboa Marine &amp; Environm Sci Ctr, Lisbon, Portugal; [Assis, Carlos A.] Univ Lisbon, Fac Sci, Dept Anim Biol, Lisbon, Portugal; [Xavier, Jose C.] Univ Coimbra, MARE UC, Dept Life Sci, Coimbra, Portugal</t>
  </si>
  <si>
    <t>UK Research &amp; Innovation (UKRI); Natural Environment Research Council (NERC); NERC British Antarctic Survey; Universidade do Porto; Centre for Environment Fisheries &amp; Aquaculture Science; Universidade de Lisboa; Universidade de Lisboa; Universidade de Coimbra</t>
  </si>
  <si>
    <t>Saunders, RA (corresponding author), British Antarctic Survey, Nat Environm Res Council, Madingley Rd, Cambridge CB3 0ET, England.</t>
  </si>
  <si>
    <t>ryaund@bas.ac.uk</t>
  </si>
  <si>
    <t>, Martin/ABE-6728-2020; Lourenço, sílvia/C-7744-2019; da Silva Assis, Carlos António/J-2302-2012; Xavier, José/KFB-6739-2024; Vieira, Rui Pedro/G-1738-2012</t>
  </si>
  <si>
    <t>, Martin/0000-0001-7132-8650; Lourenço, sílvia/0000-0003-4426-0894; da Silva Assis, Carlos António/0000-0001-5352-2978; Vieira, Rui Pedro/0000-0001-8491-2565; Saunders, Ryan/0000-0002-1157-7222; /0000-0002-9621-6660</t>
  </si>
  <si>
    <t>Natural Environment Research Council, a part of UK Research and Innovation; Caixa Geral de Depositos grant programme Nova Geracao de Cientistas Polares; Fundacao para a Ciencia e Tecnologia (FCT, Portugal) [UID/MAR/04292/2019]; SCAR-ANT-ERA programme; ICED programme; NERC [bas0100035] Funding Source: UKRI</t>
  </si>
  <si>
    <t>Natural Environment Research Council, a part of UK Research and Innovation; Caixa Geral de Depositos grant programme Nova Geracao de Cientistas Polares; Fundacao para a Ciencia e Tecnologia (FCT, Portugal)(Fundacao para a Ciencia e a Tecnologia (FCT)); SCAR-ANT-ERA programme; ICED programme; NERC(UK Research &amp; Innovation (UKRI)Natural Environment Research Council (NERC))</t>
  </si>
  <si>
    <t>This work was carried out as part of the British Antarctic Survey's POETS and SCOOBIES Projects within the Ecosystems programme, funded by the Natural Environment Research Council, a part of UK Research and Innovation. R.P.V. and S.L. were supported by the Caixa Geral de Depositos grant programme Nova Geracao de Cientistas Polares and J.X. received financial support from Fundacao para a Ciencia e Tecnologia (FCT, Portugal) through the strategic project UID/MAR/04292/2019, granted to MARE, as well as SCAR-ANT-ERA and ICED programmes.</t>
  </si>
  <si>
    <t>0022-1112</t>
  </si>
  <si>
    <t>1095-8649</t>
  </si>
  <si>
    <t>J FISH BIOL</t>
  </si>
  <si>
    <t>J. Fish Biol.</t>
  </si>
  <si>
    <t>10.1111/jfb.14206</t>
  </si>
  <si>
    <t>Fisheries; Marine &amp; Freshwater Biology</t>
  </si>
  <si>
    <t>KI6LE</t>
  </si>
  <si>
    <t>WOS:000501118300001</t>
  </si>
  <si>
    <t>Jones, DC; Boland, E; Meijers, AJS; Forget, G; Josey, SA; Sallee, JB; Shuckburgh, E</t>
  </si>
  <si>
    <t>Jones, Daniel C.; Boland, Emma; Meijers, Andrew J. S.; Forget, Gael; Josey, Simon A.; Sallee, Jean-Baptiste; Shuckburgh, Emily</t>
  </si>
  <si>
    <t>Heat Distribution in the Southeast Pacific Is Only Weakly Sensitive to High-Latitude Heat Flux and Wind Stress</t>
  </si>
  <si>
    <t>ANTHROPOGENIC CARBON-DIOXIDE; ANTARCTIC MODE WATER; GLOBAL OCEAN; OVERTURNING CIRCULATION; INTERMEDIATE WATER; SEA; SUBDUCTION; TRANSPORT; DRIVEN; VARIABILITY</t>
  </si>
  <si>
    <t>The Southern Ocean features regionally varying ventilation pathways that transport heat and carbon from the surface ocean to the interior thermocline on timescales of decades to centuries, but the factors that control the distribution of heat along these pathways are not well understood. In this study, we use a global ocean state estimate (ECCOv4) to (1) define the recently ventilated interior Pacific (RVP) using numerical passive tracer experiments over a 10-year period and (2) use an adjoint approach to calculate the sensitivities of the RVP heat content (RVPh) to changes in net heat flux and wind stress. We find that RVPh is most sensitive to local heat flux and wind stress anomalies north of the sea surface height contours that delineate the Antarctic Circumpolar Current, with especially high sensitivities over the South Pacific Gyre. Surprisingly, RVPh is not especially sensitive to changes at higher latitudes. We perform a set of step response experiments over the South Pacific Gyre, the subduction region, and the high-latitude Southern Ocean. In consistency with the adjoint sensitivity fields, RVPh is most sensitive to wind stress curl over the subtropical gyre, which alter isopycnal heave, and it is only weakly sensitive to changes at higher latitudes. Our results suggest that despite the localized nature of mode water subduction hot spots, changes in basin-scale pressure gradients are an important controlling factor on RVPh. Because basin-scale wind stress is expected to change in the coming decades to centuries, our results may have implications for climate, via the atmosphere/ocean partitioning of heat.</t>
  </si>
  <si>
    <t>[Jones, Daniel C.; Boland, Emma; Meijers, Andrew J. S.; Shuckburgh, Emily] NERC, British Antarctic Survey, Cambridge, England; [Forget, Gael] MIT, Dept Earth Atmospher &amp; Planetary Sci, 77 Massachusetts Ave, Cambridge, MA 02139 USA; [Josey, Simon A.] Natl Oceanography Ctr, Southampton, Hants, England; [Sallee, Jean-Baptiste] UPMC Univ, LOCEAN IPSL, Sorbonne Univ, Paris, France; [Shuckburgh, Emily] Univ Cambridge, Dept Comp Sci &amp; Technol, Cambridge, England</t>
  </si>
  <si>
    <t>UK Research &amp; Innovation (UKRI); Natural Environment Research Council (NERC); NERC British Antarctic Survey; Massachusetts Institute of Technology (MIT); NERC National Oceanography Centre; Sorbonne Universite; Museum National d'Histoire Naturelle (MNHN); University of Cambridge</t>
  </si>
  <si>
    <t>Jones, DC (corresponding author), NERC, British Antarctic Survey, Cambridge, England.</t>
  </si>
  <si>
    <t>dannes@bas.ac.uk</t>
  </si>
  <si>
    <t>SALLEE, Jean baptiste/HDO-5355-2022; SALLEE, Jean baptiste/A-5837-2010</t>
  </si>
  <si>
    <t>Shuckburgh, Emily/0000-0001-9206-3444; Josey, Simon/0000-0002-1683-8831; Jones, Dani/0000-0002-8701-4506; SALLEE, Jean baptiste/0000-0002-6109-5176</t>
  </si>
  <si>
    <t>Natural Environment Research Council (NERC) [NE/N018028/1, NE/N006038/1, NE/N018095/1]; NASA [6937342]; Simons Foundation [549931]; NERC [NE/N018095/1, bas0100033, NE/N006038/1, NE/N018028/1, NE/N018001/1] Funding Source: UKRI</t>
  </si>
  <si>
    <t>Natural Environment Research Council (NERC)(UK Research &amp; Innovation (UKRI)Natural Environment Research Council (NERC)); NASA(National Aeronautics &amp; Space Administration (NASA)); Simons Foundation; NERC(UK Research &amp; Innovation (UKRI)Natural Environment Research Council (NERC))</t>
  </si>
  <si>
    <t>This study is supported by grants from the Natural Environment Research Council (NERC), including [1] The North Atlantic Climate System Integrated Study (ACSIS) (Grant NE/N018028/1, authors D. J. and E. S.), [2] Securing Multidisciplinary UndeRstanding and Prediction of Hiatus and Surge events (SMURPHS) (Grant NE/N006038/1, author E. B.), and [3] Ocean Regulation of Climate by Heat and Carbon Sequestration and Transports (ORCHESTRA) (Grant NE/N018095/1, authors E. B. and A. M.). G. F. is supported by NASA Award 6937342 and Simons Foundation Award 549931. The ECCOv4-r2 model setup used in this work is available for download on Github (https://github.com/gaelforget/ECCOv4) as an instance of the MIT general circulation model (MITgcm, http://mitgcm.org/). Numerical model runs were carried out on ARCHER, the U.K. national HPC facility [http://archer.ac.uk/]. Adjoint code was generated using the TAF software tool, created and maintained by FastOpt GmbH [http://www.fastopt.com/]. The authors wish to thank two anonymous reviewers whose comments greatly improved the quality of this paper.</t>
  </si>
  <si>
    <t>10.1029/2019JC015460</t>
  </si>
  <si>
    <t>Green Accepted, Green Published, Green Submitted</t>
  </si>
  <si>
    <t>WOS:000501084800001</t>
  </si>
  <si>
    <t>Zundel, M; Spiegel, C; Lisker, F; Monien, P</t>
  </si>
  <si>
    <t>Zundel, Maximilian; Spiegel, Cornelia; Lisker, Frank; Monien, Patrick</t>
  </si>
  <si>
    <t>Post Mid-Cretaceous Tectonic and Topographic Evolution of Western Marie Byrd Land, WestAntarctica: Insights from Apatite FissionTrack and (U-Th-Sm)/He Data</t>
  </si>
  <si>
    <t>GEOCHEMISTRY GEOPHYSICS GEOSYSTEMS</t>
  </si>
  <si>
    <t>MIGMATITE-GRANITE COMPLEX; EDWARD-VII-PENINSULA; PINE ISLAND GLACIER; EASTERN ROSS SEA; AMUNDSEN SEA; FOSDICK MOUNTAINS; ICE-SHEET; STOPPING DISTANCES; BYRD,MARIE LAND; PACIFIC MARGIN</t>
  </si>
  <si>
    <t>New low-temperature thermochronological data from granitic basement of western Marie Byrd Land (MBL) provide insights into the still poorly constrained tectonic and topographic evolution of West Antarctica during and after continental breakup. Here, we present the first apatite (U-Th-Sm)/He data from the Devonian Ford Granodiorite and the mid-Cretaceous Byrd Coast Granite suites from the Ford Ranges and the Edward VII Peninsula. Thermal history modeling integrating apatite (U-Th-Sm)/He dates of 109-68 Ma with revised apatite fission track data in combination with geologic information indicates a thermal history with diachronous enhanced cooling at 100-60 Ma and subsequent slow cooling until the present day. Enhanced cooling at 100-70 Ma was related to activity of the West Antarctic rift system and to continental breakup, thereby exhuming most samples to shallow crustal levels. Localized cooling at 75-60 Ma is interpreted as resulting from faulting in the eastern Ross Sea region. Slow cooling after 70-60 Ma corresponds with formation of erosion surfaces in western MBL. Comparison of our results from western MBL with data from the literature indicates progressive formation of erosion surfaces from west to east along the MBL-Thurston Island crustal blocks. Late Cenozoic activity of the West Antarctic rift system and MBL dome uplift appear to have caused only minor exhumation of &lt;1.5 km in western MBL.</t>
  </si>
  <si>
    <t>[Zundel, Maximilian; Spiegel, Cornelia; Lisker, Frank] Univ Bremen, Dept Geosci, Geodynam Polar Reg, Bremen, Germany; [Monien, Patrick] Univ Bremen, Dept Geosci, Petrol Ocean Crust, Bremen, Germany</t>
  </si>
  <si>
    <t>University of Bremen; University of Bremen</t>
  </si>
  <si>
    <t>Zundel, M (corresponding author), Univ Bremen, Dept Geosci, Geodynam Polar Reg, Bremen, Germany.</t>
  </si>
  <si>
    <t>zundel@uni-bremen.de</t>
  </si>
  <si>
    <t>; Monien, Patrick/K-8338-2017</t>
  </si>
  <si>
    <t>Lisker, Frank/0000-0002-1615-7315; Spiegel, Cornelia/0000-0002-1432-3447; Monien, Patrick/0000-0002-4000-5362</t>
  </si>
  <si>
    <t>German Science Foundation (DFG) [SP673/15-1, SPP 1158]</t>
  </si>
  <si>
    <t>German Science Foundation (DFG)(German Research Foundation (DFG))</t>
  </si>
  <si>
    <t>This study has greatly benefitted from reviews of F. Korhonen and C. Siddoway who are gratefully acknowledged. C. Faccenna and J. Goodge are thanked for editorial handling. Thanks are also due to A. Toltz (University of Bremen) for sample processing. We thank the Federal Institute for Geosciences and Natural Resources (BGR) for participation in the GANOVEX VII expedition. The German Science Foundation (DFG) is acknowledged for providing financial support, Grant SP673/15-1, in the framework of the priority program SPP 1158 Antarctic Research with comparative investigations in Arctic ice areas. The data used are listed in the references, figures, tables, in the supporting information, and in the information system PANGAEA (https://doi.pangaea.de/10.1594/PANGAEA.905544).</t>
  </si>
  <si>
    <t>1525-2027</t>
  </si>
  <si>
    <t>GEOCHEM GEOPHY GEOSY</t>
  </si>
  <si>
    <t>Geochem. Geophys. Geosyst.</t>
  </si>
  <si>
    <t>10.1029/2019GC008667</t>
  </si>
  <si>
    <t>LU8KT</t>
  </si>
  <si>
    <t>WOS:000500911100001</t>
  </si>
  <si>
    <t>Yang, YJ; Wei, XY; Xie, NN</t>
  </si>
  <si>
    <t>Yang, Yanjuan; Wei, Xingyu; Xie, Nana</t>
  </si>
  <si>
    <t>On a nonlinear model for the Antarctic Circumpolar Current</t>
  </si>
  <si>
    <t>APPLICABLE ANALYSIS</t>
  </si>
  <si>
    <t>Adrian Constantin; Nonlinear integral equations; geophysical flows; radially symmetric</t>
  </si>
  <si>
    <t>EQUATION; WAVES; FLOW</t>
  </si>
  <si>
    <t>In this paper, we study a model for the flow of the Antarctic Circumpolar Current, which can reduce for flows with no azimuthal variations to a two-point boundary-value problem for a second-order ordinary differential equation. We investigate the existence of bounded solutions to the problem. For some class of oceanic vorticities F, we can obtain that the solution is unique and radially symmetric.</t>
  </si>
  <si>
    <t>[Yang, Yanjuan] Shandong Normal Univ, Sch Math &amp; Stat, Jinan, Shandong, Peoples R China; [Wei, Xingyu; Xie, Nana] Shanghai Normal Univ, Dept Math, Shanghai, Peoples R China</t>
  </si>
  <si>
    <t>Shandong Normal University; Shanghai Normal University</t>
  </si>
  <si>
    <t>Yang, YJ (corresponding author), Shandong Normal Univ, Sch Math &amp; Stat, Jinan, Shandong, Peoples R China.</t>
  </si>
  <si>
    <t>yjyang90@163.com</t>
  </si>
  <si>
    <t>0003-6811</t>
  </si>
  <si>
    <t>1563-504X</t>
  </si>
  <si>
    <t>APPL ANAL</t>
  </si>
  <si>
    <t>Appl. Anal.</t>
  </si>
  <si>
    <t>OCT 3</t>
  </si>
  <si>
    <t>10.1080/00036811.2019.1698731</t>
  </si>
  <si>
    <t>Mathematics, Applied</t>
  </si>
  <si>
    <t>Mathematics</t>
  </si>
  <si>
    <t>UJ2HX</t>
  </si>
  <si>
    <t>WOS:000501041500001</t>
  </si>
  <si>
    <t>Stahn, AC; Gunga, HC; Kohlberg, E; Gallinat, J; Dinges, DF; Kühn, S</t>
  </si>
  <si>
    <t>Stahn, Alexander C.; Gunga, Hanns-Christian; Kohlberg, Eberhard; Gallinat, Jurgen; Dinges, David F.; Kuehn, Simone</t>
  </si>
  <si>
    <t>Brain Changes in Response to Long Antarctic Expeditions</t>
  </si>
  <si>
    <t>NEW ENGLAND JOURNAL OF MEDICINE</t>
  </si>
  <si>
    <t>Letter</t>
  </si>
  <si>
    <t>[Stahn, Alexander C.; Gunga, Hanns-Christian] Charite Univ Med Berlin, Berlin, Germany; [Kohlberg, Eberhard] Alfred Wegener Inst, Bremerhaven, Germany; [Gallinat, Jurgen] Univ Med Ctr Hamburg Eppendorf, Hamburg, Germany; [Dinges, David F.] Univ Penn, Philadelphia, PA 19104 USA; [Kuehn, Simone] Max Planck Inst Human Dev, Berlin, Germany</t>
  </si>
  <si>
    <t>Free University of Berlin; Humboldt University of Berlin; Charite Universitatsmedizin Berlin; Helmholtz Association; Alfred Wegener Institute, Helmholtz Centre for Polar &amp; Marine Research; University of Hamburg; University Medical Center Hamburg-Eppendorf; University of Pennsylvania; Max Planck Society</t>
  </si>
  <si>
    <t>Stahn, AC (corresponding author), Charite Univ Med Berlin, Berlin, Germany.</t>
  </si>
  <si>
    <t>alexander.stahn@charite.de</t>
  </si>
  <si>
    <t>Kuehn, Simone/P-6145-2014; Stahn, Alexander/HJI-0059-2023; Dinges, David/P-7183-2019</t>
  </si>
  <si>
    <t>Kuehn, Simone/0000-0001-6823-7969; Stahn, Alexander/0000-0002-4030-4944;</t>
  </si>
  <si>
    <t>German Aerospace Center [50WB1330, 50WB1525]</t>
  </si>
  <si>
    <t>German Aerospace Center(Helmholtz AssociationGerman Aerospace Centre (DLR))</t>
  </si>
  <si>
    <t>Supported by grants (50WB1330 and 50WB1525) from the German Aerospace Center.</t>
  </si>
  <si>
    <t>MASSACHUSETTS MEDICAL SOC</t>
  </si>
  <si>
    <t>WALTHAM</t>
  </si>
  <si>
    <t>WALTHAM WOODS CENTER, 860 WINTER ST,, WALTHAM, MA 02451-1413 USA</t>
  </si>
  <si>
    <t>0028-4793</t>
  </si>
  <si>
    <t>1533-4406</t>
  </si>
  <si>
    <t>NEW ENGL J MED</t>
  </si>
  <si>
    <t>N. Engl. J. Med.</t>
  </si>
  <si>
    <t>DEC 5</t>
  </si>
  <si>
    <t>10.1056/NEJMc1904905</t>
  </si>
  <si>
    <t>Medicine, General &amp; Internal</t>
  </si>
  <si>
    <t>General &amp; Internal Medicine</t>
  </si>
  <si>
    <t>JZ6NK</t>
  </si>
  <si>
    <t>WOS:000505219800017</t>
  </si>
  <si>
    <t>Quero, GM; Celussi, M; Relitti, F; Kovacevic, V; Del Negro, P; Luna, GM</t>
  </si>
  <si>
    <t>Quero, Grazia Marina; Celussi, Mauro; Relitti, Federica; Kovacevic, Vedrana; Del Negro, Paola; Luna, Gian Marco</t>
  </si>
  <si>
    <t>Inorganic and Organic Carbon Uptake Processes and Their Connection to Microbial Diversity in Meso- and Bathypelagic Arctic Waters (Eastern Fram Strait)</t>
  </si>
  <si>
    <t>Arctic Ocean; Deep-sea microbial communities; Carbon cycling; Prokaryotic diversity</t>
  </si>
  <si>
    <t>SEA-ICE LOSS; BICARBONATE ASSIMILATION; BACTERIAL COMMUNITIES; PROKARYOTIC DIVERSITY; ARCHAEAL ASSEMBLAGES; OCEAN; ATLANTIC; DARK; NITROGEN; PATTERNS</t>
  </si>
  <si>
    <t>The deep Arctic Ocean is increasingly vulnerable to climate change effects, yet our understanding of its microbial processes is limited. We collected samples from shelf waters, mesopelagic Atlantic Waters (AW) and bathypelagic Norwegian Sea Deep Waters (NSDW) in the eastern Fram Strait, along coast-to-offshore transects off Svalbard during boreal summer. We measured community respiration, heterotrophic carbon production (HCP), and dissolved inorganic carbon utilization (DICu) together with prokaryotic abundance, diversity, and metagenomic predictions. In deep samples, HCP was significantly faster in AW than in NSDW, while we observed no differences in DICu rates. Organic carbon uptake was higher than its inorganic counterpart, suggesting a major reliance of deep microbial Arctic communities on heterotrophic metabolism. Community structure and spatial distribution followed the hydrography of water masses. Distinct from other oceans, the most abundant OTU in our deep samples was represented by the archaeal MG-II. To address the potential biogeochemical role of each water mass-specific microbial community, as well as their link with the measured rates, PICRUSt-based predicted metagenomes were built. The results showed that pathways of auto- and heterotrophic carbon utilization differed between the deep water masses, although this was not reflected in measured DICu rates. Our findings provide new insights to understand microbial processes and diversity in the dark Arctic Ocean and to progress toward a better comprehension of the biogeochemical cycles and their trends in light of climate changes.</t>
  </si>
  <si>
    <t>[Quero, Grazia Marina] Integrat Marine Ecol Dept, Stn Zool Anton Dohrn, Naples, Italy; [Celussi, Mauro; Relitti, Federica; Kovacevic, Vedrana; Del Negro, Paola] Ist Nazl Oceanog &amp; Geofis Sperimentale OGS, Div Oceanog, Trieste, Italy; [Quero, Grazia Marina; Luna, Gian Marco] CNR, IRBIM, Ancona, Italy</t>
  </si>
  <si>
    <t>Stazione Zoologica Anton Dohrn di Napoli; Istituto Nazionale di Oceanografia e di Geofisica Sperimentale; Consiglio Nazionale delle Ricerche (CNR); Istituto per le Risorse Biologiche Biotecnologie Marine (IRBIM-CNR)</t>
  </si>
  <si>
    <t>Celussi, M (corresponding author), Ist Nazl Oceanog &amp; Geofis Sperimentale OGS, Div Oceanog, Trieste, Italy.</t>
  </si>
  <si>
    <t>mcelussi@inogs.it</t>
  </si>
  <si>
    <t>Quero, Grazia Marina/P-9602-2016; RELITTI, FEDERICA/AAC-3557-2022; Luna, Gian Marco/AAY-5262-2020</t>
  </si>
  <si>
    <t>Quero, Grazia Marina/0000-0002-2562-1255; RELITTI, FEDERICA/0000-0002-0213-2782; Kovacevic, Vedrana/0000-0002-3615-7064; Celussi, Mauro/0000-0002-5660-6832; LUNA, GIAN MARCO/0000-0002-8303-3400</t>
  </si>
  <si>
    <t>project DEEPROSSS (National Antarctic Research Program of Italy, PNRA); National Flagship Program RITMARE</t>
  </si>
  <si>
    <t>Sampling was carried out during the PREPARED (Present and past flow regime on contourite drifts west of Spitsbergen) cruise in the framework of the EU Seventh Framework Programme (FP7/2007-2013) EUROFLEETS2 project. Financial aid from the project DEEPROSSS (Funded by the National Antarctic Research Program of Italy, PNRA) and the National Flagship Program RITMARE is also acknowledged. We thank the chief scientist of the cruise R.G. Lucchi, M. Kralj for nutrient data, N. Lucchini for the microscope analysis, and G. Ingrosso for DIC data and for his precious work onboard. The constructive comments of two anonymous reviewers helped to improve the manuscript during the revision stage.</t>
  </si>
  <si>
    <t>MAY</t>
  </si>
  <si>
    <t>10.1007/s00248-019-01451-2</t>
  </si>
  <si>
    <t>LK0LG</t>
  </si>
  <si>
    <t>WOS:000500636400001</t>
  </si>
  <si>
    <t>Bodart, JA; Bingham, RJ</t>
  </si>
  <si>
    <t>Bodart, J. A.; Bingham, R. J.</t>
  </si>
  <si>
    <t>The Impact of the Extreme 2015-2016 El Nino on the Mass Balance of the Antarctic Ice Sheet</t>
  </si>
  <si>
    <t>Antarctica; El Nino; mass balance; GRACE; precipitation</t>
  </si>
  <si>
    <t>AMUNDSEN SEA EMBAYMENT; SOUTHERN OSCILLATION; CLIMATE; VARIABILITY; TELECONNECTION; PRECIPITATION; EVOLUTION; DISCHARGE; DRIVERS</t>
  </si>
  <si>
    <t>Interannual variations associated with El Nino-Southern Oscillation can alter the surface-pressure distribution and moisture transport over Antarctica, potentially affecting the contribution of the Antarctic ice sheet to sea level. Here, we combine satellite gravimetry with auxiliary atmospheric data sets to investigate interannual ice-mass changes during the extreme 2015-2016 El Nino. Enhanced precipitation during this event contributed positively to the mass of the Antarctic Peninsula and West Antarctic ice sheets, with the mass gain on the peninsula being unprecedented within GRACE's observational record. Over the coastal basins of East Antarctica, the precipitation-driven mass loss observed in recent years was arrested, with pronounced accumulation over Terre Adelie dominating this response. Little change was observed over Central Antarctica where, after a brief pause, enhanced mass-loss due to weakened precipitation continued. Overall, precipitation changes over this period were sufficient to temporarily offset Antarctica's usual (approximately 0.4 mm yr(-1)) contribution to global mean sea level rise.</t>
  </si>
  <si>
    <t>[Bodart, J. A.] Univ Edinburgh, Sch GeoSci, Edinburgh, Midlothian, Scotland; [Bodart, J. A.; Bingham, R. J.] Univ Bristol, Bristol Glaciol Ctr, Sch Geog Sci, Bristol, Avon, England</t>
  </si>
  <si>
    <t>University of Edinburgh; University of Bristol</t>
  </si>
  <si>
    <t>Bodart, JA (corresponding author), Univ Edinburgh, Sch GeoSci, Edinburgh, Midlothian, Scotland.;Bodart, JA (corresponding author), Univ Bristol, Bristol Glaciol Ctr, Sch Geog Sci, Bristol, Avon, England.</t>
  </si>
  <si>
    <t>julien.bodart@ed.ac.uk</t>
  </si>
  <si>
    <t>Bodart, Dr Julien A/0000-0002-8237-0675</t>
  </si>
  <si>
    <t>NERC Doctoral Training Partnership Grant [NE/L002558/1]</t>
  </si>
  <si>
    <t>NERC Doctoral Training Partnership Grant(UK Research &amp; Innovation (UKRI)Natural Environment Research Council (NERC))</t>
  </si>
  <si>
    <t>J. A. B was supported by the NERC Doctoral Training Partnership Grant (NE/L002558/1), hosted in the Edinburgh E3 DTP program. We would like to acknowledge NASA for making the GRACE Mascon solutions (https://grace.jpl.nasa.gov/data/get-data/jpl_global_mascons) and the MERRA-2 data (https://gmao.gsfc.nasa.gov/reanalysis/MERRA-2) freely accessible online, as well as the ECMWF for the ERA reanalysis products (https://www.ecmwf.int/en/forecasts/datasets).We also thank Agosta and Fettweis for providing the MAR output product (https://zenodo.org/record/2547638) and Michiel van den Broeke for providing the RACMO2 product (contact:m.r.vandenbroeke@uu.nl).Data from this study are available at the University of Bristol data repository, data.bris, at: https://doi.org/10.5523/bris.2246mkya74pjh21yqh9ear4s4z.We thank Mathieu Morlighem and two anonymous reviewers for providing detailed comments that helped to improve the manuscript.</t>
  </si>
  <si>
    <t>10.1029/2019GL084466</t>
  </si>
  <si>
    <t>WOS:000500687400001</t>
  </si>
  <si>
    <t>Loh, TY; Brito, MP; Bose, N; Xu, JJ; Tenekedjiev, K</t>
  </si>
  <si>
    <t>Loh, Tzu Yang; Brito, Mario P.; Bose, Neil; Xu, Jingjing; Tenekedjiev, Kiril</t>
  </si>
  <si>
    <t>Fuzzy System Dynamics Risk Analysis (FuSDRA) of Autonomous Underwater Vehicle Operations in the Antarctic</t>
  </si>
  <si>
    <t>RISK ANALYSIS</t>
  </si>
  <si>
    <t>Autonomous underwater vehicle; fuzzy set theory; risk analysis; system dynamics</t>
  </si>
  <si>
    <t>LOGIC; FRAMEWORK; BENEATH</t>
  </si>
  <si>
    <t>With the maturing of autonomous technology and better accessibility, there has been a growing interest in the use of autonomous underwater vehicles (AUVs). The deployment of AUVs for under-ice marine science research in the Antarctic is one such example. However, a higher risk of AUV loss is present during such endeavors due to the extreme operating environment. To control the risk of loss, existing risk analyses approaches tend to focus more on the AUV's technical aspects and neglect the role of soft factors, such as organizational and human influences. In addition, the dynamic and complex interrelationships of risk variables are also often overlooked due to uncertainties and challenges in quantification. To overcome these shortfalls, a hybrid fuzzy system dynamics risk analysis (FuSDRA) is proposed. In the FuSDRA framework, system dynamics models the interrelationships between risk variables from different dimensions and considers the time-dependent nature of risk while fuzzy logic accounts for uncertainties. To demonstrate its application, an example based on an actual Antarctic AUV program is presented. Focusing on funding and experience of the AUV team, simulation of the FuSDRA risk model shows a declining risk of loss from 0.293 in the early years of the Antarctic AUV program, reaching a minimum of 0.206 before increasing again in later years. Risk control policy recommendations were then derived from the analysis. The example demonstrated how FuSDRA can be applied to inform funding and risk management strategies, or broader application both within the AUV domain and on other complex technological systems.</t>
  </si>
  <si>
    <t>[Loh, Tzu Yang; Tenekedjiev, Kiril] Univ Tasmania, Australian Maritime Coll, 1 Maritime Way, Launceston, Tas 7250, Australia; [Brito, Mario P.] Univ Southampton, Southampton Business Sch, Ctr Risk Res, Southampton, Hants, England; [Bose, Neil] Mem Univ Newfoundland, Off Vice President Res, St John, NF, Canada; [Xu, Jingjing] Univ Plymouth, Plymouth Business Sch, Plymouth, Devon, England; [Tenekedjiev, Kiril] Nikola Vaptsarov Naval Acad Varna, Dept Informat Technol, Varna, Bulgaria</t>
  </si>
  <si>
    <t>University of Tasmania; Australian Maritime College; Solent University; University of Southampton; Memorial University Newfoundland; University of Plymouth; Nikola Vaptsarov Naval Academy</t>
  </si>
  <si>
    <t>Loh, TY (corresponding author), Univ Tasmania, Australian Maritime Coll, 1 Maritime Way, Launceston, Tas 7250, Australia.</t>
  </si>
  <si>
    <t>Tzuyang.loh@Utas.edu.au</t>
  </si>
  <si>
    <t>Bose, Neil/AAG-6329-2019; Tenekedjiev, Kiril/D-8141-2012</t>
  </si>
  <si>
    <t>Bose, Neil/0000-0002-6444-0756; Tenekedjiev, Kiril/0000-0003-3549-0671; Brito, Mario/0000-0002-1779-4535</t>
  </si>
  <si>
    <t>Australian Research Council's Special Research Initiative under the Antarctic Gateway Partnership [SR140300001]; Australian Government Research Training Program Scholarship</t>
  </si>
  <si>
    <t>Australian Research Council's Special Research Initiative under the Antarctic Gateway Partnership(Australian Research Council); Australian Government Research Training Program Scholarship(Australian GovernmentDepartment of Industry, Innovation and Science)</t>
  </si>
  <si>
    <t>This research was supported by the Australian Research Council's Special Research Initiative under the Antarctic Gateway Partnership (Project ID SR140300001). The first author also acknowledges the Australian Government Research Training Program Scholarship in support of this higher degree research.</t>
  </si>
  <si>
    <t>0272-4332</t>
  </si>
  <si>
    <t>1539-6924</t>
  </si>
  <si>
    <t>RISK ANAL</t>
  </si>
  <si>
    <t>Risk Anal.</t>
  </si>
  <si>
    <t>10.1111/risa.13429</t>
  </si>
  <si>
    <t>Public, Environmental &amp; Occupational Health; Mathematics, Interdisciplinary Applications; Social Sciences, Mathematical Methods</t>
  </si>
  <si>
    <t>Public, Environmental &amp; Occupational Health; Mathematics; Mathematical Methods In Social Sciences</t>
  </si>
  <si>
    <t>LP9MY</t>
  </si>
  <si>
    <t>WOS:000500401300001</t>
  </si>
  <si>
    <t>Duprat, L; Kanna, N; Janssens, J; Roukaerts, A; Deman, F; Townsend, AT; Meiners, KM; van der Merwe, P; Lannuzel, D</t>
  </si>
  <si>
    <t>Duprat, L.; Kanna, N.; Janssens, J.; Roukaerts, A.; Deman, F.; Townsend, A. T.; Meiners, K. M.; van der Merwe, P.; Lannuzel, D.</t>
  </si>
  <si>
    <t>Enhanced Iron Flux to Antarctic Sea Ice via Dust Deposition From Ice-Free Coastal Areas</t>
  </si>
  <si>
    <t>iron; sea ice; dust; Antarctica; coastal</t>
  </si>
  <si>
    <t>PHYTOPLANKTON BLOOMS; NORTH-ATLANTIC; PRYDZ BAY; CHEMICAL-COMPOSITION; MARINE PRODUCTIVITY; CONTINENTAL-CRUST; OXIDE DISSOLUTION; SILICA PRODUCTION; COLLOIDAL IRON; MCMURDO SOUND</t>
  </si>
  <si>
    <t>Antarctic sea ice is an important temporal reservoir of iron which can boost primary production in the marginal ice zone during the seasonal melt. While studies have reported that Antarctic fast ice bears high concentrations of iron due to the proximity to coastal sources, less clear are the biogeochemical changes this iron pool undergoes during late spring. Here we describe a 3-week time series of physical and biogeochemical data, including iron, from first-year coastal fast ice sampled near Davis Station (Prydz Bay, East Antarctica) during late austral spring 2015. Our study shows that dissolved and particulate iron concentrations in sea ice were up to two orders of magnitude higher than in under-ice seawater. Furthermore, our results indicate a significant contribution of lithogenic iron from the Vestfold Hills (as deduced from the comparison with crustal element ratios) to the particulate iron pool in fast ice after a blizzard event halfway through the time series. Windblown dust represented approximately 75% of the particulate iron found in the ice and is a potential candidate for keeping concentrations of soluble iron stable during our observations. These results suggest that iron entrapped during ice formation, likely from sediments, as well as local input of coastal dust, supports primary productivity in Davis fast ice. As ice-free land areas are likely to expand over the course of the century, this work highlights the need to quantify iron inputs from continental Antarctic dust and its bioavailability for ice algae and phytoplankton.</t>
  </si>
  <si>
    <t>[Duprat, L.; Janssens, J.; Lannuzel, D.] Univ Tasmania, Inst Marine &amp; Antarctic Studies, Hobart, Tas, Australia; [Kanna, N.] Hokkaido Univ, Arctic Res Ctr, Sapporo, Hokkaido, Japan; [Janssens, J.] CSIRO, Hobart, Tas, Australia; [Roukaerts, A.; Deman, F.] Vrije Univ Brussel, AMGC Dept, Brussels, Belgium; [Townsend, A. T.] Univ Tasmania, Cent Sci Lab, Hobart, Tas, Australia; [Meiners, K. M.; Lannuzel, D.] Australian Antarctic Div, Kingston, Tas, Australia; [Meiners, K. M.; van der Merwe, P.] Antarctic Climate &amp; Ecosyst Cooperat Res Ctr, Hobart, Tas, Australia</t>
  </si>
  <si>
    <t>University of Tasmania; Hokkaido University; Commonwealth Scientific &amp; Industrial Research Organisation (CSIRO); Vrije Universiteit Brussel; University of Tasmania; Australian Antarctic Division; Antarctic Climate &amp; Ecosystems Cooperative Research Centre (ACE CRC)</t>
  </si>
  <si>
    <t>Duprat, L (corresponding author), Univ Tasmania, Inst Marine &amp; Antarctic Studies, Hobart, Tas, Australia.</t>
  </si>
  <si>
    <t>luis.duprat@utas.edu.au</t>
  </si>
  <si>
    <t>Townsend, Ashley/J-7445-2014; van der Merwe, Pier/C-9210-2015; lannuzel, delphine/J-7937-2014</t>
  </si>
  <si>
    <t>Townsend, Ashley/0000-0002-2972-2678; Deman, Florian/0000-0001-6647-7360; van der Merwe, Pier/0000-0002-7428-8030; Janssens, Julie/0000-0003-1789-9940; lannuzel, delphine/0000-0001-6154-1837; KANNA, NAOYA/0000-0003-1874-3868</t>
  </si>
  <si>
    <t>Australian Government Cooperative Research Centres Programme through the Antarctic Climate and Ecosystems Cooperative Research Centre (ACE CRC); Australian Antarctic Science (AAS) [4291, 4298]; Australian Research Council's Special Research Initiative for Antarctic Gateway Partnership [SR140300001]; Vrije Universiteit Brussel</t>
  </si>
  <si>
    <t>Australian Government Cooperative Research Centres Programme through the Antarctic Climate and Ecosystems Cooperative Research Centre (ACE CRC)(Australian GovernmentDepartment of Industry, Innovation and ScienceCooperative Research Centres (CRC) Programme); Australian Antarctic Science (AAS); Australian Research Council's Special Research Initiative for Antarctic Gateway Partnership(Australian Research Council); Vrije Universiteit Brussel</t>
  </si>
  <si>
    <t>This work was cofunded by the Australian Government Cooperative Research Centres Programme through the Antarctic Climate and Ecosystems Cooperative Research Centre (ACE CRC), the Australian Antarctic Science (AAS) project no. 4291 and 4298, the Australian Research Council's Special Research Initiative for Antarctic Gateway Partnership (Project ID SR140300001) and the Vrije Universiteit Brussel internal funding in the framework of Strategic Research Plan Tracers of Past and Present Global Changes. The authors thank the two reviewers for their comments which greatly improved the manuscript. Data supporting the analyses and conclusions here presented can be accessed at the Australian Antarctic Data Centre website (https://data.aad.gov.au/metadata/records/AAS_4291_2016_ seaice).</t>
  </si>
  <si>
    <t>10.1029/2019JC015221</t>
  </si>
  <si>
    <t>WOS:000500403000001</t>
  </si>
  <si>
    <t>Gao, P; Nie, JS; Li, MS; Li, P</t>
  </si>
  <si>
    <t>Gao, Peng; Nie, Junsheng; Li, Mingsong; Li, Pu</t>
  </si>
  <si>
    <t>Confirmation of a Late Miocene Subchron C4n.2n-1r From the Eastern Qaidam Basin in the NE Tibetan Plateau</t>
  </si>
  <si>
    <t>JOURNAL OF GEOPHYSICAL RESEARCH-SOLID EARTH</t>
  </si>
  <si>
    <t>Subchron; Late Miocene; Qaidam Basin</t>
  </si>
  <si>
    <t>HIGH-RESOLUTION; GEOMAGNETIC EXCURSIONS; SIWALIK SEDIMENTS; ODP SITE-1092; SOUTH CHINA; MAGNETOSTRATIGRAPHY; STRATIGRAPHY; CALIBRATION; SERIES; MIDDLE</t>
  </si>
  <si>
    <t>Refining reversal ages and improving reversal patterns for the geomagnetic polarity timescale are a major task for the paleomagnetic community. The Late Miocene is a period during which the geomagnetic field experienced frequent perturbations and which dramatic environmental changes occurred. Thus, improved (sub)chron definition during this period will enable to provide additional age control points for better understanding age of paleoenvironmental changes. A prior study of the Late Miocene C4n.2n magnetic polarity zone at Ocean Drilling Program Site 1092 in the sub-Antarctic South Atlantic Ocean has revealed the potential existence of a subchron (C4n.2n-1r). However, this subchron has not been incorporated into the geomagnetic polarity timescale yet because its existence has not been confirmed. Moreover, the low sediment accumulation rate of 1.32 cm/kyr at Site 1092 hampers a confident estimation of the age and duration of this subchron. Here we present a high-resolution paleomagnetic data set covering C4n.2n from the Huaitoutala section in the eastern Qaidam Basin, Northwest China, with an average sediment accumulation rate of similar to 22 cm/kyr. Nine reversed declination/inclination data points define a subchron near the top of C4n.2n, similar to age of reported C4n.2n-1r at Ocean Drilling Program Site 1092. Cyclostratigraphy of the magnetic susceptibility record of the Huaitoutala section suggests that the age and duration of the C4n.2n-1r are 7.7612-7.7554 Ma and 5.8 +/- 2.1 kyr, respectively. Confirming the existence of C4n.2n-1r from a northern hemisphere terrestrial site suggests that two geomagnetic reversals bounding this subchron have global imprints and that this subchron can potentially serve as marker for stratigraphic correlation.</t>
  </si>
  <si>
    <t>[Gao, Peng; Nie, Junsheng; Li, Pu] Lanzhou Univ, Coll Earth &amp; Environm Sci, Minist Educ, Key Lab Western Chinas Environm Syst, Lanzhou, Gansu, Peoples R China; [Gao, Peng; Nie, Junsheng] Chinese Acad Sci, CAS Ctr Excellence Tibetan Plateau Earth Sci, Beijing, Peoples R China; [Li, Mingsong] Penn State Univ, Dept Geosci, University Pk, PA 16802 USA</t>
  </si>
  <si>
    <t>Lanzhou University; Chinese Academy of Sciences; Pennsylvania Commonwealth System of Higher Education (PCSHE); Pennsylvania State University; Pennsylvania State University - University Park</t>
  </si>
  <si>
    <t>Nie, JS (corresponding author), Lanzhou Univ, Coll Earth &amp; Environm Sci, Minist Educ, Key Lab Western Chinas Environm Syst, Lanzhou, Gansu, Peoples R China.;Nie, JS (corresponding author), Chinese Acad Sci, CAS Ctr Excellence Tibetan Plateau Earth Sci, Beijing, Peoples R China.</t>
  </si>
  <si>
    <t>jnie@lzu.edu.cn</t>
  </si>
  <si>
    <t>Nie, Junsheng/E-5047-2010; Li, Mingsong/I-9237-2012</t>
  </si>
  <si>
    <t>Li, Mingsong/0000-0002-5542-8106; Gao, Peng/0000-0003-1646-454X; Nie, Junsheng/0000-0002-1700-7116</t>
  </si>
  <si>
    <t>Second Tibetan Plateau Scientific Expedition [2019QZKK0704]; National Natural Science Foundation of China [41672157]</t>
  </si>
  <si>
    <t>Second Tibetan Plateau Scientific Expedition; National Natural Science Foundation of China(National Natural Science Foundation of China (NSFC))</t>
  </si>
  <si>
    <t>Comments by C. Langereis, another reviewer, and the associate editor M. Dekkers improved the paper significantly. This work was financially supported by the Second Tibetan Plateau Scientific Expedition (grant 2019QZKK0704), and the National Natural Science Foundation of China (grant 41672157). Thanks to Shunchuan Ji, Qingda Su, Rui Zhang, Wenbin Peng, Xueping Ren, Zeng Luo, Zhao Wang, Xiaoxue Wang, Man Li, Haobo Zhang, Xingwan Liu, and Zhongbao Zhang for their field assistance and to Prof. Shihong Zhang and Haiyan Li for their experiment assistance. The authors declare no conflict of interest. The paleomagnetic and MS data that are used in this paper can be obtained from the figshare website (available from https://figshare.com/s/25d15d1d3d3c234a1a6b).</t>
  </si>
  <si>
    <t>2169-9313</t>
  </si>
  <si>
    <t>2169-9356</t>
  </si>
  <si>
    <t>J GEOPHYS RES-SOL EA</t>
  </si>
  <si>
    <t>J. Geophys. Res.-Solid Earth</t>
  </si>
  <si>
    <t>10.1029/2019JB017936</t>
  </si>
  <si>
    <t>KJ8NZ</t>
  </si>
  <si>
    <t>WOS:000500437900001</t>
  </si>
  <si>
    <t>Friedlingstein, P; Jones, MW; O'Sullivan, M; Andrew, RM; Hauck, J; Peters, GP; Peters, W; Pongratz, J; Sitch, S; Le Quéré, C; Bakker, DCE; Canadell, JG; Ciais, P; Jackson, RB; Anthoni, P; Barbero, L; Bastos, A; Bastrikov, V; Becker, M; Bopp, L; Buitenhuis, E; Chandra, N; Chevallier, F; Chini, LP; Currie, KI; Feely, RA; Gehlen, M; Gilfillan, D; Gkritzalis, T; Goll, DS; Gruber, N; Gutekunst, S; Harris, I; Haverd, V; Houghton, RA; Hurtt, G; Ilyina, T; Jain, AK; Joetzjer, E; Kaplan, JO; Kato, E; Goldewijk, KK; Korsbakken, JI; Landschützer, P; Lauvset, SK; Lefèvre, N; Lenton, A; Lienert, S; Lombardozzi, D; Marland, G; McGuire, PC; Melton, JR; Metzl, N; Munro, DR; Nabel, JEMS; Nakaoka, SI; Neill, C; Omar, AM; Ono, T; Peregon, A; Pierrot, D; Poulter, B; Rehder, G; Resplandy, L; Robertson, E; Rödenbeck, C; Séférian, R; Schwinger, J; Smith, N; Tans, PP; Tian, HQ; Tilbrook, B; Tubiello, FN; van der Werf, GR; Wiltshire, AJ; Zaehle, S</t>
  </si>
  <si>
    <t>Friedlingstein, Pierre; Jones, Matthew W.; O'Sullivan, Michael; Andrew, Robbie M.; Hauck, Judith; Peters, Glen P.; Peters, Wouter; Pongratz, Julia; Sitch, Stephen; Le Quere, Corinne; Bakker, Dorothee C. E.; Canadell, Josep G.; Ciais, Philippe; Jackson, Robert B.; Anthoni, Peter; Barbero, Leticia; Bastos, Ana; Bastrikov, Vladislav; Becker, Meike; Bopp, Laurent; Buitenhuis, Erik; Chandra, Naveen; Chevallier, Frederic; Chini, Louise P.; Currie, Kim I.; Feely, Richard A.; Gehlen, Marion; Gilfillan, Dennis; Gkritzalis, Thanos; Goll, Daniel S.; Gruber, Nicolas; Gutekunst, Soeren; Harris, Ian; Haverd, Vanessa; Houghton, Richard A.; Hurtt, George; Ilyina, Tatiana; Jain, Atul K.; Joetzjer, Emilie; Kaplan, Jed O.; Kato, Etsushi; Goldewijk, Kees Klein; Korsbakken, Jan Ivar; Landschuetzer, Peter; Lauvset, Siv K.; Lefevre, Nathalie; Lenton, Andrew; Lienert, Sebastian; Lombardozzi, Danica; Marland, Gregg; McGuire, Patrick C.; Melton, Joe R.; Metzl, Nicolas; Munro, David R.; Nabel, Julia E. M. S.; Nakaoka, Shin-Ichiro; Neill, Craig; Omar, Abdirahman M.; Ono, Tsuneo; Peregon, Anna; Pierrot, Denis; Poulter, Benjamin; Rehder, Gregor; Resplandy, Laure; Robertson, Eddy; Rodenbeck, Christian; Seferian, Roland; Schwinger, Joerg; Smith, Naomi; Tans, Pieter P.; Tian, Hanqin; Tilbrook, Bronte; Tubiello, Francesco N.; van der Werf, Guido R.; Wiltshire, Andrew J.; Zaehle, Sonke</t>
  </si>
  <si>
    <t>Global Carbon Budget 2019</t>
  </si>
  <si>
    <t>EARTH SYSTEM SCIENCE DATA</t>
  </si>
  <si>
    <t>Article; Data Paper</t>
  </si>
  <si>
    <t>LAND-COVER CHANGE; EARTH SYSTEM MODEL; ENVIRONMENT SIMULATOR JULES; OCEAN BIOGEOCHEMICAL MODEL; ANTHROPOGENIC CO2 UPTAKE; LEAF-AREA INDEX; ATMOSPHERIC CO2; SURFACE-OCEAN; FOSSIL-FUEL; DIOXIDE EMISSIONS</t>
  </si>
  <si>
    <t>Accurate assessment of anthropogenic carbon dioxide (CO2) emissions and their redistribution among the atmosphere, ocean, and terrestrial biosphere - the global carbon budget - is important to better understand the global carbon cycle, support the development of climate policies, and project future climate change. Here we describe data sets and methodology to quantify the five major components of the global carbon budget and their uncertainties. Fossil CO2 emissions (E-FF) are based on energy statistics and cement production data, while emissions from land use change (E-LUC), mainly deforestation, are based on land use and land use change data and bookkeeping models. Atmospheric CO2 concentration is measured directly and its growth rate (G(ATM)) is computed from the annual changes in concentration. The ocean CO2 sink (S-OCEAN) and terrestrial CO2 sink (S-LAND) are estimated with global process models constrained by observations. The resulting carbon budget imbalance (B-IM), the difference between the estimated total emissions and the estimated changes in the atmosphere, ocean, and terrestrial biosphere, is a measure of imperfect data and understanding of the contemporary carbon cycle. All uncertainties are reported as +/- 1 sigma. For the last decade available (2009-2018), E-FF was 9.5 +/- 0.5 GtC yr 1, E-LUC 1.5 +/- 0.7 GtC yr 1, G(ATM) 4.9 +/- 0.02 GtC yr(-1) (2.3 +/- 0.01 ppm yr(-1)), S-OCEAN 2.5 +/- 0.6 GtC yr(-1), and S-LAND 3.2 +/- 0.6 GtC yr(-1), with a budget imbalance B-IM of 0.4 GtC yr(-1) indicating overestimated emissions and/or underestimated sinks. For the year 2018 alone, the growth in E-FF was about 2.1% and fossil emissions increased to 10.0 +/- 0.5 GtC yr 1, reaching 10 GtC yr(-1) for the first time in history, E-LUC was 1.5 +/- 0.7 GtC yr(-1), for total anthropogenic CO2 emissions of 11.5 +/- 0.9 GtC yr(-1) (42.5 +/- 3.3 GtCO(2)). Also for 2018, G(ATM) was 5.1 +/- 0.2 GtC yr(-1) (2.4 +/- 0.1 ppm yr(-1)), S-OCEAN was 2.6 +/- 0.6 GtC yr(-1), and S-LAND was 3.5 +/- 0.7 GtC yr(-1), with a B-IM of 0.3 GtC. The global atmospheric CO2 concentration reached 407.38 +/- 0.1 ppm averaged over 2018. For 2019, preliminary data for the first 6-10 months indicate a reduced growth in E-FF of +0.6% (range of -0.2% to 1.5 %) based on national emissions projections for China, the USA, the EU, and India and projections of gross domestic product corrected for recent changes in the carbon intensity of the economy for the rest of the world. Overall, the mean and trend in the five components of the global carbon budget are consistently estimated over the period 1959-2018, but discrepancies of up to 1 GtC yr(-1) persist for the representation of semi-decadal variability in CO2 fluxes. A detailed comparison among individual estimates and the introduction of a broad range of observations shows (1) no consensus in the mean and trend in land use change emissions over the last decade, (2) a persistent low agreement between the different methods on the magnitude of the land CO2 flux in the northern extra-tropics, and (3) an apparent underestimation of the CO2 variability by ocean models outside the tropics. This living data update documents changes in the methods and data sets used in this new global carbon budget and the progress in understanding of the global carbon cycle compared with previous publications of this data set (Le Quere et al., 2018a, b, 2016, 2015a, b, 2014, 2013).</t>
  </si>
  <si>
    <t>[Friedlingstein, Pierre; O'Sullivan, Michael] Univ Exeter, Coll Engn Math &amp; Phys Sci, Exeter EX4 4QF, Devon, England; [Friedlingstein, Pierre; Bopp, Laurent] UPMC X, Lab Meteorol Dynam, Inst Pierre Simon Laplace, CNRS,Ecole Normale Super,Dept Geosci, 24 Rue Lhomond, F-75005 Paris, France; [Jones, Matthew W.; Le Quere, Corinne; Bakker, Dorothee C. E.; Buitenhuis, Erik] Univ East Anglia, Tyndall Ctr Climate Change Res, Sch Environm Sci, Norwich Res Pk, Norwich NR4 7TJ, Norfolk, England; [Andrew, Robbie M.; Peters, Glen P.; Korsbakken, Jan Ivar] CICERO Ctr Int Climate Res, N-0349 Oslo, Norway; [Hauck, Judith] Helmholtz Ctr Polar &amp; Marine Res, Alfred Wegener Inst, Postfach 120161, D-27515 Bremerhaven, Germany; [Peters, Wouter; Smith, Naomi] Wageningen Univ, Environm Sci Grp, POB 47, NL-6700 AA Wageningen, Netherlands; [Peters, Wouter] Univ Groningen, Ctr Isotope Res, Groningen, Netherlands; [Pongratz, Julia; Bastos, Ana] Ludwig Maximilians Univ Munchen, Luisenstr 37, D-80333 Munich, Germany; [Pongratz, Julia; Ilyina, Tatiana; Landschuetzer, Peter; Nabel, Julia E. M. S.] Max Planck Inst Meteorol, Hamburg, Germany; [Sitch, Stephen] Univ Exeter, Coll Life &amp; Environm Sci, Exeter EX4 4RJ, Devon, England; [Canadell, Josep G.; Haverd, Vanessa] CSIRO Oceans &amp; Atmosphere, GPO Box 1700, Canberra, ACT 2601, Australia; [Ciais, Philippe; Bastrikov, Vladislav; Chevallier, Frederic; Gehlen, Marion; Peregon, Anna] UVSQ, Inst Pierre Simon Laplace, Lab Sci Climat &amp; Environm, CEA,CNRS ,CE Orme Merisiers, F-91191 Gif Sur Yvette, France; [Jackson, Robert B.] Stanford Univ, Dept Earth Syst Sci, Woods Inst Environm, Stanford, CA 94305 USA; [Jackson, Robert B.] Stanford Univ, Precourt Inst Energy, Stanford, CA 94305 USA; [Anthoni, Peter] Karlsruhe Inst Technol, Inst Meteorol &amp; Climate, Res Atmospher Environm Res, D-82467 Garmisch Partenkirchen, Germany; [Barbero, Leticia; Pierrot, Denis] Univ Miami, Rosenstiel Sch Marine &amp; Atmospher Sci, Cooperat Inst Marine &amp; Atmospher Studies, 4600 Rickenbacker Causeway, Miami, FL 33149 USA; [Barbero, Leticia; Pierrot, Denis] NOAA, Atlantic Oceanog &amp; Meteorol Lab, Miami, FL 33149 USA; [Becker, Meike] Univ Bergen, Inst Geophys, Bergen, Norway; [Becker, Meike; Lauvset, Siv K.; Omar, Abdirahman M.; Schwinger, Joerg] Bjerknes Ctr Climate Res, Allegaten 70, N-5007 Bergen, Norway; [Chandra, Naveen] Japan Agcy Marine Earth Sci &amp; Technol JAMSTEC, Earth Surface Syst Res Ctr ESS, Yokohama, Kanagawa 2360001, Japan; [Chini, Louise P.; Hurtt, George] Univ Maryland, Dept Geog Sci, College Pk, MD 20742 USA; [Currie, Kim I.] NIWA UoO Res Ctr Oceanog, POB 56, Dunedin 9054, New Zealand; [Feely, Richard A.] NOAA, Pacific Marine Environm Lab, 7600 Sand Point Way NE, Seattle, WA 98115 USA; [Gilfillan, Dennis; Marland, Gregg] Appalachian State Univ, Res Inst Environm Energy &amp; Econ, Boone, NC 28608 USA; [Gkritzalis, Thanos] Flanders Marine Inst VLIZ, InnovOceanSite,Wandelaarkaai 7, B-8400 Oostende, Belgium; [Goll, Daniel S.] Univ Augsburg, Lehrstuhl Phys Geog Schwerpunkt Klimaforsch, Augsburg, Germany; [Gruber, Nicolas] Swiss Fed Inst Technol, Environm Phys Grp, Inst Biogeochem &amp; Pollutant Dynam, Zurich, Switzerland; [Gruber, Nicolas] Ctr Climate Syst Modeling, Zurich, Switzerland; [Gutekunst, Soeren] GEOMAR Helmholtz Ctr Ocean Res Kiel, Dusternbrooker Weg 20, D-24105 Kiel, Germany; [Harris, Ian] Univ East Anglia, NCAS Climate, Climat Res Unit, Sch Environm Sci, Norwich Res Pk, Norwich NR4 7TJ, Norfolk, England; [Houghton, Richard A.] Woods Hole Res Ctr, Falmouth, MA 02540 USA; [Jain, Atul K.] Univ Illinois, Dept Atmospher Sci, Urbana, IL 61821 USA; [Joetzjer, Emilie; Seferian, Roland] Meteo France, Ctr Natl Rech Meteorol, CNRS, Unite Mixte Rech 3589, 42 Ave Gaspard Coriolis, F-31100 Toulouse, France; [Kaplan, Jed O.] Univ Hong Kong, Dept Earth Sci, Pokfulam Rd, Hong Kong, Peoples R China; [Kato, Etsushi] Inst Appl Energy, Minato Ku, Tokyo 1050003, Japan; [Goldewijk, Kees Klein; Schwinger, Joerg] PBL Netherlands Environm Assessment Agcy, Bezuidenhoutseweg 30,POB 30314, NL-2500 GH The Hague, Netherlands; [Goldewijk, Kees Klein] Copernicus Inst Sustainable Dev, Dept IMEW, Fac Geosci, Heidelberglaan 2,POB 80115, NL-3508 TC Utrecht, Netherlands; [Lauvset, Siv K.] NORCE Climate, NORCE Norwegian Res Ctr, Jahnebakken 70, N-5008 Bergen, Norway; [Lefevre, Nathalie; Metzl, Nicolas] Sorbonne Univ, LOCEAN IPSL Lab, CNRS, IRS,MNHN, Paris, France; [Lenton, Andrew; Neill, Craig; Omar, Abdirahman M.; Tilbrook, Bronte] CSIRO Oceans &amp; Atmosphere, Hobart, Tas, Australia; [Lenton, Andrew] Univ Tasmania, Inst Marine &amp; Antarctic Studies, Hobart, Tas, Australia; [Lienert, Sebastian] Univ Bern, Climate &amp; Environm Phys, Inst Phys, Bern, Switzerland; [Lienert, Sebastian] Univ Bern, Oeschger Ctr Climate Change Res, Bern, Switzerland; [Lombardozzi, Danica] Natl Ctr Atmospher Res Climate &amp; Global Dynam, Terr Sci Sect, Boulder, CO 80305 USA; [McGuire, Patrick C.] Univ Reading, Dept Meteorol, Dept Geog &amp; Environm Sci, Natl Ctr Atmospher Sci, Reading, Berks, England; [Melton, Joe R.] Environm &amp; Climate Change Canada, Climate Res Div, Victoria, BC, Canada; [Munro, David R.] Univ Colorado, Cooperat Inst Res Environm Sci, Boulder, CO 80309 USA; [Nakaoka, Shin-Ichiro] NIES, Ctr Global Environm Res, 16-2 Onogawa, Tsukuba, Ibaraki 3058506, Japan; [Ono, Tsuneo] Japan Fisheries Res &amp; Educ Agcy, Kanazawa Ku, 2-12-4 Fukuura, Yokohama, Kanagawa 2368648, Japan; [Peregon, Anna] Russian Acad Sci, Siberian Branch, Inst Soil Sci &amp; Agrochem, Pr Akad Lavrentyeva 8-2, Novosibirsk 630090, Russia; [Poulter, Benjamin] NASA, Goddard Space Flight Ctr, Biospher Sci Lab, Greenbelt, MD 20771 USA; [Rehder, Gregor] Leibniz Inst Balt Sea Res Warnemuende IOW, Seestr 15, D-18119 Rostock, Germany; [Resplandy, Laure] Princeton Univ, Dept Geosci, Princeton, NJ 08544 USA; [Resplandy, Laure] Princeton Univ, Princeton Environm Inst, Princeton, NJ 08544 USA; [Robertson, Eddy; Wiltshire, Andrew J.] Met Off Hadley Ctr, FitzRoy Rd, Exeter EX1 3PB, Devon, England; [Rodenbeck, Christian; Zaehle, Sonke] Max Planck Inst Biogeochem, POB 600164,Hans Knoll Str 10, D-07745 Jena, Germany; [Smith, Naomi] Lund Univ, ICOS Carbon Portal, Lund, Sweden; [Tans, Pieter P.] NOAA, Earth Syst Res Lab, Boulder, CO 80305 USA; [Tian, Hanqin] Auburn Univ, Int Ctr Climate &amp; Global Change Res, Sch Forestry &amp; Wildlife Sci, 602 Ducan Dr, Auburn, AL 36849 USA; [Tilbrook, Bronte] Univ Tasmania, Australian Antarctic Partnership Program, Hobart, Tas, Australia; [Tubiello, Francesco N.] UN, FAO, Div Stat, Via Terme Caracalla, I-00153 Rome, Italy; [van der Werf, Guido R.] Vrije Univ, Fac Sci, Amsterdam, Netherlands</t>
  </si>
  <si>
    <t>University of Exeter; Sorbonne Universite; Centre National de la Recherche Scientifique (CNRS); CNRS - National Institute for Earth Sciences &amp; Astronomy (INSU); Universite PSL; Ecole Normale Superieure (ENS); Universite Paris Cite; Universite Paris Saclay; University of East Anglia; Helmholtz Association; Alfred Wegener Institute, Helmholtz Centre for Polar &amp; Marine Research; Wageningen University &amp; Research; University of Groningen; University of Munich; Max Planck Society; University of Exeter; Commonwealth Scientific &amp; Industrial Research Organisation (CSIRO); Universite Paris Cite; Universite Paris Saclay; CEA; Centre National de la Recherche Scientifique (CNRS); Stanford University; Stanford University; Helmholtz Association; Karlsruhe Institute of Technology; University of Miami; National Oceanic Atmospheric Admin (NOAA) - USA; Atlantic Oceanographic &amp; Meteorological Laboratory (AOML); University of Bergen; Bjerknes Centre for Climate Research; Japan Agency for Marine-Earth Science &amp; Technology (JAMSTEC); University System of Maryland; University of Maryland College Park; National Oceanic Atmospheric Admin (NOAA) - USA; University of North Carolina; Appalachian State University; University of Augsburg; Swiss Federal Institutes of Technology Domain; ETH Zurich; Helmholtz Association; GEOMAR Helmholtz Center for Ocean Research Kiel; University of East Anglia; Woodwell Climate Research Center; University of Illinois System; University of Illinois Urbana-Champaign; Meteo France; Centre National de la Recherche Scientifique (CNRS); University of Hong Kong; Norwegian Research Centre (NORCE); Centre National de la Recherche Scientifique (CNRS); Museum National d'Histoire Naturelle (MNHN); Sorbonne Universite; Commonwealth Scientific &amp; Industrial Research Organisation (CSIRO); University of Tasmania; University of Bern; University of Bern; National Center Atmospheric Research (NCAR) - USA; UK Research &amp; Innovation (UKRI); Natural Environment Research Council (NERC); NERC National Centre for Atmospheric Science; University of Reading; Environment &amp; Climate Change Canada; University of Colorado System; University of Colorado Boulder; National Institute for Environmental Studies - Japan; Japan Fisheries Research &amp; Education Agency (FRA); Russian Academy of Sciences; National Aeronautics &amp; Space Administration (NASA); NASA Goddard Space Flight Center; Leibniz Institut fur Ostseeforschung Warnemunde; Princeton University; Princeton University; Met Office - UK; Hadley Centre; Max Planck Society; Lund University; National Oceanic Atmospheric Admin (NOAA) - USA; Auburn University System; Auburn University; University of Tasmania; Food &amp; Agriculture Organization of the United Nations (FAO); Vrije Universiteit Amsterdam</t>
  </si>
  <si>
    <t>Friedlingstein, P (corresponding author), Univ Exeter, Coll Engn Math &amp; Phys Sci, Exeter EX4 4QF, Devon, England.;Friedlingstein, P (corresponding author), UPMC X, Lab Meteorol Dynam, Inst Pierre Simon Laplace, CNRS,Ecole Normale Super,Dept Geosci, 24 Rue Lhomond, F-75005 Paris, France.</t>
  </si>
  <si>
    <t>p.friedlingstein@exeter.ac.uk</t>
  </si>
  <si>
    <t>Zaehle, Sönke/C-9528-2017; Joetzjer, Emilie/AAP-8660-2020; van der Werf, Guido/JXY-9197-2024; Canadell, Pep/E-9419-2010; Gruber, Nicolas/B-7013-2009; Joetzjer, Emilie/AFF-1116-2022; Sitch, Stephen A/F-8034-2015; Feely, Richard A./ABI-5740-2020; Jones, Matthew/AAR-1341-2021; Andrew, Robbie/B-4204-2008; Melton, Joe R./H-6803-2019; Ilyina, Tatiana/ABE-9164-2020; Shin-ichiro, Nakaoka/I-7222-2018; haverd, vanessa/G-8683-2011; Poulter, Ben/ABB-5886-2021; Tans, Pieter/AAG-8273-2019; Ciais, Philippe/A-6840-2011; Kato, Etsushi/Q-2623-2018; Harris, Ian C/O-7772-2014; Séférian, Roland/ABD-5465-2021; Chevallier, Frederic/E-9608-2016; Munro, David/ABA-2074-2020; Kaplan, Jed O./P-1796-2015; Lauvset, Siv K/H-7948-2016; Goll, Daniel/K-6620-2017; Joetzjer, Emilie/AAE-9799-2022; Peters, Glen P/B-1012-2008; bopp, laurent/ABF-5302-2020; McGuire, Patrick C./ITT-3056-2023; OSullivan, Mike/HJY-6367-2023; Landschützer, Peter/IQU-3835-2023; Friedlingstein, Pierre/H-2700-2014; Peters, Wouter/B-8305-2008; Le Quéré, Corinne/C-2631-2017; Jain, Atul/D-2851-2016; Hurtt, George/A-8450-2012; Pongratz, Julia/AAG-3274-2019; Chandra, Naveen/AAK-7603-2020; Lenton, Andrew/D-2077-2012; Hauck, Judith/AAC-3967-2019; McGuire, Patrick C./D-2962-2013; Pierrot, Denis/AAH-7687-2020; Bastos, Ana/G-2927-2013; Barbero, Leticia/B-5237-2011; Schwinger, Jörg/AAN-6573-2021; Klein Goldewijk, Kees/L-5567-2013; Buitenhuis, Erik/A-7692-2012; van der Werf, Guido/M-8260-2016; Tilbrook, Bronte/A-1522-2012; Bakker, Dorothee/E-4951-2015; Tian, Hanqin/A-6484-2012</t>
  </si>
  <si>
    <t>Zaehle, Sönke/0000-0001-5602-7956; Canadell, Pep/0000-0002-8788-3218; Gruber, Nicolas/0000-0002-2085-2310; Jones, Matthew/0000-0003-3480-7980; Andrew, Robbie/0000-0001-8590-6431; Melton, Joe R./0000-0002-9414-064X; Ilyina, Tatiana/0000-0002-3475-4842; Shin-ichiro, Nakaoka/0000-0002-3870-1721; Poulter, Ben/0000-0002-9493-8600; Tans, Pieter/0000-0002-9883-0787; Ciais, Philippe/0000-0001-8560-4943; Kato, Etsushi/0000-0001-8814-804X; Séférian, Roland/0000-0002-2571-2114; Chevallier, Frederic/0000-0002-4327-3813; Kaplan, Jed O./0000-0001-9919-7613; Peters, Glen P/0000-0001-7889-8568; bopp, laurent/0000-0003-4732-4953; Landschützer, Peter/0000-0002-7398-3293; Friedlingstein, Pierre/0000-0003-3309-4739; Peters, Wouter/0000-0001-8166-2070; Le Quéré, Corinne/0000-0003-2319-0452; Jain, Atul/0000-0002-4051-3228; Hurtt, George/0000-0001-7278-202X; Chandra, Naveen/0000-0002-5357-7757; Hauck, Judith/0000-0003-4723-9652; McGuire, Patrick C./0000-0001-6592-4966; Bastos, Ana/0000-0002-7368-7806; Schwinger, Jörg/0000-0002-7525-6882; Klein Goldewijk, Kees/0000-0003-2714-7507; Haverd, Vanessa/0000-0003-4359-5895; O'Sullivan, Michael/0000-0002-6278-3392; Jackson, Robert/0000-0001-8846-7147; Buitenhuis, Erik/0000-0001-6274-5583; van der Werf, Guido/0000-0001-9042-8630; Gilfillan, Dennis/0000-0002-4577-2130; Gehlen, Marion/0000-0002-9688-0692; Resplandy, Laure/0000-0002-1212-3943; Tilbrook, Bronte/0000-0001-9385-3827; metzl, nicolas/0000-0002-1165-1074; Bakker, Dorothee/0000-0001-9234-5337; Tian, Hanqin/0000-0002-1806-4091; Harris, Ian/0000-0003-2037-9284; Korsbakken, Jan Ivar/0000-0002-2939-9778; Tubiello, Francesco Nicola/0000-0003-4617-4690; Pongratz, Julia/0000-0003-0372-3960; Lombardozzi, Danica/0000-0003-3557-7929</t>
  </si>
  <si>
    <t>NERC [NE/I03002X/1, NE/P021417/1] Funding Source: UKRI</t>
  </si>
  <si>
    <t>NERC(UK Research &amp; Innovation (UKRI)Natural Environment Research Council (NERC))</t>
  </si>
  <si>
    <t>1866-3508</t>
  </si>
  <si>
    <t>1866-3516</t>
  </si>
  <si>
    <t>EARTH SYST SCI DATA</t>
  </si>
  <si>
    <t>Earth Syst. Sci. Data</t>
  </si>
  <si>
    <t>DEC 4</t>
  </si>
  <si>
    <t>10.5194/essd-11-1783-2019</t>
  </si>
  <si>
    <t>Geosciences, Multidisciplinary; Meteorology &amp; Atmospheric Sciences</t>
  </si>
  <si>
    <t>Geology; Meteorology &amp; Atmospheric Sciences</t>
  </si>
  <si>
    <t>JT4LN</t>
  </si>
  <si>
    <t>Green Submitted, Green Accepted, Green Published, gold</t>
  </si>
  <si>
    <t>WOS:000500962900001</t>
  </si>
  <si>
    <t>Kopp, RE; Gilmore, EA; Little, CM; Lorenzo-Trueba, J; Ramenzoni, VC; Sweet, WV</t>
  </si>
  <si>
    <t>Kopp, Robert E.; Gilmore, Elisabeth A.; Little, Christopher M.; Lorenzo-Trueba, Jorge; Ramenzoni, Victoria C.; Sweet, William V.</t>
  </si>
  <si>
    <t>Usable Science for Managing the Risks of Sea-Level Rise</t>
  </si>
  <si>
    <t>EARTHS FUTURE</t>
  </si>
  <si>
    <t>sea level; climate change; geomorphology; migration; decision making; adaptation</t>
  </si>
  <si>
    <t>ANTARCTIC ICE-SHEET; ADAPTIVE POLICY PATHWAYS; YORK-CITY PANEL; CLIMATE-CHANGE; STORM-SURGE; POTENTIAL IMPACT; DECISION-MAKING; MASS-BALANCE; ENVIRONMENTAL DIMENSIONS; MULTIMODEL ENSEMBLE</t>
  </si>
  <si>
    <t>Sea-level rise sits at the frontier of usable climate climate change research, because it involves natural and human systems with long lags, irreversible losses, and deep uncertainty. For example, many of the measures to adapt to sea-level rise involve infrastructure and land-use decisions, which can have multigenerational lifetimes and will further influence responses in both natural and human systems. Thus, sea-level science has increasingly grappled with the implications of (1) deep uncertainty in future climate system projections, particularly of human emissions and ice sheet dynamics; (2) the overlay of slow trends and high-frequency variability (e.g., tides and storms) that give rise to many of the most relevant impacts; (3) the effects of changing sea level on the physical exposure and vulnerability of ecological and socioeconomic systems; and (4) the challenges of engaging stakeholder communities with the scientific process in a way that genuinely increases the utility of the science for adaptation decision making. Much fundamental climate system research remains to be done, but many of the most critical issues sit at the intersection of natural sciences, social sciences, engineering, decision science, and political economy. Addressing these issues demands a better understanding of the coupled interactions of mean and extreme sea levels, coastal geomorphology, economics, and migration; decision-first approaches that identify and focus research upon those scientific uncertainties most relevant to concrete adaptation choices; and a political economy that allows usable science to become used science.</t>
  </si>
  <si>
    <t>[Kopp, Robert E.; Ramenzoni, Victoria C.] Rutgers State Univ, Dept Earth &amp; Planetary Sci, Piscataway, NJ 08855 USA; [Kopp, Robert E.] Rutgers State Univ, Inst Earth Ocean &amp; Atmospher Sci, New Brunswick, NJ 08901 USA; [Gilmore, Elisabeth A.] Clark Univ, Dept Int Dev Community &amp; Environm, Worcester, MA 01610 USA; [Little, Christopher M.] Atmospher &amp; Environm Res Inc, Lexington, MA USA; [Lorenzo-Trueba, Jorge] Montclair State Univ, Dept Earth &amp; Environm Studies, Montclair, NJ USA; [Ramenzoni, Victoria C.] Rutgers State Univ, Dept Human Ecol, New Brunswick, NJ USA; [Sweet, William V.] NOAA, Natl Ocean Serv, Ctr Operat Oceanog Prod &amp; Serv, Silver Spring, MD USA</t>
  </si>
  <si>
    <t>Rutgers University System; Rutgers University New Brunswick; Rutgers University System; Rutgers University New Brunswick; Clark University; Atmospheric &amp; Environmental Research; Montclair State University; Rutgers University System; Rutgers University New Brunswick; National Oceanic Atmospheric Admin (NOAA) - USA; National Ocean Service, NOAA</t>
  </si>
  <si>
    <t>Kopp, RE (corresponding author), Rutgers State Univ, Dept Earth &amp; Planetary Sci, Piscataway, NJ 08855 USA.;Kopp, RE (corresponding author), Rutgers State Univ, Inst Earth Ocean &amp; Atmospher Sci, New Brunswick, NJ 08901 USA.</t>
  </si>
  <si>
    <t>Robert.Kopp@rutgers.edu</t>
  </si>
  <si>
    <t>Kopp, Robert E/B-8822-2008; Gilmore, Elisabeth/HLQ-7712-2023; Ramenzoni, Verónica C./J-8632-2012; sweet, william/D-4310-2019</t>
  </si>
  <si>
    <t>Gilmore, Elisabeth/0000-0002-9037-6751; sweet, william/0000-0002-0149-8336; Kopp, Robert/0000-0003-4016-9428</t>
  </si>
  <si>
    <t>National Science Foundation [CNH-1518503, ICER-1663807, DGE-1633557, DBI-1639145]; National Aeronautics and Space Administration [80NSSC17K0698]; Rhodium Group as part of the Climate Impact Lab consortium; New Jersey Sea Grant [NJSG-18-937]; NSF [OCE-1805029]; NASA [NNH16CT01C]</t>
  </si>
  <si>
    <t>National Science Foundation(National Science Foundation (NSF)); National Aeronautics and Space Administration(National Aeronautics &amp; Space Administration (NASA)); Rhodium Group as part of the Climate Impact Lab consortium; New Jersey Sea Grant; NSF(National Science Foundation (NSF)); NASA(National Aeronautics &amp; Space Administration (NASA))</t>
  </si>
  <si>
    <t>R. E. K. was supported by grants from the National Science Foundation (ICER-1663807, DGE-1633557) and the National Aeronautics and Space Administration (80NSSC17K0698) and from the Rhodium Group (for whom he has previously worked as a consultant) as part of the Climate Impact Lab consortium. J. L. T. was supported by grants from the National Science Foundation (CNH-1518503) and New Jersey Sea Grant (NJSG-18-937). C. M. L. was supported by NSF grant OCE-1805029 and NASA contract NNH16CT01C. This paper is a contribution to the National Socioenvironmental Synthesis Center (SESYNC) Pursuit A forecast of the timing, locations, sequence and likeliest destinations of populations displaced by sea level rise and coastal extremes, funded by the National Science Foundation (DBI-1639145). The scientific results and conclusions, as well as any views or opinions expressed herein, are those of the authors and do not necessarily reflect the views of their institutions or funders. We thank S. Brown, G. Dusek, K. Keller, and an anonymous reviewer for helpful comments.</t>
  </si>
  <si>
    <t>2328-4277</t>
  </si>
  <si>
    <t>Earth Future</t>
  </si>
  <si>
    <t>10.1029/2018EF001145</t>
  </si>
  <si>
    <t>Environmental Sciences; Geosciences, Multidisciplinary; Meteorology &amp; Atmospheric Sciences</t>
  </si>
  <si>
    <t>Environmental Sciences &amp; Ecology; Geology; Meteorology &amp; Atmospheric Sciences</t>
  </si>
  <si>
    <t>KF1RX</t>
  </si>
  <si>
    <t>WOS:000500397200001</t>
  </si>
  <si>
    <t>Oliver, ECJ; Burrows, MT; Donat, MG; Sen Gupta, A; Alexander, LV; Perkins-Kirkpatrick, SE; Benthuysen, JA; Hobday, AJ; Holbrook, NJ; Moore, PJ; Thomsen, MS; Wernberg, T; Smale, DA</t>
  </si>
  <si>
    <t>Oliver, Eric C. J.; Burrows, Michael T.; Donat, Markus G.; Sen Gupta, Alex; Alexander, Lisa, V; Perkins-Kirkpatrick, Sarah E.; Benthuysen, Jessica A.; Hobday, Alistair J.; Holbrook, Neil J.; Moore, Pippa J.; Thomsen, Mads S.; Wernberg, Thomas; Smale, Dan A.</t>
  </si>
  <si>
    <t>Projected Marine Heatwaves in the 21st Century and the Potential for Ecological Impact</t>
  </si>
  <si>
    <t>marine heatwave; climate change; extreme events; global climate models; ecosystems</t>
  </si>
  <si>
    <t>SEA-SURFACE-TEMPERATURE; GREAT-BARRIER-REEF; HEAT-WAVE; CLIMATE-CHANGE; IN-SITU; OCEAN; VARIABILITY; SATELLITE; RECORD; AUSTRALIA</t>
  </si>
  <si>
    <t>Marine heatwaves (MHWs) are extreme climatic events in oceanic systems that can have devastating impacts on ecosystems, causing abrupt ecological changes and socioeconomic consequences. Several prominent MHWs have attracted scientific and public interest, and recent assessments have documented global and regional increases in their frequency. However, for proactive marine management, it is critical to understand how patterns might change in the future. Here, we estimate future changes in MHWs to the end of the 21st century, as simulated by the CMIP5 global climate model projections. Significant increases in MHW intensity and count of annual MHW days are projected to accelerate, with many parts of the ocean reaching a near-permanent MHW state by the late 21st century. The two greenhouse gas (GHG) emission scenarios considered (Representative Concentration Pathway 4.5 and 8.5) strongly affect the projected intensity of MHW events, the proportion of the globe exposed to permanent MHW states, and the occurrence of the most extreme MHW events. Comparison with simulations of a natural world, without anthropogenic forcing, indicate that these trends have emerged from the expected range of natural variability within the first half of the 21st century. This discrepancy implies a degree of anthropogenic emergence, with a departure from the natural MHW conditions that have previously shaped marine ecosystems for centuries or even millennia. Based on these projections we expect impacts on marine ecosystems to be widespread, significant and persistent through the 21st century.</t>
  </si>
  <si>
    <t>[Oliver, Eric C. J.] Dalhousie Univ, Dept Oceanog, Halifax, NS, Canada; [Burrows, Michael T.] Scottish Assoc Marine Sci, Oban, Argyll, Scotland; [Donat, Markus G.] Barcelona Supercomp Ctr, Barcelona, Spain; [Sen Gupta, Alex; Alexander, Lisa, V; Perkins-Kirkpatrick, Sarah E.] Univ New South Wales, Climate Change Res Ctr, Sydney, NSW, Australia; [Sen Gupta, Alex; Alexander, Lisa, V; Perkins-Kirkpatrick, Sarah E.; Holbrook, Neil J.] Australian Res Council Ctr Excellence Climate Ext, Sydney, NSW, Australia; [Benthuysen, Jessica A.] Australian Inst Marine Sci, Crawley, WA, Australia; [Hobday, Alistair J.] CSIRO Oceans &amp; Atmosphere, Hobart, Tas, Australia; [Holbrook, Neil J.] Univ Tasmania, Inst Marine &amp; Antarctic Studies, Hobart, Tas, Australia; [Moore, Pippa J.] Aberystwyth Univ, Inst Biol Environm &amp; Rural Studies, Aberystwyth, Dyfed, Wales; [Thomsen, Mads S.] Univ Canterbury, Sch Biol Sci, Ctr Integrat Ecol, Christchurch, New Zealand; [Thomsen, Mads S.] Univ Canterbury, Sch Biol Sci, Marine Ecol Res Grp, Christchurch, New Zealand; [Wernberg, Thomas] Univ Western Australia, UWA Oceans Inst, Crawley, WA, Australia; [Wernberg, Thomas] Univ Western Australia, Sch Biol Sci, Crawley, WA, Australia; [Smale, Dan A.] Marine Biol Assoc UK, Plymouth, Devon, England</t>
  </si>
  <si>
    <t>Dalhousie University; UHI Millennium Institute; Universitat Politecnica de Catalunya; Barcelona Supercomputer Center (BSC-CNS); University of New South Wales Sydney; Australian Institute of Marine Science; Commonwealth Scientific &amp; Industrial Research Organisation (CSIRO); University of Tasmania; Aberystwyth University; University of Canterbury; University of Canterbury; University of Western Australia; University of Western Australia; Marine Biological Association United Kingdom</t>
  </si>
  <si>
    <t>Oliver, ECJ (corresponding author), Dalhousie Univ, Dept Oceanog, Halifax, NS, Canada.</t>
  </si>
  <si>
    <t>eric.oliver@dal.ca</t>
  </si>
  <si>
    <t>Donat, Markus/J-8331-2012; Burrows, Michael/ABF-4844-2020; Hobday, Alistair/A-1460-2012; Smale, Dan A/B-3240-2011; Wernberg, Thomas/B-4172-2010; Thomsen, Mads/B-1204-2011; Moore, Pippa/HCH-3738-2022; Perkins-Kirkpatrick, Sarah E/O-5042-2015; Oliver, Eric/G-5118-2014; Holbrook, Neil/M-7544-2013; Sen Gupta, Alexander/B-7995-2011; Alexander, Lisa/A-8477-2011</t>
  </si>
  <si>
    <t>Donat, Markus/0000-0002-0608-7288; Burrows, Michael/0000-0003-4620-5899; Wernberg, Thomas/0000-0003-1185-9745; Moore, Pippa/0000-0002-9889-2216; Oliver, Eric/0000-0002-4006-2826; Holbrook, Neil/0000-0002-3523-6254; Sen Gupta, Alexander/0000-0001-5226-871X; Thomsen, Mads/0000-0003-4597-3343; Perkins-Kirkpatrick, Sarah/0000-0001-9443-4915; Alexander, Lisa/0000-0002-5635-2457</t>
  </si>
  <si>
    <t>Australian Research Council [CE170100023, FT170100106]; Natural Environment Research Council International Opportunity Fund [NE/N00678X/1]; National Sciences and Engineering Research Council of Canada [RGPIN-2018-05255]; Earth Systems and Climate Change Hub of the Australian Government's National Environmental Science Program; NERC [NE/J022446/1, NE/J021938/1, NE/J024082/1, NE/H017151/1, NE/N00678X/1] Funding Source: UKRI</t>
  </si>
  <si>
    <t>Australian Research Council(Australian Research Council); Natural Environment Research Council International Opportunity Fund; National Sciences and Engineering Research Council of Canada(Natural Sciences and Engineering Research Council of Canada (NSERC)); Earth Systems and Climate Change Hub of the Australian Government's National Environmental Science Program; NERC(UK Research &amp; Innovation (UKRI)Natural Environment Research Council (NERC))</t>
  </si>
  <si>
    <t>This research was supported by the Australian Research Council grants CE170100023 and FT170100106, Natural Environment Research Council International Opportunity Fund NE/N00678X/1, National Sciences and Engineering Research Council of Canada Discovery Grant RGPIN-2018-05255, and Brian Mason (Impacts of an unprecedented marine heatwave). This project was partially supported through funding from the Earth Systems and Climate Change Hub of the Australian Government's National Environmental Science Program.</t>
  </si>
  <si>
    <t>10.3389/fmars.2019.00734</t>
  </si>
  <si>
    <t>JW3NF</t>
  </si>
  <si>
    <t>WOS:000502961300001</t>
  </si>
  <si>
    <t>González-Aravena, M; Kenny, NJ; Osorio, M; Font, A; Riesgo, A; Cárdenas, CA</t>
  </si>
  <si>
    <t>Gonzalez-Aravena, Marcelo; Kenny, Nathan J.; Osorio, Magdalena; Font, Alejandro; Riesgo, Ana; Cardenas, Cesar A.</t>
  </si>
  <si>
    <t>Warm temperatures, cool sponges: the effect of increased temperatures on the Antarctic sponge Isodictya sp.</t>
  </si>
  <si>
    <t>PEERJ</t>
  </si>
  <si>
    <t>Porifera; Thermal stress; Climate change; Transcriptome; Western Antarctic Peninsula</t>
  </si>
  <si>
    <t>HEAT-SHOCK-PROTEIN; INFLAMMATORY FACTOR-I; TUMOR-NECROSIS-FACTOR; GENE-EXPRESSION; THERMAL-STRESS; DIFFERENTIAL EXPRESSION; MARINE SPONGES; LIFE-CYCLE; ANNOTATION; STABILITY</t>
  </si>
  <si>
    <t>Although the cellular and molecular responses to exposure to relatively high temperatures (acute thermal stress or heat shock) have been studied previously, only sparse empirical evidence of how it affects cold-water species is available. As climate change becomes more pronounced in areas such as the Western Antarctic Peninsula, both long-term and occasional acute temperature rises will impact species found there, and it has become crucial to understand the capacity of these species to respond to such thermal stress. Here, we use the Antarctic sponge Isodictya sp. to investigate how sessile organisms (particularly Porifera) can adjust to acute short-term heat stress, by exposing this species to 3 and 5 degrees C for 4 h, corresponding to predicted temperatures under high-end 2080 IPCC-SRES scenarios. Assembling a de novo reference transcriptome (90,188 contigs, &gt;93.7% metazoan BUSCO genes) we have begun to discern the molecular response employed by Isodictya to adjust to heat exposure. Our initial analyses suggest that TGF-beta, ubiquitin and hedgehog cascades are involved, alongside other genes. However, the degree and type of response changed little from 3 to 5 degrees C in the time frame examined, suggesting that even moderate rises in temperature could cause stress at the limits of this organism's capacity. Given the importance of sponges to Antarctic ecosystems, our findings are vital for discerning the consequences of short-term increases in Antarctic ocean temperature on these and other species.</t>
  </si>
  <si>
    <t>[Gonzalez-Aravena, Marcelo; Osorio, Magdalena; Font, Alejandro; Cardenas, Cesar A.] Inst Antartico Chileno, Dept Cient, Puntas Arenas, Chile; [Kenny, Nathan J.; Riesgo, Ana] Nat Hist Museum, Life Sci, London, England; [Kenny, Nathan J.] Oxford Brookes Univ, Life Sci, Oxford, England</t>
  </si>
  <si>
    <t>Natural History Museum London; Oxford Brookes University</t>
  </si>
  <si>
    <t>Cárdenas, CA (corresponding author), Inst Antartico Chileno, Dept Cient, Puntas Arenas, Chile.;Kenny, NJ (corresponding author), Nat Hist Museum, Life Sci, London, England.;Kenny, NJ (corresponding author), Oxford Brookes Univ, Life Sci, Oxford, England.</t>
  </si>
  <si>
    <t>nathanjameskenny@gmail.com; ccardenas@inach.cl</t>
  </si>
  <si>
    <t>Kenny, Nathan/AAD-2391-2020; González, Marcelo/ABF-1450-2020; Cardenas, Cesar/ABF-1664-2020; Riesgo, Ana/E-3341-2014</t>
  </si>
  <si>
    <t>Kenny, Nathan/0000-0003-4816-4103; Riesgo, Ana/0000-0002-7993-1523; Gonzalez, Marcelo/0000-0001-9986-9504; Cardenas, Cesar/0000-0001-6662-6899</t>
  </si>
  <si>
    <t>CONICYT/FONDECYT/INACH/INICIACION [11150129]; INACH program Marine Protected Areas; European Union's Horizon 2020 research and innovation programme under the Marie Sklodowska-Curie grant [750937]; Marie Curie Actions (MSCA) [750937] Funding Source: Marie Curie Actions (MSCA)</t>
  </si>
  <si>
    <t>CONICYT/FONDECYT/INACH/INICIACION; INACH program Marine Protected Areas; European Union's Horizon 2020 research and innovation programme under the Marie Sklodowska-Curie grant(Marie Curie Actions); Marie Curie Actions (MSCA)(Marie Curie Actions)</t>
  </si>
  <si>
    <t>Cesar Cardenas was supported by CONICYT/FONDECYT/INACH/INICIACION/#11150129. This study was partially funded by the INACH program Marine Protected Areas. Nathan Kenny and Ana Riesgo and this project received funding from the European Union's Horizon 2020 research and innovation programme under the Marie Sklodowska-Curie grant agreement No. 750937. The funders had no role in study design, data collection and analysis, decision to publish, or preparation of the manuscript.</t>
  </si>
  <si>
    <t>PEERJ INC</t>
  </si>
  <si>
    <t>341-345 OLD ST, THIRD FLR, LONDON, EC1V 9LL, ENGLAND</t>
  </si>
  <si>
    <t>2167-8359</t>
  </si>
  <si>
    <t>PeerJ</t>
  </si>
  <si>
    <t>DEC 3</t>
  </si>
  <si>
    <t>e8088</t>
  </si>
  <si>
    <t>10.7717/peerj.8088</t>
  </si>
  <si>
    <t>JV0DY</t>
  </si>
  <si>
    <t>Green Submitted, Green Published, gold</t>
  </si>
  <si>
    <t>WOS:000502038200004</t>
  </si>
  <si>
    <t>Xiao, M; Brugler, MR; Broe, MB; Gusmao, LC; Daly, M; Rodríguez, E</t>
  </si>
  <si>
    <t>Xiao, Madelyne; Brugler, Mercer R.; Broe, Michael B.; Gusmao, Luciana C.; Daly, Marymegan; Rodriguez, Estefania</t>
  </si>
  <si>
    <t>Mitogenomics suggests a sister relationship of Relicanthus daphneae (Cnidaria: Anthozoa: Hexacorallia: incerti ordinis) with Actiniaria</t>
  </si>
  <si>
    <t>MITOCHONDRIAL GENE ORDER; SEA-ANEMONES CNIDARIA; PHYLOGENIES; EVOLUTION; GENOME; REARRANGEMENTS; REPLICATION; NEMATOCYSTS; ORIGINS; NUCLEAR</t>
  </si>
  <si>
    <t>Relicanthus daphneae (formerly Boloceroides daphneae) was first described in 2006 as a giant sea anemone based on morphology. In 2014, its classification was challenged based on molecular data: using five genes, Relicanthus was resolved sister to zoanthideans, but with mixed support. To better understand the evolutionary relationship of Relicanthus with other early-branching metazoans, we present 15 newly-sequenced sea anemone mitochondrial genomes and a mitogenome-based phylogeny including all major cnidarian groups, sponges, and placozoans. Our phylogenetic reconstruction reveals a moderately supported sister relationship between Relicanthus and the Actiniaria. Morphologically, the cnidae of Relicanthus has apical flaps, the only existing synapomorphy for sea anemones. Based on both molecular and morphological results, we propose a third suborder (Helenmonae) within the Actiniaria to accommodate Relicanthus. Although Relicanthus shares the same gene order and content with other available actiniarian mitogenomes, it is clearly distinct at the nucleotide level from anemones within the existing suborders. The phylogenetic position of Relicanthus could reflect its association with the periphery of isolated hydrothermal vents, which, although patchy and ephemeral, harbor unique chemosynthetic communities that provide a relatively stable food source to higher trophic levels over long evolutionary timescales. The ability to colonize the deep sea and the periphery of new vent systems may be facilitated by Relicanthus' large and extremely yolky eggs.</t>
  </si>
  <si>
    <t>[Xiao, Madelyne; Brugler, Mercer R.; Gusmao, Luciana C.; Rodriguez, Estefania] Amer Museum Nat Hist, Dept Invertebrate Zool, Cent Pk West &amp; 79th St, New York, NY 10024 USA; [Brugler, Mercer R.] CUNY, Biol Sci Dept, NYC Coll Technol, 285 Jay St, Brooklyn, NY 11201 USA; [Broe, Michael B.; Daly, Marymegan] Ohio State Univ, Dept Evolut Ecol &amp; Organismal Biol, 300 Aronoff Lab, Columbus, OH 43210 USA</t>
  </si>
  <si>
    <t>American Museum of Natural History (AMNH); City University of New York (CUNY) System; University System of Ohio; Ohio State University</t>
  </si>
  <si>
    <t>Rodríguez, E (corresponding author), Amer Museum Nat Hist, Dept Invertebrate Zool, Cent Pk West &amp; 79th St, New York, NY 10024 USA.;Daly, M (corresponding author), Ohio State Univ, Dept Evolut Ecol &amp; Organismal Biol, 300 Aronoff Lab, Columbus, OH 43210 USA.</t>
  </si>
  <si>
    <t>daly.66@osu.edu; erodriguez@amnh.org</t>
  </si>
  <si>
    <t>Brugler, Mercer R./AAV-3202-2021; Rodríguez, Estefanía/AAK-4634-2021; Daly, Marymegan/F-9178-2011</t>
  </si>
  <si>
    <t>Brugler, Mercer R./0000-0003-3676-1226; Rodríguez, Estefanía/0000-0002-5590-6606; Xiao, Madelyne/0000-0001-9925-2926</t>
  </si>
  <si>
    <t>Helen Fellowship through the Helen Gurley Brown Revocable Trust; National Science Foundation (NSF) [NSF-DEB-1457581, NSF-DEB-1257796]; Natural Environment Research Council (NERC) Consortium Grant [NE/DO1249X/1]</t>
  </si>
  <si>
    <t>Helen Fellowship through the Helen Gurley Brown Revocable Trust; National Science Foundation (NSF)(National Science Foundation (NSF)); Natural Environment Research Council (NERC) Consortium Grant(UK Research &amp; Innovation (UKRI)Natural Environment Research Council (NERC))</t>
  </si>
  <si>
    <t>MX gratefully acknowledges generous funding provided by a Helen Fellowship (administered through the American Museum of Natural History) through the Helen Gurley Brown Revocable Trust. Partial support was provided by National Science Foundation (NSF) grants to ER (NSF-DEB-1457581) and MD (NSF-DEB-1257796). Katrin Linse (British Antarctic Survey, UK) provided access to the whole specimen of Relicanthus from the ESR; partial support for the collection of the ESR was provided by a Natural Environment Research Council (NERC) Consortium Grant (NE/DO1249X/1). MRB gratefully acknowledges his position as a Research Associate at the AMNH. We thank Jason Macrander for assistance in preparing samples for sequencing and Ehsan Kayal for providing the amino acid-based multiple sequence alignment.</t>
  </si>
  <si>
    <t>10.1038/s41598-019-54637-6</t>
  </si>
  <si>
    <t>JT9LB</t>
  </si>
  <si>
    <t>WOS:000501301700001</t>
  </si>
  <si>
    <t>Huston, DC</t>
  </si>
  <si>
    <t>Huston, Daniel C.</t>
  </si>
  <si>
    <t>Collastoma esotericum (Neodalyellida: Umagillidae), a new species of sipunculan-inhabiting rhabdocoel from Queensland, Australia</t>
  </si>
  <si>
    <t>Endosymbiont; Echinodermata; Sipuncula; Phascolosoma; Dalytyphloplanida; Provorticinae; Phylogenetics</t>
  </si>
  <si>
    <t>TURBELLARIAN FLATWORM NEORHABDOCOELA; FALLACOHOSPES-INCHOATUS; PHYLOGENETIC POSITION; ANOPLODIUM-HYMANAE; PLATYHELMINTHES; INTESTINE; REVISITATION; SEQUENCES; COELOM</t>
  </si>
  <si>
    <t>The Umagillidae Wahl, represent a group of endosymbiotic Platyhelminthes which inhabit two disparate invertebrate host groups, the echinoderms and sipunculans. Sipunculan-inhabiting umagillids are morphologically distinct from those inhabiting echinoderms and have traditionally been placed in a distinct genus and subfamily, Collastoma Dorler, and the Collastominae Wahl, respectively. Although molecular data are available for umagillid species inhabiting echinoids and holothurians, species inhabiting sipunculans have yet to be evaluated with molecular data. Collastoma esotericum n. sp. from the sipunculan Phascolosoma scolops (Selenka &amp; de Man) collected in Moreton Bay, southeast Queensland, Australia, is described. Phylogenetic analyses based on 18S rRNA gene sequences placed C. esotericum in a Glade with species of the Umagillidae and the Provorticinae Luther, with strong support. However, within this Glade the relationship of C. esotericum to the Umagillidae and Provorticinae was not resolved.</t>
  </si>
  <si>
    <t>[Huston, Daniel C.] Univ Tasmania, Inst Marine &amp; Antarctic Studies, Churchill Ave, Hobart, Tas 7005, Australia</t>
  </si>
  <si>
    <t>Huston, DC (corresponding author), Univ Tasmania, Inst Marine &amp; Antarctic Studies, Churchill Ave, Hobart, Tas 7005, Australia.</t>
  </si>
  <si>
    <t>10.11646/zootaxa.4701.6.5</t>
  </si>
  <si>
    <t>JT0VA</t>
  </si>
  <si>
    <t>WOS:000500716700005</t>
  </si>
  <si>
    <t>Tazikeh, T; Kenari, AA; Esmaeili, N</t>
  </si>
  <si>
    <t>Tazikeh, Taghi; Abedian Kenari, Abdolmohammad; Esmaeili, Noah</t>
  </si>
  <si>
    <t>Effects of fish meal replacement by meat and bone meal supplemented with garlic (Allium sativum) powder on biological indices, feeding, muscle composition, fatty acid and amino acid profiles of whiteleg shrimp (Litopenaeus vannamei)</t>
  </si>
  <si>
    <t>AQUACULTURE RESEARCH</t>
  </si>
  <si>
    <t>aquaculture; crustacean; growth; herbal medicine; nutrition; omega 3</t>
  </si>
  <si>
    <t>ONCORHYNCHUS-MYKISS WALBAUM; ANIMAL PROTEIN INGREDIENTS; WHOLE-BODY COMPOSITION; BY-PRODUCT MEAL; PRACTICAL DIETS; GROWTH-PERFORMANCE; APPARENT DIGESTIBILITY; AQUACULTURE; REQUIREMENTS; PARAMETERS</t>
  </si>
  <si>
    <t>Shortage of fish meal (FM) resources in the marine environment, high price and high demand for this ingredient led researchers to seek for alternative protein resources such as meat and bone meal (MBM). The effects of adding MBM and garlic powder to the shrimp diet on growth performance, muscle composition, amino acid and fatty acid profiles of whiteleg shrimp (5.00 +/- 0.23 g) were investigated. A total of six dietary treatments were formulated: 0%MBM (control without garlic powder), 25%MBM and 50%MBM (treatments without garlic powder; WG treatments); 0%MBM+G (control with garlic powder), 25%MBM+G and 50%MBM+G (treatments with garlic powder; G treatments). Our results indicated that increase MBM level in the diets (up to 50%MBM) impaired growth performance, muscle composition, fatty acid and amino acid profiles in the muscle of shrimp. Interestingly, garlic supplementation improved the aforementioned factors so that shrimp fed 50%MBM+G diet had no significant difference when compared to 0%MBM group. The current results indicated that garlic could increase levels of FM replacement by increasing feed intake, improving protein and amino acid utilization. Overall, 50%MBM+G diet is recommended for use in shrimp production.</t>
  </si>
  <si>
    <t>[Tazikeh, Taghi; Abedian Kenari, Abdolmohammad] Tarbiat Modares Univ, Fac Nat Resources &amp; Marine Sci, Dept Aquaculture, POB 64414-356, Noor, Mazandaran, Iran; [Esmaeili, Noah] Univ Tasmania, Inst Marine &amp; Antarctic Studies, Hobart, Tas, Australia</t>
  </si>
  <si>
    <t>Tarbiat Modares University; University of Tasmania</t>
  </si>
  <si>
    <t>Kenari, AA (corresponding author), Tarbiat Modares Univ, Fac Nat Resources &amp; Marine Sci, Dept Aquaculture, POB 64414-356, Noor, Mazandaran, Iran.</t>
  </si>
  <si>
    <t>aabedian@modares.ac.ir</t>
  </si>
  <si>
    <t>Esmaeili, Noah/Q-4536-2019; Abedian Kenari, Abdolmohammad/JWP-0761-2024</t>
  </si>
  <si>
    <t>Esmaeili, Noah/0000-0001-8704-939X; Abedian Kenari, Abdolmohammad/0000-0003-3410-3908</t>
  </si>
  <si>
    <t>Tarbiat Modares University</t>
  </si>
  <si>
    <t>1355-557X</t>
  </si>
  <si>
    <t>1365-2109</t>
  </si>
  <si>
    <t>AQUAC RES</t>
  </si>
  <si>
    <t>Aquac. Res.</t>
  </si>
  <si>
    <t>10.1111/are.14416</t>
  </si>
  <si>
    <t>KA8SK</t>
  </si>
  <si>
    <t>WOS:000500002600001</t>
  </si>
  <si>
    <t>Roberts, MJ; Baker, A; Blockley, EW; Calvert, D; Coward, A; Hewitt, HT; Jackson, LC; Kuhlbrodt, T; Mathiot, P; Roberts, CD; Schiemann, R; Seddon, J; Vannière, B; Vidale, PL</t>
  </si>
  <si>
    <t>Roberts, Malcolm J.; Baker, Alex; Blockley, Ed W.; Calvert, Daley; Coward, Andrew; Hewitt, Helene T.; Jackson, Laura C.; Kuhlbrodt, Till; Mathiot, Pierre; Roberts, Christopher D.; Schiemann, Reinhard; Seddon, Jon; Vanniere, Benoit; Vidale, Pier Luigi</t>
  </si>
  <si>
    <t>Description of the resolution hierarchy of the global coupled HadGEM3-GC3.1 model as used in CMIP6 HighResMIP experiments</t>
  </si>
  <si>
    <t>GEOSCIENTIFIC MODEL DEVELOPMENT</t>
  </si>
  <si>
    <t>ANTARCTIC CIRCUMPOLAR CURRENT; OCEAN HEAT; SEA-ICE; ENERGY-BALANCE; ATLANTIC-OCEAN; SOUTHERN-OCEAN; CLIMATE; CIRCULATION; TRANSPORT; TEMPERATURE</t>
  </si>
  <si>
    <t>The Coupled Model Intercomparison Project phase 6 (CMIP6) HighResMIP is a new experimental design for global climate model simulations that aims to assess the impact of model horizontal resolution on climate simulation fidelity. We describe a hierarchy of global coupled model resolutions based on the Hadley Centre Global Environment Model 3 - Global Coupled vn 3.1 (HadGEM3-GC3.1) model that ranges from an atmosphere-ocean resolution of 130 km-1 degrees to 25 km-1/12 degrees, all using the same forcings and initial conditions. In order to make such high-resolution simulations possible, the experiments have a short 30-year spinup, followed by at least century-long simulations with constant forcing to assess drift. We assess the change in model biases as a function of both atmosphere and ocean resolution, together with the effectiveness and robustness of this new experimental design. We find reductions in the biases in top-of-atmosphere radiation components and cloud forcing. There are significant reductions in some common surface climate model biases as resolution is increased, particularly in the Atlantic for sea surface temperature and precipitation, primarily driven by increased ocean resolution. There is also a reduction in drift from the initial conditions both at the surface and in the deeper ocean at higher resolution. Using an eddy-present and eddy-rich ocean resolution enhances the strength of the North Atlantic ocean circulation (boundary currents, overturning circulation and heat transport), while an eddy-present ocean resolution has a considerably reduced Antarctic Circumpolar Current strength. All models have a reasonable representation of El Nino-Southern Oscillation. In general, the biases present after 30 years of simulations do not change character markedly over longer timescales, justifying the experimental design.</t>
  </si>
  <si>
    <t>[Roberts, Malcolm J.; Blockley, Ed W.; Calvert, Daley; Hewitt, Helene T.; Jackson, Laura C.; Mathiot, Pierre; Seddon, Jon] Met Off Hadley Ctr, Exeter, Devon, England; [Baker, Alex; Kuhlbrodt, Till; Schiemann, Reinhard; Vanniere, Benoit; Vidale, Pier Luigi] Univ Reading, NCAS, Reading, Berks, England; [Coward, Andrew] Natl Oceanog Ctr, Southampton, Hants, England; [Roberts, Christopher D.] European Ctr Medium Range Weather Forecasting ECM, Reading, Berks, England</t>
  </si>
  <si>
    <t>Met Office - UK; Hadley Centre; UK Research &amp; Innovation (UKRI); Natural Environment Research Council (NERC); NERC National Centre for Atmospheric Science; University of Reading; NERC National Oceanography Centre; European Centre for Medium-Range Weather Forecasts (ECMWF)</t>
  </si>
  <si>
    <t>Roberts, MJ (corresponding author), Met Off Hadley Ctr, Exeter, Devon, England.</t>
  </si>
  <si>
    <t>malcolm.roberts@metoffice.gov.uk</t>
  </si>
  <si>
    <t>Schiemann, Reinhard/K-7755-2012; Roberts, Christopher D/GRR-4034-2022; Roberts, Christopher D/F-6197-2011; Roberts, Christopher David/AAA-6692-2020; Vidale, Pier Luigi/AAF-6468-2019; Vannière, Benoît/AAA-4546-2021</t>
  </si>
  <si>
    <t>Schiemann, Reinhard/0000-0003-3095-9856; Roberts, Christopher D/0000-0002-2958-6637; Roberts, Christopher D/0000-0002-2958-6637; Roberts, Christopher David/0000-0002-2958-6637; Vidale, Pier Luigi/0000-0002-1800-8460; Vannière, Benoît/0000-0001-8600-400X; Kuhlbrodt, Till/0000-0003-2328-6729; Blockley, Ed/0000-0002-0489-4238; Hewitt, Helene/0000-0001-7432-6001; Mathiot, Pierre/0000-0002-2001-0762; Baker, Alexander/0000-0003-2697-1350; Seddon, Jon/0000-0003-1302-1049</t>
  </si>
  <si>
    <t>Horizon 2020 programme: PRIMAVERA [641727]; Horizon 2020 programme: CRESCENDO [641816]; Joint UK BEIS/Defra Met Office Hadley Centre Climate Programme [GA01101]; National Environmental Research Council (NERC), UK Earth System Modelling [NE/N017951/1]; Natural Environment Research Council (NERC); ACSIS [NE/N018044/1]; NERC [NE/R015953/1] Funding Source: UKRI</t>
  </si>
  <si>
    <t>Horizon 2020 programme: PRIMAVERA; Horizon 2020 programme: CRESCENDO; Joint UK BEIS/Defra Met Office Hadley Centre Climate Programme; National Environmental Research Council (NERC), UK Earth System Modelling; Natural Environment Research Council (NERC)(UK Research &amp; Innovation (UKRI)Natural Environment Research Council (NERC)); ACSIS; NERC(UK Research &amp; Innovation (UKRI)Natural Environment Research Council (NERC))</t>
  </si>
  <si>
    <t>This research has been supported by the Horizon 2020 programme: PRIMAVERA (grant no. 641727) and CRESCENDO (grant no. 641816), the Joint UK BEIS/Defra Met Office Hadley Centre Climate Programme (grant no. GA01101), the National Environmental Research Council (NERC), UK Earth System Modelling (grant no. NE/N017951/1), and the Natural Environment Research Council (NERC) and ACSIS (grant no. NE/N018044/1).</t>
  </si>
  <si>
    <t>1991-959X</t>
  </si>
  <si>
    <t>1991-9603</t>
  </si>
  <si>
    <t>GEOSCI MODEL DEV</t>
  </si>
  <si>
    <t>Geosci. Model Dev.</t>
  </si>
  <si>
    <t>10.5194/gmd-12-4999-2019</t>
  </si>
  <si>
    <t>JT4KY</t>
  </si>
  <si>
    <t>WOS:000500961400001</t>
  </si>
  <si>
    <t>Jonassen, MO; Välisuo, I; Vihma, T; Uotila, P; Makshtas, AP; Launiainen, J</t>
  </si>
  <si>
    <t>Jonassen, M. O.; Valisuo, I.; Vihma, T.; Uotila, P.; Makshtas, A. P.; Launiainen, J.</t>
  </si>
  <si>
    <t>Assessment of Atmospheric Reanalyses With Independent Observations in the Weddell Sea, the Antarctic</t>
  </si>
  <si>
    <t>ICE DRAG COEFFICIENTS; RADIATIVE FLUXES; CLOUD FRACTION; CLIMATE MODELS; SURFACE; TEMPERATURE; VALIDATION; VARIABILITY; PERFORMANCE; INVERSIONS</t>
  </si>
  <si>
    <t>Surface layer and upper-air in situ observations from two research vessel cruises and an ice station in the Weddell Sea from 1992 and 1996 are used to validate four current atmospheric reanalysis products: ERA-Interim, CFSR, JRA-55, and MERRA-2. Three of the observation data sets were not available for assimilation, providing a rare opportunity to validate the reanalyses in the otherwise datasparse region of the Antarctic against independent data. All four reanalyses produce 2 m temperatures warmer than the observations, and the biases vary from +2.0 K in CFSR to +2.8 K in MERRA-2. All four reanalyses are generally too warm also higher up in the atmospheric boundary layer (ABL), with biases up to +1.4 K (ERA-Interim). Cloud fractions are relatively poorly reproduced by the reanalyses, MERRA-2 and JRA-55 having the strongest positive and negative biases of about +30 % and -17 %, respectively. Skill scores of the error statistics reveal that ERA-Interim compares generally the most favorably against both the surface layer and the upper-air observations. CFSR compares the second best and JRA-55 and MERRA-2 have the least favorable scores. The ABL warm bias is consistent with previous evaluation studies in high latitudes, where more recent observations have been applied. As the amount of observations has varied depending on the decade, season, and region, the consistency of the warm bias suggests a need to improve the modeling systems, including data assimilation as well as ABL and surface parameterizations.</t>
  </si>
  <si>
    <t>[Jonassen, M. O.] Univ Ctr Svalbard, Dept Arctic Geophys, Longyearbyen, Norway; [Jonassen, M. O.] Univ Bergen, Inst Geophys, Bergen, Norway; [Valisuo, I.; Vihma, T.] Finnish Meteorol Inst, Helsinki, Finland; [Uotila, P.; Launiainen, J.] Univ Helsinki, Inst Atmospher &amp; Earth Syst Res, Helsinki, Finland; [Makshtas, A. P.] Arctic &amp; Antarctic Res Inst, St Petersburg, Russia</t>
  </si>
  <si>
    <t>University Centre Svalbard (UNIS); University of Bergen; Finnish Meteorological Institute; University of Helsinki; Arctic &amp; Antarctic Research Institute</t>
  </si>
  <si>
    <t>Jonassen, MO (corresponding author), Univ Ctr Svalbard, Dept Arctic Geophys, Longyearbyen, Norway.;Jonassen, MO (corresponding author), Univ Bergen, Inst Geophys, Bergen, Norway.</t>
  </si>
  <si>
    <t>marius.jonassen@unis.no</t>
  </si>
  <si>
    <t>Uotila, Petteri/A-1703-2012; Makshtas, Alexander P./K-7538-2016; Vihma, Timo/ABC-9771-2020</t>
  </si>
  <si>
    <t>Uotila, Petteri/0000-0002-2939-7561; Jonassen, Marius Opsanger/0000-0002-4745-9009; Launiainen, Jouko/0000-0002-4146-910X</t>
  </si>
  <si>
    <t>Academy of Finland [304345]; EC Marie Curie Support Action LAWINE [707262]; Ministry of Education and Science of the Russian Federation [RFMEFI61617X0076]; Academy of Finland (AKA) [304345] Funding Source: Academy of Finland (AKA); Marie Curie Actions (MSCA) [707262] Funding Source: Marie Curie Actions (MSCA)</t>
  </si>
  <si>
    <t>Academy of Finland(Research Council of Finland); EC Marie Curie Support Action LAWINE(European Union (EU)Marie Curie Actions); Ministry of Education and Science of the Russian Federation(Ministry of Education and Science, Russian Federation); Academy of Finland (AKA)(Research Council of Finland); Marie Curie Actions (MSCA)(Marie Curie Actions)</t>
  </si>
  <si>
    <t>We express our deep gratitude for the work of the late Edgar L. Andreas in Ice Station Weddell. This study was supported by the Academy of Finland (Contract 304345, ASPIRE project) and the EC Marie Curie Support Action LAWINE (Grant 707262). A. P. Makshtas was supported by the Ministry of Education and Science of the Russian Federation (Project RFMEFI61617X0076). The observational data sets used in this study are available at the websites indicated in the supporting information. This is a contribution to the Year of Polar Prediction (YOPP), a flagship activity of the Polar Prediction Project (PPP), initiated by the World Weather Research Programme (WWRP) of the World Meteorological Organisation (WMO).</t>
  </si>
  <si>
    <t>10.1029/2019JD030897</t>
  </si>
  <si>
    <t>WOS:000500137600001</t>
  </si>
  <si>
    <t>Kang, YH; Kim, S; Choi, SK; Moon, K; Choi, HG; Ko, YW; Hawes, I; Kim, SH; Kim, JH; Park, SR</t>
  </si>
  <si>
    <t>Kang, Yun Hee; Kim, Sanghee; Choi, Sun Kyeong; Moon, Kyeonglim; Choi, Han-Gu; Ko, Young Wook; Hawes, Ian; Kim, Sa-Heung; Kim, Ji Hee; Park, Sang Rul</t>
  </si>
  <si>
    <t>Composition and structure of the marine benthic community in Terra Nova Bay, Antarctica: Responses of the benthic assemblage to disturbances</t>
  </si>
  <si>
    <t>SUBLITTORAL EPIFAUNAL COMMUNITIES; KING GEORGE ISLAND; ROSS SEA; SIGNY ISLAND; DEMOSPONGIAE; BIOMASS; IMPACT; ICE; COLONIZATION; BIODIVERSITY</t>
  </si>
  <si>
    <t>The community structure and assemblages of marine benthic organisms were investigated in coastal areas near the Jang Bogo Antarctic Research Station in Terra Nova Bay during the 2012-2018 summer seasons. We also examined the recovery pattern of marine benthic organisms following disturbance due to the construction of the Jang Bogo Station. A total of 26 taxa were identified in the study area during the experimental period. Species number and diversity indices (richness, evenness, and diversity) were relatively low compared to data previously reported from Terra Nova Bay. Sphaerotylus antarcticus, Clavularia frankliniana, Hydractinia sp., Iridaea cordata, Fragilariopsis spp., Alcyonium antarcticum, and Metalaeospira pixelli were the dominant species in this area. Of these, the diatom Fragilariopsis spp. were the most abundant species, indicating their key role in maintaining the marine benthic community and controlling biogeochemical cycling. During the construction of the Jang Bogo Station, sediment coverage increased and diatoms declined due to the release of sediment into the coastal area. In February 2014, one month after the disturbance due to cyclone, the diatom coverage increased dramatically and thereby species number, richness index, and diversity index steadily rose from 2015 to 2018. However, non-metric multidimensional scaling ordination analysis of species similarities among sampling times showed that community structure had not completely recovered by 2018. Thus, long-term monitoring is required to elucidate the post-disturbance settlement mechanisms of marine benthic organisms at the study area in Terra Nova Bay.</t>
  </si>
  <si>
    <t>[Kang, Yun Hee] Jeju Natl Univ, Dept Earth &amp; Marine Sci, Jeju, South Korea; [Kim, Sanghee; Choi, Han-Gu; Ko, Young Wook; Kim, Ji Hee] Korea Polar Res Inst, Dept Polar Life Sci, Incheon, South Korea; [Choi, Sun Kyeong; Moon, Kyeonglim] Jeju Natl Univ, Dept Marine Life Sci, Estuarine &amp; Coastal Ecol Lab, Jeju, South Korea; [Hawes, Ian; Park, Sang Rul] Univ Waikato, Coastal Marine Field Stn, Sulphur Point, Tauranga, New Zealand; [Kim, Sa-Heung] INTHESEA KOREA Inc, Marine Biodivers Res Inst, Jeju, South Korea</t>
  </si>
  <si>
    <t>Jeju National University; Korea Polar Research Institute (KOPRI); Jeju National University; University of Waikato</t>
  </si>
  <si>
    <t>Kim, JH (corresponding author), Korea Polar Res Inst, Dept Polar Life Sci, Incheon, South Korea.;Park, SR (corresponding author), Univ Waikato, Coastal Marine Field Stn, Sulphur Point, Tauranga, New Zealand.</t>
  </si>
  <si>
    <t>jhalgae@kopri.re.kr; srpark@jejunu.ac.kr</t>
  </si>
  <si>
    <t>Choi, Sun Kyeong/GWV-0273-2022</t>
  </si>
  <si>
    <t>Choi, Sun Kyeong/0000-0002-0557-501X; Park, Sang Rul/0000-0001-5345-4899</t>
  </si>
  <si>
    <t>Korea Polar Research Institute KOPRI [PE19150]; Jeju National University</t>
  </si>
  <si>
    <t>Korea Polar Research Institute KOPRI(Korea Polar Research Institute of Marine Research Placement (KOPRI)); Jeju National University</t>
  </si>
  <si>
    <t>This work was supported by the Korea Polar Research Institute KOPRI [research grants PE19150] to SK HGC JHK SRP and the 2019 scientific promotion program funded by Jeju National University to SRP. The funder had no role in study design, data collection and analysis, decision to publish, or preparation of the manuscript.</t>
  </si>
  <si>
    <t>DEC 2</t>
  </si>
  <si>
    <t>e0225551</t>
  </si>
  <si>
    <t>10.1371/journal.pone.0225551</t>
  </si>
  <si>
    <t>LO9FT</t>
  </si>
  <si>
    <t>WOS:000533930800045</t>
  </si>
  <si>
    <t>Rahnemoonfar, M; Johnson, J; Paden, J</t>
  </si>
  <si>
    <t>Rahnemoonfar, Maryam; Johnson, Jimmy; Paden, John</t>
  </si>
  <si>
    <t>AI Radar Sensor: Creating Radar Depth Sounder Images Based on Generative Adversarial Network</t>
  </si>
  <si>
    <t>SENSORS</t>
  </si>
  <si>
    <t>convolutional neural network; generative adversarial network; ice tracking; radar imagery</t>
  </si>
  <si>
    <t>Significant resources have been spent in collecting and storing large and heterogeneous radar datasets during expensive Arctic and Antarctic fieldwork. The vast majority of data available is unlabeled, and the labeling process is both time-consuming and expensive. One possible alternative to the labeling process is the use of synthetically generated data with artificial intelligence. Instead of labeling real images, we can generate synthetic data based on arbitrary labels. In this way, training data can be quickly augmented with additional images. In this research, we evaluated the performance of synthetically generated radar images based on modified cycle-consistent adversarial networks. We conducted several experiments to test the quality of the generated radar imagery. We also tested the quality of a state-of-the-art contour detection algorithm on synthetic data and different combinations of real and synthetic data. Our experiments show that synthetic radar images generated by generative adversarial network (GAN) can be used in combination with real images for data augmentation and training of deep neural networks. However, the synthetic images generated by GANs cannot be used solely for training a neural network (training on synthetic and testing on real) as they cannot simulate all of the radar characteristics such as noise or Doppler effects. To the best of our knowledge, this is the first work in creating radar sounder imagery based on generative adversarial network.</t>
  </si>
  <si>
    <t>[Rahnemoonfar, Maryam] Univ Maryland, Comp Vis &amp; Remote Sensing Lab, Baltimore, MA 20742 USA; [Johnson, Jimmy] Texas A&amp;M Univ Corpus Christi, Dept Comp Sci, Corpus Christi, TX 78412 USA; [Paden, John] Univ Kansas, Dept Ctr Remote Sensing Ice Sheets, Lawrence, KS 66045 USA</t>
  </si>
  <si>
    <t>Texas A&amp;M University System; Texas A&amp;M University Corpus Christi; University of Kansas</t>
  </si>
  <si>
    <t>Rahnemoonfar, M (corresponding author), Univ Maryland, Comp Vis &amp; Remote Sensing Lab, Baltimore, MA 20742 USA.</t>
  </si>
  <si>
    <t>maryam@umbc.edu; jay4842@gmail.com; paden@ku.edu</t>
  </si>
  <si>
    <t>Johnson, Jimmy/0000-0002-7801-1813; Paden, John/0000-0003-0775-6284</t>
  </si>
  <si>
    <t>NSF BIGDATA awards [IIS-1838230, IIS-1838024]; IBM; Amazon</t>
  </si>
  <si>
    <t>NSF BIGDATA awards; IBM(International Business Machines (IBM)); Amazon</t>
  </si>
  <si>
    <t>This work is partially supported by NSF BIGDATA awards (IIS-1838230, IIS-1838024), IBM, and Amazon.</t>
  </si>
  <si>
    <t>1424-8220</t>
  </si>
  <si>
    <t>SENSORS-BASEL</t>
  </si>
  <si>
    <t>Sensors</t>
  </si>
  <si>
    <t>10.3390/s19245479</t>
  </si>
  <si>
    <t>Chemistry, Analytical; Engineering, Electrical &amp; Electronic; Instruments &amp; Instrumentation</t>
  </si>
  <si>
    <t>Chemistry; Engineering; Instruments &amp; Instrumentation</t>
  </si>
  <si>
    <t>KR9VP</t>
  </si>
  <si>
    <t>WOS:000517961400142</t>
  </si>
  <si>
    <t>Ai, ST; Ding, X; Tolle, F; Wang, ZM; Zhao, X</t>
  </si>
  <si>
    <t>Ai, Songtao; Ding, Xi; Tolle, Florian; Wang, Zemin; Zhao, Xi</t>
  </si>
  <si>
    <t>Latest Geodetic Changes of Austre Lovenbreen and Pedersenbreen, Svalbard</t>
  </si>
  <si>
    <t>REMOTE SENSING</t>
  </si>
  <si>
    <t>mass balance; snow depth; glacier retreat; surface DEM; elevation change</t>
  </si>
  <si>
    <t>GLACIER MASS-BALANCE; ELEVATION CHANGES; ICE CAPS; INTERPOLATION; GEOMETRY; DENSITY; SURFACE</t>
  </si>
  <si>
    <t>Geodetic mass changes in the Svalbard glaciers Austre Lovenbreen and Pedersenbreen were studied via high-precision real-time kinematic (RTK)-global positioning system (GPS) measurements from 2013 to 2015. To evaluate the elevation changes of the two Svalbard glaciers, more than 10,000 GPS records for each glacier surface were collected every year from 2013 to 2015. The results of several widely used interpolation methods (i.e., inverse distance weighting (IDW), ordinary kriging (OK), universal kriging (UK), natural neighbor (NN), spline interpolation, and Topo to Raster (TTR) interpolation) were compared. Considering the smoothness and accuracy of the glacier surface, NN interpolation was selected as the most suitable interpolation method to generate a surface digital elevation model (DEM). In addition, we compared two procedures for calculating elevation changes: using DEMs generated from the direct interpolation of the RTK-GPS points and using the elevation bias of crossover points from the RTK-GPS tracks in different years. Then, the geodetic mass balances were calculated by converting the elevation changes to their water equivalents. Comparing the geodetic mass balances calculated with and without considering snow depth revealed that ignoring the effect of snow depth, which differs greatly over a short time interval, might lead to bias in mass balance investigation. In summary, there was a positive correlation between the geodetic mass balance and the corresponding elevation. The mass loss increased with decreasing elevation, and the mean annual gradients of the geodetic mass balance along the elevation of Austre Lovenbreen and Pedersenbreen in 2013-2015 were approximately 2.60 parts per thousand and 2.35 parts per thousand, respectively. The gradients at the glacier snouts were three times larger than those over the whole glaciers. Additionally, some mass gain occurred in certain high-elevation regions. Compared with a 2019 DEM generated from unmanned aerial vehicle measurement, the glacier snout areas presented an accelerating thinning situation in 2015-2019.</t>
  </si>
  <si>
    <t>[Ai, Songtao; Ding, Xi; Wang, Zemin; Zhao, Xi] Wuhan Univ, Chinese Antarctic Ctr Surveying &amp; Mapping, Wuhan 430079, Peoples R China; [Tolle, Florian] Univ Bourgogne Franche Comte, CNRS, TheMA, F-25030 Besancon, France</t>
  </si>
  <si>
    <t>Wuhan University; Centre National de la Recherche Scientifique (CNRS); Universite de Franche-Comte</t>
  </si>
  <si>
    <t>Ai, ST (corresponding author), Wuhan Univ, Chinese Antarctic Ctr Surveying &amp; Mapping, Wuhan 430079, Peoples R China.</t>
  </si>
  <si>
    <t>ast@whu.edu.cn; dingxi@chinare.cn; florian.tolle@univ-fcomte.fr; zmwang@whu.edu.cn; xi.zhao@whu.edu.cn</t>
  </si>
  <si>
    <t>zhao, xi/HJY-6017-2023; ZeMin, Wang/AAU-3422-2020</t>
  </si>
  <si>
    <t>Zhao, Xi/0000-0003-2274-891X; TOLLE, Florian/0000-0003-2144-3305</t>
  </si>
  <si>
    <t>National Natural Science Foundation of China [41531069, 41476162]</t>
  </si>
  <si>
    <t>This research was funded by the National Natural Science Foundation of China (41531069, 41476162).</t>
  </si>
  <si>
    <t>2072-4292</t>
  </si>
  <si>
    <t>REMOTE SENS-BASEL</t>
  </si>
  <si>
    <t>Remote Sens.</t>
  </si>
  <si>
    <t>10.3390/rs11242890</t>
  </si>
  <si>
    <t>Environmental Sciences; Geosciences, Multidisciplinary; Remote Sensing; Imaging Science &amp; Photographic Technology</t>
  </si>
  <si>
    <t>Environmental Sciences &amp; Ecology; Geology; Remote Sensing; Imaging Science &amp; Photographic Technology</t>
  </si>
  <si>
    <t>KC7DH</t>
  </si>
  <si>
    <t>WOS:000507333400007</t>
  </si>
  <si>
    <t>Larchenko, AV; Lebed, OM; Blagoveshchenskaya, NF; Pilgaev, SV; Beketova, EB; Fedorenko, YV</t>
  </si>
  <si>
    <t>Larchenko, A., V; Lebed, O. M.; Blagoveshchenskaya, N. F.; Pilgaev, S., V; Beketova, E. B.; Fedorenko, Yu, V</t>
  </si>
  <si>
    <t>Relationship Between the Polar Electrojet Dynamics and the Amplitude of ELF/VLF Signal from the Ionospheric Source in the Modulated Ionospheric Heating Experiment</t>
  </si>
  <si>
    <t>RADIOPHYSICS AND QUANTUM ELECTRONICS</t>
  </si>
  <si>
    <t>COMBINATION FREQUENCIES; ELECTROMAGNETIC-FIELD; DISTRIBUTIONS; RADIATION; WAVES; STARE</t>
  </si>
  <si>
    <t>We consider the results of the experiment on the polar ionosphere heating by a high-power modulated HF wave conducted by the AARI at the EISCAT/heating facility in October 2016. The data on joint processing of the values of the equivalent polar electrojet current above the heated ionosphere region retrieved by the IMAGE network of ground-based stations and the amplitudes of a signal of the horizontal component of the magnetic field from an ionospheric source at the modulation frequency recorded in the PGI network of high-latitude stations are presented. The events with a strong positive correlation between the magnetic field amplitude variations and the polar electrojet current variations are considered. It is shown that if the direction of the current changes from eastward to northward, correlation between the current variations and magnetic field variations almost disappears at a modulation frequency of 3017 Hz. Temporal and spatial variations of the coefficient of linear regression of the amplitude of the horizontal magnetic-field component with respect to the electrojet current are analyzed. In the transition from day to night, which is accompanied by the electrojet current decrease, the regression slope increases, and it decreases with increasing distance between the heater and the observation point.</t>
  </si>
  <si>
    <t>[Larchenko, A., V; Lebed, O. M.; Pilgaev, S., V; Fedorenko, Yu, V] Polar Geophys Inst, Apatity, Russia; [Blagoveshchenskaya, N. F.] Arctic &amp; Antarctic Res Inst, St Petersburg, Russia; [Beketova, E. B.] Murmansk Arctic State Univ, Apatity Branch, Apatity, Russia</t>
  </si>
  <si>
    <t>Russian Academy of Sciences; Polar Geophysical Institute; Arctic &amp; Antarctic Research Institute; Murmansk Arctic State University</t>
  </si>
  <si>
    <t>Larchenko, AV (corresponding author), Polar Geophys Inst, Apatity, Russia.</t>
  </si>
  <si>
    <t>alexey.larchenko@gmail.com</t>
  </si>
  <si>
    <t>Бекетова, Елена/AGX-8490-2022; Larchenko, Alexey/A-5916-2017; Lebed, Olga/A-5943-2017; Pilgaev, Sergey/A-5784-2017</t>
  </si>
  <si>
    <t>Бекетова, Елена/0000-0001-6647-4397; Lebed, Olga/0000-0002-5155-6055; Pilgaev, Sergey/0000-0001-5774-2468</t>
  </si>
  <si>
    <t>233 SPRING ST, NEW YORK, NY 10013 USA</t>
  </si>
  <si>
    <t>0033-8443</t>
  </si>
  <si>
    <t>1573-9120</t>
  </si>
  <si>
    <t>RADIOPHYS QUANT EL+</t>
  </si>
  <si>
    <t>Radiophys. Quantum Electron.</t>
  </si>
  <si>
    <t>NOV</t>
  </si>
  <si>
    <t>10.1007/s11141-019-09985-8</t>
  </si>
  <si>
    <t>Engineering, Electrical &amp; Electronic; Physics, Applied; Physics, Fluids &amp; Plasmas</t>
  </si>
  <si>
    <t>Engineering; Physics</t>
  </si>
  <si>
    <t>JT6AH</t>
  </si>
  <si>
    <t>WOS:000501024200007</t>
  </si>
  <si>
    <t>Kulessa, B; Booth, AD; O'Leary, M; McGrath, D; King, EC; Luckman, AJ; Holland, PR; Jansen, D; Bevan, SL; Thompson, SS; Hubbard, B</t>
  </si>
  <si>
    <t>Kulessa, Bernd; Booth, Adam D.; O'Leary, Martin; McGrath, Daniel; King, Edward C.; Luckman, Adrian J.; Holland, Paul R.; Jansen, Daniela; Bevan, Suzanne L.; Thompson, Sarah S.; Hubbard, Bryn</t>
  </si>
  <si>
    <t>Seawater softening of suture zones inhibits fracture propagation in Antarctic ice shelves</t>
  </si>
  <si>
    <t>MARINE-ICE; STABILITY; GLACIERS; CREVASSES; RIFT</t>
  </si>
  <si>
    <t>Suture zones are abundant on Antarctic ice shelves and widely observed to impede fracture propagation, greatly enhancing ice-shelf stability. Using seismic and radar observations on the Larsen C Ice Shelf of the Antarctic Peninsula, we confirm that such zones are highly heterogeneous, consisting of multiple meteoric and marine ice bodies of diverse provenance fused together. Here we demonstrate that fracture detainment is predominantly controlled by enhanced seawater content in suture zones, rather than by enhanced temperature as previously thought. We show that interstitial seawater can reduce fracture-driving stress by orders of magnitude, promoting both viscous relaxation and the development of micro cracks, the incidence of which scales inversely with stress intensity. We show how simple analysis of viscous buckles in ice-penetrating radar data can quantify the seawater content of suture zones and their modification of the ice-shelf's stress regime. By limiting fracture, enhancing stability and restraining continental ice discharge into the ocean, suture zones act as vital regulators of Antarctic mass balance.</t>
  </si>
  <si>
    <t>[Kulessa, Bernd; O'Leary, Martin; Luckman, Adrian J.; Jansen, Daniela; Bevan, Suzanne L.; Thompson, Sarah S.] Swansea Univ, Coll Sci, Glaciol Grp, Singleton Pk, Swansea SA2 8PP, W Glam, Wales; [Kulessa, Bernd] Univ Tasmania, Sch Technol Environm &amp; Design, Hobart, Tas 7001, Australia; [Booth, Adam D.] Univ Leeds, Sch Earth &amp; Environm, Inst Appl Geosci, Leeds LS2 9JT, W Yorkshire, England; [McGrath, Daniel] Colorado State Univ, Dept Geosci, Ft Collins, CO 80523 USA; [King, Edward C.; Holland, Paul R.] British Antarctic Survey, Nat Environm Res Council, Madingley Rd, Cambridge CB3 0ET, England; [Hubbard, Bryn] Aberystwyth Univ, Ctr Glaciol, Dept Geog &amp; Earth Sci, Aberystwyth SY23 3DB, Dyfed, Wales; [Jansen, Daniela] Alfred Wegener Inst Polar &amp; Marine Res, Div Glaciol, D-27568 Bremerhaven, Germany; [Thompson, Sarah S.] Univ Tasmania, Inst Marine &amp; Antarctic Studies, Hobart, Tas 7001, Australia</t>
  </si>
  <si>
    <t>Swansea University; University of Tasmania; University of Leeds; Colorado State University; UK Research &amp; Innovation (UKRI); Natural Environment Research Council (NERC); NERC British Antarctic Survey; Aberystwyth University; Helmholtz Association; Alfred Wegener Institute, Helmholtz Centre for Polar &amp; Marine Research; University of Tasmania</t>
  </si>
  <si>
    <t>Kulessa, B (corresponding author), Swansea Univ, Coll Sci, Glaciol Grp, Singleton Pk, Swansea SA2 8PP, W Glam, Wales.;Kulessa, B (corresponding author), Univ Tasmania, Sch Technol Environm &amp; Design, Hobart, Tas 7001, Australia.</t>
  </si>
  <si>
    <t>b.kulessa@swansea.ac.uk</t>
  </si>
  <si>
    <t>Facility, NERC Geophysical Equipment/G-5260-2010; Holland, Paul R/G-2796-2012; Luckman, Adrian/GVS-1716-2022</t>
  </si>
  <si>
    <t>Hubbard, Bryn/0000-0002-3565-3875; Luckman, Adrian/0000-0002-9618-5905; MCGRATH, DANIEL/0000-0002-9462-6842; Booth, Adam/0000-0002-8166-9608; Kulessa, Bernd/0000-0002-4830-4949; Thompson, Sarah S/0000-0001-9112-6933</t>
  </si>
  <si>
    <t>UK Natural Environment Research Council (NERC) [NE/E012914/1, NE/L005409/1]; AXA postdoctoral fellowship; NERC [NE/K005871/1, NE/E012914/1, NE/L006707/1, NE/L005409/1, bas0100033, NE/J013544/1, NE/E013414/1, bas0100034] Funding Source: UKRI</t>
  </si>
  <si>
    <t>UK Natural Environment Research Council (NERC)(UK Research &amp; Innovation (UKRI)Natural Environment Research Council (NERC)); AXA postdoctoral fellowship(AXA Research Fund); NERC(UK Research &amp; Innovation (UKRI)Natural Environment Research Council (NERC))</t>
  </si>
  <si>
    <t>We acknowledge major support by UK Natural Environment Research Council (NERC) grants NE/E012914/1 and NE/L005409/1, Loan 863 of the NERC's Geophysical Equipment Facility, an AXA postdoctoral fellowship to SST and Michael Chester for assistance during the 2008/09 field campaign. We also thank the National Snow and Ice Data Center, Boulder, CO, USA, for the distribution of the satellite data underlying Fig. 2 and ESA for those underlying Fig. 3.</t>
  </si>
  <si>
    <t>10.1038/s41467-019-13539-x</t>
  </si>
  <si>
    <t>JS7NO</t>
  </si>
  <si>
    <t>WOS:000500490900001</t>
  </si>
  <si>
    <t>Martínez, S; Scasso, RA; Elgorriaga, A; Capelli, I; del Valle, R; Puerta, P; Lirio, JM; Amenábar, CR</t>
  </si>
  <si>
    <t>Martinez, Sergio; Scasso, Roberto A.; Elgorriaga, Andres; Capelli, Ignacio; del Valle, Rodolfo; Puerta, Pablo; Manuel Lirio, Juan; Rodriguez Amenabar, Cecilia</t>
  </si>
  <si>
    <t>The (truly) first fossil freshwater molluscs from Antarctica</t>
  </si>
  <si>
    <t>PALZ</t>
  </si>
  <si>
    <t>Bivalvia; Unionida; Jurassic; Mount Flora; Antarctica</t>
  </si>
  <si>
    <t>BIVALVIA</t>
  </si>
  <si>
    <t>New collection work in Mount Flora, Hope Bay, Antarctic Peninsula, has confirmed the presence of bivalve moulds in the Jurassic Mount Flora Formation. In contrast to a twenty-first century article claiming to report the first discovery of fossil freshwater molluscs in Antarctica, evidence of these molluscs was first reported for Antarctica more than 110 years ago by J. Gunnar Andersson. The bivalve was formally described and named some 50 years later, by Camacho, as Antediplodon esperanzaensis. The species was subsequently transferred to the genus Diplodon for unknown reasons. Here, we illustrate specimens from the same locality for the first time with photographs, considering them Unionida incertae saedis, in view of the absence of diagnostic characters. In fact, two morphotypes are present, one elongated, very similar to the nominal species A. esperanzaensis, and another one subelliptical in shape.</t>
  </si>
  <si>
    <t>[Martinez, Sergio] Univ Republica, Fac Ciencias, Dept Paleontol, Igua 4225, Montevideo 11400, Uruguay; [Scasso, Roberto A.; Capelli, Ignacio] Univ Buenos Aires, Fac Ciencias Exactas &amp; Nat, Dept Cs Geol, IGeBA, Int Guiraldes 2160,Ciudad Univ,Pab 2,C1428EHA, Buenos Aires, DF, Argentina; [Elgorriaga, Andres; Puerta, Pablo] Museo Paleontol Egidio Feruglio, Ave Fontana 140, RA-9100 Trelew, Chubut, Argentina; [del Valle, Rodolfo; Manuel Lirio, Juan; Rodriguez Amenabar, Cecilia] Inst Antartico Argentino, Ave 25 Mayo 1147, Villa Lynch, Buenos Aires, Argentina</t>
  </si>
  <si>
    <t>Universidad de la Republica, Uruguay; University of Buenos Aires; Instituto Antartico Argentino</t>
  </si>
  <si>
    <t>Martínez, S (corresponding author), Univ Republica, Fac Ciencias, Dept Paleontol, Igua 4225, Montevideo 11400, Uruguay.</t>
  </si>
  <si>
    <t>smart@fcien.edu.uy</t>
  </si>
  <si>
    <t>Martínez, SERGIO/AAI-4675-2020</t>
  </si>
  <si>
    <t>Martínez, SERGIO/0000-0002-5684-606X</t>
  </si>
  <si>
    <t>SPRINGER HEIDELBERG</t>
  </si>
  <si>
    <t>HEIDELBERG</t>
  </si>
  <si>
    <t>TIERGARTENSTRASSE 17, D-69121 HEIDELBERG, GERMANY</t>
  </si>
  <si>
    <t>0031-0220</t>
  </si>
  <si>
    <t>1867-6812</t>
  </si>
  <si>
    <t>PalZ</t>
  </si>
  <si>
    <t>SEP</t>
  </si>
  <si>
    <t>10.1007/s12542-019-00498-3</t>
  </si>
  <si>
    <t>Paleontology</t>
  </si>
  <si>
    <t>NG8OL</t>
  </si>
  <si>
    <t>WOS:000499982400001</t>
  </si>
  <si>
    <t>Pérez-Barros, P; Albano, M; Diez, MJ; Lovrich, GA</t>
  </si>
  <si>
    <t>Perez-Barros, Patricia; Albano, Mariano; Diez, Mariano J.; Lovrich, Gustavo A.</t>
  </si>
  <si>
    <t>Pole to pole: the deep-sea king crab Lithodes couesi (Decapoda: Lithodidae) in the Burdwood Bank, Southwestern Atlantic Ocean</t>
  </si>
  <si>
    <t>POLAR BIOLOGY</t>
  </si>
  <si>
    <t>MPA Namuncura; Marine biogeography; Antipodal distribution; Lithodid</t>
  </si>
  <si>
    <t>CRUSTACEA DECAPODA; ANOMURA</t>
  </si>
  <si>
    <t>In recent years, remote exploration around the Scotia Arc and waters off the Antarctic Peninsula yielded new records of Lithodidae suggesting our knowledge on their distribution is biased by our ability to sample areas with difficult access. In the present study, we used molecular methods to identify and report the occurrence of the deep-sea king crab Lithodes couesi, so far reported as a North Pacific lithodid, in the marine protected area (MPA) Namuncura/Burdwood Bank II, Southwestern Atlantic Ocean; more than 10,000 km away from its known distribution. Our finding suggests that the distributions of deep-water lithodid species are more extensive than they have been previously thought. We emphasize the need for a worldwide key to identify lithodid species, and prompt to barcoding specimens, at least those from poorly known species or remote locations, in order to corroborate their specific status. Finally, our study stresses the importance of MPAs in the conservation of biodiversity, as well as the processes involved in its evolution.</t>
  </si>
  <si>
    <t>[Perez-Barros, Patricia] Consejo Nacl Invest Cient &amp; Tecn, Buenos Aires, DF, Argentina; [Perez-Barros, Patricia] Univ Maimonides, CEBBAD, Hidalgo 775,6 Piso, RA-1405 Buenos Aires, DF, Argentina; [Albano, Mariano; Diez, Mariano J.; Lovrich, Gustavo A.] Consejo Nacl Invest Cient &amp; Tecn, CADIC, Bernardo Houssay 200,V9410CAB, Ushuaia, Tierra Del Fueg, Argentina</t>
  </si>
  <si>
    <t>Consejo Nacional de Investigaciones Cientificas y Tecnicas (CONICET); Consejo Nacional de Investigaciones Cientificas y Tecnicas (CONICET)</t>
  </si>
  <si>
    <t>Pérez-Barros, P (corresponding author), Consejo Nacl Invest Cient &amp; Tecn, Buenos Aires, DF, Argentina.;Pérez-Barros, P (corresponding author), Univ Maimonides, CEBBAD, Hidalgo 775,6 Piso, RA-1405 Buenos Aires, DF, Argentina.</t>
  </si>
  <si>
    <t>perezbarros.patricia@maimonides.edu</t>
  </si>
  <si>
    <t>Lovrich, Gustavo/0000-0001-8424-6566</t>
  </si>
  <si>
    <t>CONICET; FONCyT [PICT 16-0142]; Universidad Maimonides; Fundacion de Historia Natural Felix de Azara; [26875]</t>
  </si>
  <si>
    <t>CONICET(Consejo Nacional de Investigaciones Cientificas y Tecnicas (CONICET)); FONCyT(FONCyT); Universidad Maimonides; Fundacion de Historia Natural Felix de Azara;</t>
  </si>
  <si>
    <t>We greatly appreciate the help of the crew and captain of the April 2016 Expedition of RV Puerto Deseado to the Burdwood Bank, and Enrique Macpherson for his comments on a preliminary version of this manuscript. Samples were obtained through funds of the National Law No 26875 and this work is the contribution No 27 of the Marine Protected Area Namuncura/Burdwood Bank. This study was funded by CONICET, FONCyT (PICT 16-0142), Universidad Maimonides and Fundacion de Historia Natural Felix de Azara.</t>
  </si>
  <si>
    <t>0722-4060</t>
  </si>
  <si>
    <t>1432-2056</t>
  </si>
  <si>
    <t>POLAR BIOL</t>
  </si>
  <si>
    <t>Polar Biol.</t>
  </si>
  <si>
    <t>10.1007/s00300-019-02609-x</t>
  </si>
  <si>
    <t>Biodiversity Conservation; Ecology</t>
  </si>
  <si>
    <t>KJ0HL</t>
  </si>
  <si>
    <t>WOS:000500235800001</t>
  </si>
  <si>
    <t>Lin, ZY; Han, XB; Jin, XL; Zhu, CH; Yi, L; Li, ZG</t>
  </si>
  <si>
    <t>Lin, Zhong-yang; Han, Xi-bin; Jin, Xiang-long; Zhu, Chao-hui; Yi, Liang; Li, Zheng-gang</t>
  </si>
  <si>
    <t>Magnetostratigraphy and paleoenvironmental significance of sediments from ANT29-P7-09 core in Prydz Bay, Antarctica</t>
  </si>
  <si>
    <t>CHINA GEOLOGY</t>
  </si>
  <si>
    <t>Late Quaternary; Paleoenvironment; Climate change; Paleomagnetism; Alternate cooling and heating; Polar science expedition engineering; Prydz Bay; Antarctica; 29th Chinese National Antarctic Research Expedition</t>
  </si>
  <si>
    <t>MAGNETIC-PROPERTIES; ENVIRONMENTAL MAGNETISM; CHINA IMPLICATIONS; YANGTZE ESTUARY; EAST ANTARCTICA; LAKE-SEDIMENTS; ODP SITE-1165; RECORD; PROVENANCE; MATTER</t>
  </si>
  <si>
    <t>Due to the unique geographical location and sensitive response to global climate changes, the Antarctic region plays an important role in paleoclimate researches, and attracts great attentions from various scholars. One 324 cm long sediment core (ANT29-P7-09) was obtained from Prydz Bay, Antarctica, during the 29th Chinese National Antarctic Research Expedition. Based on sediment particle size, TOC, delta C-13 analyses and magnetism data, the authors show that the dominant magnetic minerals are ferrimagnetic pseudo single domain (PSD)-multi domain (MD) magnetite. Variations in the paleoenvironmental records allow us to define 4 zones in the core. These zones outline the climatic variations in the region since the late Early Pleistocene, including a warm period, a transitional period, and a cold period. The magnetic particle assemblage varies with glacial-interglacial cycles. Abrupt changes in particle size, TOC content, and geomagnetism occur at 102-90 cm deep in the core, indicating a sudden warming in the Antarctic region, signaling the onset of the Holocene. The authors identified 3 additional climatic signals in the middle part of the core (232-162 cm) that show unexpected cooling events during the warm period in Prydz Bay, Antarctica. (C) 2019 China Geology Editorial Office.</t>
  </si>
  <si>
    <t>[Lin, Zhong-yang; Jin, Xiang-long] China Univ Geosci, Coll Marine Sci &amp; Technol, Wuhan 430074, Peoples R China; [Han, Xi-bin; Jin, Xiang-long; Li, Zheng-gang] Minist Nat Resources, Inst Oceanog 2, Key Lab Submarine Geosci, Hangzhou 310012, Peoples R China; [Yi, Liang] Tongji Univ, State Key Lab Marine Geol, Shanghai 200092, Peoples R China; [Lin, Zhong-yang; Zhu, Chao-hui] Zhejiang Inst Geol Survey, Hangzhou 311203, Peoples R China</t>
  </si>
  <si>
    <t>China University of Geosciences; Ministry of Natural Resources of the People's Republic of China; Tongji University</t>
  </si>
  <si>
    <t>Jin, XL (corresponding author), China Univ Geosci, Coll Marine Sci &amp; Technol, Wuhan 430074, Peoples R China.;Han, XB; Jin, XL (corresponding author), Minist Nat Resources, Inst Oceanog 2, Key Lab Submarine Geosci, Hangzhou 310012, Peoples R China.</t>
  </si>
  <si>
    <t>hanxibin@sio.org.cn; xljin@mail.hz.zj.cn</t>
  </si>
  <si>
    <t>Global change and air-sea interaction [GASI-GEOGE-05, GASI-04-01-02, GASI-02PAC-CJ07, GAST-GEOGE-03]; National Natural Science Foundation of China [41576069, 41576063]; Zhejiang Qingshan Lake Innovation Platform for Marine Science and Technology [2017E80001]</t>
  </si>
  <si>
    <t>Global change and air-sea interaction; National Natural Science Foundation of China(National Natural Science Foundation of China (NSFC)); Zhejiang Qingshan Lake Innovation Platform for Marine Science and Technology</t>
  </si>
  <si>
    <t>The authors thank Ling-gang Tang for assisting with magnetic hysteresis loops and.-T curve experiments. This work was financially supported by Global change and air-sea interaction  (GASI-GEOGE-05, GASI-04-01-02, GASI-02PAC-CJ07, GAST-GEOGE-03), National Natural Science Foundation of China (41576069, 41576063), Zhejiang Qingshan Lake Innovation Platform for Marine Science and Technology (2017E80001). The authors also thank the officers, crew, and technical personnel on board the R/V XUELONG icebreaker for their outstanding support during the 29th Chinese National Antarctic Research Expedition and the sediment sample Repository of Polar Research Institute of China for providing the sediment samples.</t>
  </si>
  <si>
    <t>CHINA GEOLOGY EDITORIAL OFFICE</t>
  </si>
  <si>
    <t>BEIJING</t>
  </si>
  <si>
    <t>NO 45 FUWAL ST, XICHENG DISTRICT, BEIJING, 100037, PEOPLES R CHINA</t>
  </si>
  <si>
    <t>2096-5192</t>
  </si>
  <si>
    <t>CHINA GEOL</t>
  </si>
  <si>
    <t>China Geol.</t>
  </si>
  <si>
    <t>10.31035/cg2018134</t>
  </si>
  <si>
    <t>LR9WL</t>
  </si>
  <si>
    <t>WOS:000536045600007</t>
  </si>
  <si>
    <t>Ryan, PG; Dilley, BJ; Davies, D; Glass, T; Abadi, F</t>
  </si>
  <si>
    <t>Ryan, Peter G.; Dilley, Ben J.; Davies, Delia; Glass, Trevor; Abadi, Fitsum</t>
  </si>
  <si>
    <t>Short-term movement patterns, population estimates and breeding biology of an island endemic bird, the Tristan Thrush</t>
  </si>
  <si>
    <t>REVISTA BRASILEIRA DE ORNITOLOGIA</t>
  </si>
  <si>
    <t>Turdus eremita; Inaccessible Island; Nightingale Island; Bayesian population estimate</t>
  </si>
  <si>
    <t>The Tristan Thrush Turdus eremita is the only land bird that survived human colonisation of the main island of Tristan da Cunha and is listed as Near Threatened. Population estimates are confounded by the thrushes' inquisitive and gregarious nature as well as limited information on their movements. We report the first measures of nest densities on Nightingale Island: 6 nests.ha(-1) in Phylica arborea woodland and 4-5 nests.ha(-1) in tussock habitat, which suggests that the population is approximately double the previous estimate. At Inaccessible Island, we individually color ringed 110 thrushes over two months to track their short-term movements and estimate the local population size. Individuals moved up to 950 m along the coast, but 96% of resightings were &lt; 100 m. A Bayesian data augmentation approach estimated that some 260 thrushes visited the core study area, a 200-m stretch of cobble and boulder beach where birds come to drink, bathe and forage. This result suggests that the population on Inaccessible Island also is substantially larger than reported previously. We estimate the total population to be 8000-15,000 Tristan Thrushes. The main need is a population estimate for the nominate subspecies on the main island of Tristan.</t>
  </si>
  <si>
    <t>[Ryan, Peter G.; Dilley, Ben J.; Davies, Delia] Univ Cape Town, FitzPatrick Inst African Ornithol, DST NRF Ctr Excellence, Rondebosch, South Africa; [Glass, Trevor] Tristan Conservat Dept, Edinburgh Of Seven Seas, England; [Abadi, Fitsum] New Mexico State Univ, Dept Fish Wildlife &amp; Conservat Ecol, Coll Agr Consumer &amp; Environm Sci, Las Cruces, NM 88003 USA</t>
  </si>
  <si>
    <t>National Research Foundation - South Africa; University of Cape Town; New Mexico State University</t>
  </si>
  <si>
    <t>Ryan, PG (corresponding author), Univ Cape Town, FitzPatrick Inst African Ornithol, DST NRF Ctr Excellence, Rondebosch, South Africa.</t>
  </si>
  <si>
    <t>pryan31@gmail.com</t>
  </si>
  <si>
    <t>Darwin Plus</t>
  </si>
  <si>
    <t>We thank the Island Council and Administrator for approving our visit to Inaccessible Island. Maelle Connan and Erica Sommer gave assistance in the field. Funding for land bird surveys at Tristan was received from Darwin Plus. The South African National Antarctic Programme provided logistical support, and we are especially grateful to the captain and crew of the Geo Searcher for getting us safely off the island. We thank William R. Gould for helpful discussions on the statistical analysis. Fitsum Abadi thanks The New Mexico Agricultural Experiment Station (NM Fitsum-2017H).</t>
  </si>
  <si>
    <t>SOC BRASILEIRA ORNITOLOGIA</t>
  </si>
  <si>
    <t>VICOSA</t>
  </si>
  <si>
    <t>C/O ROMULO RIBON, MUSEU ZOOLOGIA JOAO MOOJEN, LADEIRA DOS OPERARIOS 54-204, VICOSA, MG 36570-000, BRAZIL</t>
  </si>
  <si>
    <t>0103-5657</t>
  </si>
  <si>
    <t>REV BRAS ORNITOL</t>
  </si>
  <si>
    <t>Rev. Bras. Ornitol.</t>
  </si>
  <si>
    <t>Ornithology</t>
  </si>
  <si>
    <t>LL9KJ</t>
  </si>
  <si>
    <t>WOS:000531872300005</t>
  </si>
  <si>
    <t>Ustinov, VP; Baranova, EL; Visheratin, KN; Grachev, MI; Kal'sin, AV</t>
  </si>
  <si>
    <t>Ustinov, V. P.; Baranova, E. L.; Visheratin, K. N.; Grachev, M. I.; Kal'sin, A. V.</t>
  </si>
  <si>
    <t>Carbon Monoxide Variations in the Antarctic Atmosphere from Ground-Based and Satellite Measurement Data</t>
  </si>
  <si>
    <t>IZVESTIYA ATMOSPHERIC AND OCEANIC PHYSICS</t>
  </si>
  <si>
    <t>carbon monoxide; total content; Antarctica; ground-based and satellite measurements; spectral and cross-wavelet analysis</t>
  </si>
  <si>
    <t>TOTAL OZONE; CO</t>
  </si>
  <si>
    <t>The results of systematic (2003-2017) measurements of the total content and height-averaged relative volume concentration of CO at st. Novolazarevskaya with a spectrometer with a resolution of 0.2 cm(-1) are presented. The inverse problem of determining the total content of CO as well as interfering gases (H2O and N2O) was solved using the SFIT4 software package. A data analysis indicated that during the measurements the average total CO content at st. Novolazarevskaya was (8 +/- 2) 10(17) molecules/cm(2) and the height-averaged volume concentration was (37 +/- 8) ppb. The resulting data were compared with variations in the total CO content at st. Arrival-Heights, MOPITT satellite data, and CO surface concentrations at st. Syowa. The maximum and minimum values of CO were observed in September and January-February, respectively. For all the data series considered, the trends are insignificant; in this case, an increased CO content was observed in 2010, and an increasing trend of the minimum values of CO was observed in recent years (2014-2017). Both stations (Novolazarevskaya and Arrival-Heights) are characterized by an excess of satellite data over ground-based measurement data (19% and 14%, respectively); here, a seasonal dependence of the deviation was observed with minimal deviations in December-January. Data of surface measurements of the total content at st. Novolazarevskaya and Arrival-Heights are rather well consistent, and the average deviation since 2010 was 2.4%. The average concentration of CO at st. Syowa (51 ppb) is higher than the height-averaged concentration at st. Novolazarevskaya. According to spectral, wavelet, and composite analyzes, all data series considered include oscillations in the range of 6-45 months with almost identical periods and phase relationships.</t>
  </si>
  <si>
    <t>[Ustinov, V. P.; Baranova, E. L.; Visheratin, K. N.; Grachev, M. I.; Kal'sin, A. V.] Res &amp; Prod Assoc Typhoon, Obninsk, Russia</t>
  </si>
  <si>
    <t>Ustinov, VP (corresponding author), Res &amp; Prod Assoc Typhoon, Obninsk, Russia.</t>
  </si>
  <si>
    <t>ustinov@rpatyphoon.ru</t>
  </si>
  <si>
    <t>MAIK NAUKA/INTERPERIODICA/SPRINGER</t>
  </si>
  <si>
    <t>233 SPRING ST, NEW YORK, NY 10013-1578 USA</t>
  </si>
  <si>
    <t>0001-4338</t>
  </si>
  <si>
    <t>1555-628X</t>
  </si>
  <si>
    <t>IZV ATMOS OCEAN PHY+</t>
  </si>
  <si>
    <t>Izv. Atmos. Ocean. Phys.</t>
  </si>
  <si>
    <t>10.1134/S0001433819090536</t>
  </si>
  <si>
    <t>LJ6XM</t>
  </si>
  <si>
    <t>WOS:000530305800034</t>
  </si>
  <si>
    <t>Alekseeva, TA; Tikhonov, VV; Frolov, SV; Raev, MD; Repina, IA; Sokolova, YV; Afanasieva, EV; Sharkov, EA; Serovetnikov, SS</t>
  </si>
  <si>
    <t>Alekseeva, T. A.; Tikhonov, V. V.; Frolov, S. V.; Raev, M. D.; Repina, I. A.; Sokolova, Yu. V.; Afanasieva, E. V.; Sharkov, E. A.; Serovetnikov, S. S.</t>
  </si>
  <si>
    <t>Comparison of Satellite Microwave and Visual Shipborne Data on Sea Ice Concentration</t>
  </si>
  <si>
    <t>satellite microwave radiometry; algorithms; visual observations; sea ice concentration; ice melt stage</t>
  </si>
  <si>
    <t>POLAR-REGIONS; RADIOMETRY; RETRIEVAL; ALGORITHM; COVER</t>
  </si>
  <si>
    <t>In this paper we compare the sea ice concentration data obtained by satellite microwave radiometry using the NASA Team, ASI, and VASIA2 algorithms and by special visual ship observations. A database of visual observations of the sea ice concentration obtained during 15 expeditions in the Arctic was used. The comparison for various concentration gradations (very open, open, close, very close, and compact ice) was carried out separately for summer and winter periods. On average, during the summer period, the NASA Team algorithm underestimates the sea ice concentration by 1 point, while the ASI and VASIA2 algorithms underestimate by 0.5 points when compared to ship observations. All three algorithms overestimate the total concentration in the zones of very open ice and underestimate it in the zones of close, very close, and compact ice. The maximal average errors are characteristic of open ice that is most often observed in ice edge zones. In winter, the average error for all algorithms is no more than 1 point when compared with ship observations. However, in very open and close, the average error in winter is significantly higher than that in summer. To assess the effect of melting processes on the concentration values obtained by satellite microwave radiometry, we used ship data on ice melt stage. The average error at the maximal area of melt ponds on the ice surface reaches -2.9 points for the NASA Team algorithm, -2.8 points for the ASI algorithm, and -5.0 points for the VASIA2 algorithm. The results will be useful for determining the extent of ice-cover degradation in the Arctic Ocean observed in recent years.</t>
  </si>
  <si>
    <t>[Alekseeva, T. A.; Frolov, S. V.; Sokolova, Yu. V.; Afanasieva, E. V.; Serovetnikov, S. S.] Arctic &amp; Antarctic Res Inst, St Petersburg 199397, Russia; [Alekseeva, T. A.; Repina, I. A.; Sokolova, Yu. V.] Russian Acad Sci, Obukhov Inst Atmospher Phys, Moscow 119017, Russia; [Tikhonov, V. V.; Raev, M. D.; Repina, I. A.; Sharkov, E. A.] Russian Acad Sci, Space Res Inst, Moscow 117997, Russia; [Tikhonov, V. V.] Moscow Inst Phys &amp; Technol, Dolgoprudnyi 141701, Russia</t>
  </si>
  <si>
    <t>Arctic &amp; Antarctic Research Institute; Russian Academy of Sciences; Obukhov Institute of Atmospheric Physics of Russian Academy of Sciences; Russian Academy of Sciences; Space Research Institute of the Russian Academy of Sciences; Moscow Institute of Physics &amp; Technology</t>
  </si>
  <si>
    <t>Alekseeva, TA (corresponding author), Arctic &amp; Antarctic Res Inst, St Petersburg 199397, Russia.;Alekseeva, TA (corresponding author), Russian Acad Sci, Obukhov Inst Atmospher Phys, Moscow 119017, Russia.</t>
  </si>
  <si>
    <t>taa@aari.ru</t>
  </si>
  <si>
    <t>Afanasyeva, Ekaterina/ABI-2167-2020; Sokolova, Julia/K-5222-2016; Repina, Irina A/H-3530-2016; Alekseeva, Tatiana/K-5879-2015</t>
  </si>
  <si>
    <t>Afanasyeva, Ekaterina/0000-0002-3005-4961; Sokolova, Julia/0000-0002-5744-7204; Alekseeva, Tatiana/0000-0002-1575-8784</t>
  </si>
  <si>
    <t>Russian Foundation for Basic Research (RFBR) [18-05-60048, 01.20.0.2.00164]; RFBR [18-05-00440]</t>
  </si>
  <si>
    <t>Russian Foundation for Basic Research (RFBR)(Russian Foundation for Basic Research (RFBR)); RFBR(Russian Foundation for Basic Research (RFBR))</t>
  </si>
  <si>
    <t>The processing of visual shipborne data and its comparison with satellite data was funded by the Russian Foundation for Basic Research (RFBR) according to the research project no. 18-05-60048 (T.A. Alekseeva, S.V. Frolov, and S.S. Serovetnikov). Development of the VASIA2 algorithm was supported by the topic Monitoring (State assignment on the subject of fundamental scientific research, state registration no. 01.20.0.2.00164) (E.A. Sharkov). Development of the microwave emissivity model was partially supported by the RFBR (grant no. 18-05-00440) (V.V. Tikhonov and M.D. Raev).</t>
  </si>
  <si>
    <t>10.1134/S0001433819090032</t>
  </si>
  <si>
    <t>WOS:000530305800041</t>
  </si>
  <si>
    <t>Tikhonov, VV; Raev, MD; Khvostov, IV; Boyarskii, DA; Romanov, AN; Sharkov, EA; Komarova, NY</t>
  </si>
  <si>
    <t>Tikhonov, V. V.; Raev, M. D.; Khvostov, I. V.; Boyarskii, D. A.; Romanov, A. N.; Sharkov, E. A.; Komarova, N. Yu.</t>
  </si>
  <si>
    <t>Analysis of the Seasonal Dependence of the Brightness Temperature of the Glacier Sheet of Antarctica by Microwave Satellite Data</t>
  </si>
  <si>
    <t>satellite microwave radiometry; brightness temperature; Antarctica; penetration depth; climatic characteristics</t>
  </si>
  <si>
    <t>WEST ANTARCTICA; SNOW; ICE; PERMITTIVITY; DENSITY; SSM/I; LAND; FIRN</t>
  </si>
  <si>
    <t>In this paper, an analysis of seasonal dependences of the brightness temperature of different regions of Antarctica according to radiometer data from MIRAS (SMOS satellite) and SSMIS (DMSP series satellites) is presented. Queen Maud Land (Norwegian: Dronning Maud Land) was chosen as the region of study, which includes the main zones of Antarctica: the dome, the zone of runoff winds, and the coastal zone. The interrelation of time dynamics of brightness temperature as a function of the change in climatic characteristics of regions is considered. The main factors influencing the change in brightness temperature in different regions of the Antarctic glacier sheet are revealed.</t>
  </si>
  <si>
    <t>[Tikhonov, V. V.; Raev, M. D.; Boyarskii, D. A.; Sharkov, E. A.; Komarova, N. Yu.] Russian Acad Sci, Space Res Inst, Moscow 117997, Russia; [Tikhonov, V. V.] Moscow Inst Phys &amp; Technol, Moscow 141701, Russia; [Khvostov, I. V.; Romanov, A. N.] Russian Acad Sci, Siberian Branch, Inst Water &amp; Environm Problems, Barnaul 656038, Russia</t>
  </si>
  <si>
    <t>Russian Academy of Sciences; Space Research Institute of the Russian Academy of Sciences; Moscow Institute of Physics &amp; Technology; Russian Academy of Sciences; Institute for Water &amp; Environmental Problems, Siberian Branch of the Russian Academy of Sciences</t>
  </si>
  <si>
    <t>Tikhonov, VV (corresponding author), Russian Acad Sci, Space Res Inst, Moscow 117997, Russia.;Tikhonov, VV (corresponding author), Moscow Inst Phys &amp; Technol, Moscow 141701, Russia.</t>
  </si>
  <si>
    <t>vtikhonov@asp.iki.rssi.ru</t>
  </si>
  <si>
    <t>Khvostov, Ilya V/F-4834-2017</t>
  </si>
  <si>
    <t>Khvostov, Ilya V/0000-0003-3239-9426</t>
  </si>
  <si>
    <t>Russian Foundation for Basic Research (RFBR) [18-05-00427]; [01.20.0.2.00164]</t>
  </si>
  <si>
    <t>Russian Foundation for Basic Research (RFBR)(Russian Foundation for Basic Research (RFBR));</t>
  </si>
  <si>
    <t>This work was supported under the topic Monitoring (State assignment on the subject of fundamental scientific research, state registration no. 01.20.0.2.00164) (D.A. Boyarskii, M.D. Raev, and E.A. Sharkov). The study of snow cover and its influence on microwave radiation of ice sheet of Antarctica was partially supported by the Russian Foundation for Basic Research (RFBR grant no. 18-05-00427) (V.V. Tikhonov).</t>
  </si>
  <si>
    <t>10.1134/S0001433819090512</t>
  </si>
  <si>
    <t>WOS:000530305800042</t>
  </si>
  <si>
    <t>Li, YJ; Ding, YJ; Shangguan, DH; Wang, RJ</t>
  </si>
  <si>
    <t>Li Yao-Jun; Ding Yong-Jian; Shangguan Dong-Hui; Wang Rong-Jun</t>
  </si>
  <si>
    <t>Regional differences in global glacier retreat from 1980 to 2015</t>
  </si>
  <si>
    <t>ADVANCES IN CLIMATE CHANGE RESEARCH</t>
  </si>
  <si>
    <t>Glacier retreat; Regional differences; Climate change</t>
  </si>
  <si>
    <t>ERA-INTERIM REANALYSIS; SEA-LEVEL RISE; MASS CHANGE; TIEN-SHAN; CLIMATE; ICE; RUNOFF; SENSITIVITY; CRYOSPHERE; FEEDBACKS</t>
  </si>
  <si>
    <t>Global warming triggers shrinking and thinning of glaciers worldwide, with potentially severe implications for human society. However, regional differences in glacier retreat and its relationship with climatic characteristics have not been conclusively demonstrated. In this study, regional changes in global glaciers based on two primary features, area change and mass balance, were investigated on the basis of data collected from published research on glacier changes. Results show that during the period 1980-2015, the rate of global glacier area shrinkage was 0.18% per year and that of global glacier mass loss was 0.25 m w.e. per year. Retreat of glaciers located at low and middle latitudes was characterized by severe area shrinkage and mass loss. Correspondingly, in the Arctic, deglaciation was characterized by ice thinning due to a low area reduction but relatively high mass loss rate. However, glaciers in high southern latitudes were in a relatively stable status. High Mountain Asia exhibited the lowest rate of area shrinkage and mass loss among glaciers located at low and middle latitudes, and a slower rate of mass loss compared with the global average. Glaciers in the Tropical Andes exhibited the fastest rate of glacier area shrinkage (-1.6% per year), whereas Antarctic and Subantarctic glaciers showed the lowest rate (-0.11% per year). For mass balance, the most negative occurred at Southern Andes (-0.81 m w.e. per year), followed by Alaska (-0.74 m w.e. per year). Only the Antarctic and Subantarctic experienced small mass gain (0.04 m w.e. per year). High levels of correlation are found between the rates of glacier retreat and annual average temperature and annual total precipitation instead of their trends. The variability of the surface climate conditions in the glacier environment plays a key role in driving these regional differences in global glacier retreat.</t>
  </si>
  <si>
    <t>[Li Yao-Jun; Ding Yong-Jian; Shangguan Dong-Hui; Wang Rong-Jun] Chinese Acad Sci, Northwest Inst Ecoenvironm &amp; Resources, State Key Lab Cryospher Sci, Lanzhou 730000, Peoples R China; [Li Yao-Jun; Ding Yong-Jian] Chinese Acad Sci, Northwest Inst Ecoenvironm &amp; Resources, Key Lab Ecohydrol Inland River Basin, Lanzhou 730000, Peoples R China; [Li Yao-Jun; Ding Yong-Jian] Univ Chinese Acad Sci, Beijing 100049, Peoples R China</t>
  </si>
  <si>
    <t>Chinese Academy of Sciences; Chinese Academy of Sciences; Chinese Academy of Sciences; University of Chinese Academy of Sciences, CAS</t>
  </si>
  <si>
    <t>Ding, YJ (corresponding author), Chinese Acad Sci, Northwest Inst Ecoenvironm &amp; Resources, State Key Lab Cryospher Sci, Lanzhou 730000, Peoples R China.</t>
  </si>
  <si>
    <t>dyj@lzb.ac.cn</t>
  </si>
  <si>
    <t>Strategic Priority Research Program of the Chinese Academy of Sciences [XDA19070501]; National Natural Science Foundation of China [41730751, 41671066]; International Partnership Program of Chinese Academy of Sciences [131C11KYSB20160061, Y560L01001]</t>
  </si>
  <si>
    <t>Strategic Priority Research Program of the Chinese Academy of Sciences(Chinese Academy of Sciences); National Natural Science Foundation of China(National Natural Science Foundation of China (NSFC)); International Partnership Program of Chinese Academy of Sciences</t>
  </si>
  <si>
    <t>This research was supported by the Strategic Priority Research Program of the Chinese Academy of Sciences (XDA19070501), the National Natural Science Foundation of China (41730751 &amp; 41671066), the International Partnership Program of Chinese Academy of Sciences (131C11KYSB20160061, Y560L01001).</t>
  </si>
  <si>
    <t>KEAI PUBLISHING LTD</t>
  </si>
  <si>
    <t>16 DONGHUANGCHENGGEN NORTH ST, Building 5, Room 411, BEIJING, DONGCHENG DISTRICT 100009, PEOPLES R CHINA</t>
  </si>
  <si>
    <t>1674-9278</t>
  </si>
  <si>
    <t>ADV CLIM CHANG RES</t>
  </si>
  <si>
    <t>Adv. Clim. Chang. Res.</t>
  </si>
  <si>
    <t>10.1016/j.accre.2020.03.003</t>
  </si>
  <si>
    <t>LJ4VE</t>
  </si>
  <si>
    <t>WOS:000530164000002</t>
  </si>
  <si>
    <t>Schroeder, DM; MacKie, EJ; Creyts, TT; Anderson, JB</t>
  </si>
  <si>
    <t>Schroeder, Dustin M.; MacKie, Emma J.; Creyts, Timothy T.; Anderson, John B.</t>
  </si>
  <si>
    <t>A subglacial hydrologic drainage hypothesis for silt sorting and deposition during retreat in Pine Island Bay</t>
  </si>
  <si>
    <t>ANNALS OF GLACIOLOGY</t>
  </si>
  <si>
    <t>Antarctic glaciology; glacier hydrology; subglacial lakes; subglacial sediments</t>
  </si>
  <si>
    <t>ANTARCTIC ICE-SHEET; BENEATH THWAITES GLACIER; GROUNDING-LINE RETREAT; WEST ANTARCTICA; MARGUERITE BAY; WATER; SHELF; FLOW; LAKE; RECONSTRUCTION</t>
  </si>
  <si>
    <t>Late Holocene sediment deposits in Pine Island Bay, West Antarctica, are hypothesized to be linked to intensive meltwater drainage during the retreat of the paleo-Pine Island Ice Stream after the Last Glacial Maximum. The uppermost sediment units show an abrupt transition from ice-proximal debris to a draped silt during the late Holocene, which is interpreted to coincide with rapid deglaciation. The small scale and fine sorting of the upper unit could be attributed to origins in subglacial meltwater; however the thickness and deposition rate for this unit imply punctuated- rather than continuous-deposition. This, combined with the deposit's location seaward of large, bedrock basins, has led to the interpretation of this unit as the result of subglacial lake outbursts in these basins. However, the fine-scale sorting of the silt unit is problematic for this energetic interpretation, which should mobilize and deposit a wider range of sediment sizes. To resolve this discrepancy, we present an alternative mechanism in which the silt was sorted by a distributed subglacial water system, stored in bedrock basins far inland of the grounding line, and subsequently eroded at higher flow speeds during retreat. We demonstrate that this mechanism is physically plausible given the subglacial conditions during the late Holocene. We hypothesize that similar silt units observed elsewhere in Antarctica downstream of bedrock basins could be the result of the same mechanism.</t>
  </si>
  <si>
    <t>[Schroeder, Dustin M.; MacKie, Emma J.] Stanford Univ, Dept Geophys, Stanford, CA 94305 USA; [Schroeder, Dustin M.] Stanford Univ, Dept Elect Engn, Stanford, CA 94305 USA; [Creyts, Timothy T.] Columbia Univ, Lamont Doherty Earth Observ, Palisades, NY USA; [Anderson, John B.] Rice Univ, Dept Earth Sci, Houston, TX USA</t>
  </si>
  <si>
    <t>Stanford University; Stanford University; Columbia University; Rice University</t>
  </si>
  <si>
    <t>Schroeder, DM (corresponding author), Stanford Univ, Dept Geophys, Stanford, CA 94305 USA.;Schroeder, DM (corresponding author), Stanford Univ, Dept Elect Engn, Stanford, CA 94305 USA.</t>
  </si>
  <si>
    <t>dustin.m.schroeder@stanford.edu</t>
  </si>
  <si>
    <t>Creyts, Timothy/0000-0003-1756-5211; Schroeder, Dustin/0000-0003-1916-3929</t>
  </si>
  <si>
    <t>NASA Cryospheric Sciences Program</t>
  </si>
  <si>
    <t>NASA Cryospheric Sciences Program(National Aeronautics &amp; Space Administration (NASA))</t>
  </si>
  <si>
    <t>The authors wish to acknowledge the attendees of the 2019 IGS Symposium on Erosion and Sedimentation for their insightful and encouraging discussions. We'd also like to thank Richard Alley and an anonymous reviewer for their helpful reviews. DMS, EJM and TTC were partially supported by a grant from the NASA Cryospheric Sciences Program.</t>
  </si>
  <si>
    <t>0260-3055</t>
  </si>
  <si>
    <t>1727-5644</t>
  </si>
  <si>
    <t>ANN GLACIOL</t>
  </si>
  <si>
    <t>Ann. Glaciol.</t>
  </si>
  <si>
    <t>10.1017/aog.2019.44</t>
  </si>
  <si>
    <t>KX1DH</t>
  </si>
  <si>
    <t>WOS:000521622400003</t>
  </si>
  <si>
    <t>Muto, A; Alley, RB; Parizek, BR; Anandakrishnan, S</t>
  </si>
  <si>
    <t>Muto, Atsuhiro; Alley, Richard B.; Parizek, Byron R.; Anandakrishnan, Sridhar</t>
  </si>
  <si>
    <t>Bed-type variability and till (dis)continuity beneath Thwaites Glacier, West Antarctica</t>
  </si>
  <si>
    <t>Antarctic glaciology; seismic; subglacial exploration geophysics; subglacial processes; subglacial sediments</t>
  </si>
  <si>
    <t>PINE ISLAND GLACIER; ICE STREAM-B; SOFT-BED; REGULAR PATTERNS; BASAL CONDITIONS; MODEL; FLOW; SHEAR; ACCUMULATION; RESISTANCE</t>
  </si>
  <si>
    <t>Recent seismic measurements from upper Thwaites Glacier indicate that the bed-type variability is closely related to the along-flow basal topography. In high-relief subglacial highlands, stoss sides of topographic highs have a relatively higher acoustic impedance ('hard' bed) with lower acoustic impedance ('soft' till) on lee sides. This pattern is similar to observations of many deglaciated terrains. Subglacial hydraulic-potential gradient and its divergence show a tendency for water to diverge over the stoss sides and converge into the lee sides. Convergence favors a thicker or more widespread water system, which can more efficiently decouple ice from the underlying till. Under such circumstances, till deformation does occur but, fluxes are relatively small. Till carried from the lee sides onto stoss sides of downstream bumps should couple to the ice more efficiently, increasing the ability for transport by till deformation. In turn, this suggests that steady-state till transport can be achieved if the stoss-side till layer is thin or discontinuous. In addition, the large basal shear stress generated in the highlands seems too high for a bed lubricated by a continuous although thin deforming till, suggesting till discontinuity, which would allow debris-laden ice to erode bedrock on stoss sides, supplying additional till for transport.</t>
  </si>
  <si>
    <t>[Muto, Atsuhiro] Temple Univ, Dept Earth &amp; Environm Sci, Philadelphia, PA 19122 USA; [Alley, Richard B.; Parizek, Byron R.; Anandakrishnan, Sridhar] Penn State Univ, Dept Geosci, University Pk, PA 16802 USA; [Alley, Richard B.; Parizek, Byron R.; Anandakrishnan, Sridhar] Penn State Univ, Earth &amp; Environm Syst Inst, University Pk, PA 16802 USA; [Parizek, Byron R.] Penn State Univ DuBois, Geosci &amp; Math, Du Bois, PA USA</t>
  </si>
  <si>
    <t>Pennsylvania Commonwealth System of Higher Education (PCSHE); Temple University; Pennsylvania Commonwealth System of Higher Education (PCSHE); Pennsylvania State University; Pennsylvania State University - University Park; Pennsylvania Commonwealth System of Higher Education (PCSHE); Pennsylvania State University; Pennsylvania State University - University Park; Pennsylvania Commonwealth System of Higher Education (PCSHE); Pennsylvania State University</t>
  </si>
  <si>
    <t>Muto, A (corresponding author), Temple Univ, Dept Earth &amp; Environm Sci, Philadelphia, PA 19122 USA.</t>
  </si>
  <si>
    <t>amuto@temple.edu</t>
  </si>
  <si>
    <t>Muto, Atsuhiro/AAJ-9558-2020; Anandakrishnan, Sridhar/JCN-5026-2023</t>
  </si>
  <si>
    <t>Muto, Atsuhiro/0000-0002-1722-2457; Alley, Richard/0000-0003-1833-0115</t>
  </si>
  <si>
    <t>US National Science Foundation [NSF-NERC-PLR-1738934, PLR-1443190]; Heising-Simons Foundation [2018-0769]; National Science Foundation (NSF) [NSF-NERC-PLR1738934]; Natural Environment Research Council (NERC) [NE/S006672/1]; NERC [NE/S006672/1] Funding Source: UKRI</t>
  </si>
  <si>
    <t>US National Science Foundation(National Science Foundation (NSF)); Heising-Simons Foundation; National Science Foundation (NSF)(National Science Foundation (NSF)); Natural Environment Research Council (NERC)(UK Research &amp; Innovation (UKRI)Natural Environment Research Council (NERC)); NERC(UK Research &amp; Innovation (UKRI)Natural Environment Research Council (NERC))</t>
  </si>
  <si>
    <t>This work was supported by the US National Science Foundation under grants NSF-NERC-PLR-1738934 (A.M., R.B.A., B.R.P., S.A.) and PLR-1443190 (B.R.P.), and by the Heising-Simons Foundation under grant 2018-0769 (R.B.A., B.R.P., S.A.). We thank Alex Brisbourne, an anonymous reviewer and Neal Iverson, the scientific editor, for their constructive reviews that improved the manuscript. This work is from the GHOST project, a component of the International Thwaites Glacier Collaboration (ITGC). Support from National Science Foundation (NSF: Grant NSF-NERC-PLR1738934) and Natural Environment Research Council (NERC: Grant NE/S006672/1). ITGC Contribution No. ITGC-004.</t>
  </si>
  <si>
    <t>10.1017/aog.2019.32</t>
  </si>
  <si>
    <t>WOS:000521622400010</t>
  </si>
  <si>
    <t>Gornostaeva, AA; Demezhko, DY; Antipin, AN</t>
  </si>
  <si>
    <t>Gornostaeva, A. A.; Demezhko, D. Yu; Antipin, A. N.</t>
  </si>
  <si>
    <t>A New Climate Response Model for the Orbital Tuning of Pleistocene Climate Reconstructions</t>
  </si>
  <si>
    <t>reconstruction of paleoclimate; dating; orbital tuning; insolation; ground surface heat flux; ground surface temperature</t>
  </si>
  <si>
    <t>ICE-CORE; INSOLATION QUANTITIES; CHRONOLOGY AICC2012; CARBON-DIOXIDE; ENERGY-BALANCE; ANTARCTIC ICE; SURFACE; RECORD; EARTH; TEMPERATURE</t>
  </si>
  <si>
    <t>This paper describes a new approach to orbital tuning for the adjustment of proxy-based paleoclimate chronologies; the approach involves the synchronization of reconstructed paleotemperatures with quasi-temperature series derived from data on changes in insolation at the top of the atmosphere. The time lag between insolation and induced temperature reaction is estimated using a physical model describing the relationship between changes in the ground surface heat flux and ground surface temperature. The resulting time-lag estimates are in good agreement with the results of empirical analysis of independent age markers.</t>
  </si>
  <si>
    <t>[Gornostaeva, A. A.; Demezhko, D. Yu; Antipin, A. N.] Russian Acad Sci, Inst Geophys, Ural Branch, Ekaterinburg 620016, Russia</t>
  </si>
  <si>
    <t>Russian Academy of Sciences</t>
  </si>
  <si>
    <t>Gornostaeva, AA (corresponding author), Russian Acad Sci, Inst Geophys, Ural Branch, Ekaterinburg 620016, Russia.</t>
  </si>
  <si>
    <t>free_ride_@mail.ru</t>
  </si>
  <si>
    <t>Gornostaeva, Anastasiia/AAD-6326-2022</t>
  </si>
  <si>
    <t>Russian Foundation for Basic Research [19-05-00058 a]</t>
  </si>
  <si>
    <t>The study was supported by the Russian Foundation for Basic Research (project no. 19-05-00058 a).</t>
  </si>
  <si>
    <t>10.1134/S0001433819110057</t>
  </si>
  <si>
    <t>KT9RL</t>
  </si>
  <si>
    <t>WOS:000519350800017</t>
  </si>
  <si>
    <t>Ovsepyan, YS; Averkina, NO; Taldenkova, EE</t>
  </si>
  <si>
    <t>Ovsepyan, Ya. S.; Averkina, N. O.; Taldenkova, E. E.</t>
  </si>
  <si>
    <t>The Importance of Foraminifera of the Family Cassidulinidae for the Late Quaternary Paleoenvironmental Reconstructions Based on Sediment Cores from the Laptev Sea</t>
  </si>
  <si>
    <t>PALEONTOLOGICAL JOURNAL</t>
  </si>
  <si>
    <t>foraminifera; benthos; paleogeography; Arctic; Laptev Sea</t>
  </si>
  <si>
    <t>FRESH-WATER</t>
  </si>
  <si>
    <t>Three most common Arctic foraminiferal species of the family Cassidulinidae from the Laptev Sea sediment cores were analyzed for paleoenvironmental reconstructions. This paleontological study is focused on morphological characteristics of apertural elements and the wall structure. The species Cassidulina neoteretis is considered an indicator of the Atlantic influence in contrast to the Arctic species Cassidulina reniforme and Islandiella norcrossi.</t>
  </si>
  <si>
    <t>[Ovsepyan, Ya. S.] Russian Acad Sci, Geol Inst, Moscow 119017, Russia; [Ovsepyan, Ya. S.; Averkina, N. O.; Taldenkova, E. E.] Arctic &amp; Antarctic Res Inst, St Petersburg 199397, Russia; [Averkina, N. O.; Taldenkova, E. E.] Lomonosov Moscow State Univ, Moscow 119991, Russia</t>
  </si>
  <si>
    <t>Geological Institute, Russian Academy of Sciences; Russian Academy of Sciences; Arctic &amp; Antarctic Research Institute; Lomonosov Moscow State University</t>
  </si>
  <si>
    <t>Ovsepyan, YS (corresponding author), Russian Acad Sci, Geol Inst, Moscow 119017, Russia.;Ovsepyan, YS (corresponding author), Arctic &amp; Antarctic Res Inst, St Petersburg 199397, Russia.</t>
  </si>
  <si>
    <t>yaovsepyan@yandex.ru; natal-y@mail.ru; etaldenkova@mail.ru</t>
  </si>
  <si>
    <t>Ovsepyan, Yaroslav/D-4667-2014; Taldenkova, Ekaterina/L-7853-2015</t>
  </si>
  <si>
    <t>Ovsepyan, Yaroslav/0000-0003-1172-4357</t>
  </si>
  <si>
    <t>Ministry of Science and Higher Education of the Russian Federation [RFMEFI61617X0076]</t>
  </si>
  <si>
    <t>Ministry of Science and Higher Education of the Russian Federation</t>
  </si>
  <si>
    <t>The study has been carried out under financial support of the Ministry of Science and Higher Education of the Russian Federation, project no. RFMEFI61617X0076 Changing Arctic Transpolar System.</t>
  </si>
  <si>
    <t>PLEIADES PUBLISHING INC</t>
  </si>
  <si>
    <t>MOSCOW</t>
  </si>
  <si>
    <t>PLEIADES PUBLISHING INC, MOSCOW, 00000, RUSSIA</t>
  </si>
  <si>
    <t>0031-0301</t>
  </si>
  <si>
    <t>1555-6174</t>
  </si>
  <si>
    <t>PALEONTOL J+</t>
  </si>
  <si>
    <t>Paleontol. J.</t>
  </si>
  <si>
    <t>10.1134/S0031030119090119</t>
  </si>
  <si>
    <t>KU1CW</t>
  </si>
  <si>
    <t>WOS:000519448700004</t>
  </si>
  <si>
    <t>Shiomi, K; Kokubun, N; Shimabukuro, U; Takahashi, A</t>
  </si>
  <si>
    <t>Shiomi, Kozue; Kokubun, Nobuo; Shimabukuro, Ui; Takahashi, Akinori</t>
  </si>
  <si>
    <t>Homing ability of Adelie Penguins investigated with displacement experiments and bio-logging</t>
  </si>
  <si>
    <t>ARDEA</t>
  </si>
  <si>
    <t>acceleration; GPS; homing; navigation; penguin; walk</t>
  </si>
  <si>
    <t>FORAGING BEHAVIOR; NAVIGATION; PIGEONS; COST</t>
  </si>
  <si>
    <t>Adelie Penguins Pygoscelis adeliae live exclusively in Antarctica and commute between the sea for foraging and the land for breeding. During these movements, they must navigate various environments: underwater, on sea ice and on land; an unusual set of challenges among animals. Navigation mechanisms of this species were intensively studied about 50 years ago, but technological limitation at that time made it hard to fully understand movement patterns under experimental as well as natural conditions. Recent developments in animal-borne data loggers have enabled us to record movement paths and activities of such birds. In this paper, we report the results of displacement experiments combined with bio-logging on Adelie Penguins, conducted for the first time since initial experiments more than 50 years ago. Two chick rearing birds were caught at their nests and data loggers with GPS and accelerometers were deployed on their backs. The birds were artificially displaced and released approximately 1 km from the breeding colony. From the release point, their options to return to the nest were either walking over land or swimming in the sea. The birds successfully returned to the colony 6.0 h and 8.1 h after release, taking 44 min and 41 min, respectively, from the onset of homeward movement. Both individuals took what appeared to be the straightest and shortest course crossing over land. They spent most of the homing phase (51.2% and 66.2%) walking and only entered the water - in the same place - in the last stretch homewards. The results of our study demonstrate the homing ability of Adelie Penguins from a distant location after artificial displacement and the potential use of positional and acceleration data to study the navigation of penguins that travel by both land and sea.</t>
  </si>
  <si>
    <t>[Shiomi, Kozue; Kokubun, Nobuo; Takahashi, Akinori] Natl Inst Polar Res, 10-3 Midori Cho, Tachikawa, Tokyo 1908518, Japan; [Shiomi, Kozue; Kokubun, Nobuo; Shimabukuro, Ui; Takahashi, Akinori] Grad Univ Adv Studies, Dept Polar Sci, SOKENDAI, 10-3 Midori Cho, Tachikawa, Tokyo 1908518, Japan</t>
  </si>
  <si>
    <t>Research Organization of Information &amp; Systems (ROIS); National Institute of Polar Research (NIPR) - Japan; Graduate University for Advanced Studies - Japan</t>
  </si>
  <si>
    <t>Shiomi, K (corresponding author), Natl Inst Polar Res, 10-3 Midori Cho, Tachikawa, Tokyo 1908518, Japan.;Shiomi, K (corresponding author), Grad Univ Adv Studies, Dept Polar Sci, SOKENDAI, 10-3 Midori Cho, Tachikawa, Tokyo 1908518, Japan.</t>
  </si>
  <si>
    <t>shiomikozue@gmail.com</t>
  </si>
  <si>
    <t>Shiomi, Kozue/GSO-1403-2022</t>
  </si>
  <si>
    <t>Shiomi, Kozue/0000-0002-2614-9538; SHIMABUKURO, Ui/0000-0001-5761-9558</t>
  </si>
  <si>
    <t>JSPS KAKENHI [16H06541, 16K16185, 17H05983]; Japanese Antarctic Research Expedition [AP0922, JARE59]; Grants-in-Aid for Scientific Research [16K16185, 16H06541, 17H05983] Funding Source: KAKEN</t>
  </si>
  <si>
    <t>JSPS KAKENHI(Ministry of Education, Culture, Sports, Science and Technology, Japan (MEXT)Japan Society for the Promotion of ScienceGrants-in-Aid for Scientific Research (KAKENHI)); Japanese Antarctic Research Expedition; Grants-in-Aid for Scientific Research(Ministry of Education, Culture, Sports, Science and Technology, Japan (MEXT)Japan Society for the Promotion of ScienceGrants-in-Aid for Scientific Research (KAKENHI))</t>
  </si>
  <si>
    <t>This study was financially supported by JSPS KAKENHI Grant Numbers 16H06541, 16K16185 and 17H05983 and the Japanese Antarctic Research Expedition (AP0922, JARE59). We are grateful to members of JARE 58, JARE 59 and NIPR Antarctic centre for their logistic support, to Carlo Catoni (TechnoSmart) for his support with data loggers and to two anonymous reviewers and the editor for their constructive comments. All procedures in our experiments were approved by the Ministry of the Environment, Japan, and Animal Care and Use Committee, National Institute of Polar Research.</t>
  </si>
  <si>
    <t>NEDERLANDSE ORNITHOLOGISCHE UNIE</t>
  </si>
  <si>
    <t>ZEIST</t>
  </si>
  <si>
    <t>C/O PAUL STARMANS, OUDE ARNHEMSEWEG 261, 3705 BD ZEIST, NETHERLANDS</t>
  </si>
  <si>
    <t>0373-2266</t>
  </si>
  <si>
    <t>2213-1175</t>
  </si>
  <si>
    <t>Ardea</t>
  </si>
  <si>
    <t>10.5253/arde.v107i3.a12</t>
  </si>
  <si>
    <t>KS3DA</t>
  </si>
  <si>
    <t>WOS:000518188800012</t>
  </si>
  <si>
    <t>Goyal, R; England, MH; Sen Gupta, A; Jucker, M</t>
  </si>
  <si>
    <t>Goyal, Rishav; England, Matthew H.; Sen Gupta, Alex; Jucker, Martin</t>
  </si>
  <si>
    <t>Reduction in surface climate change achieved by the 1987 Montreal Protocol</t>
  </si>
  <si>
    <t>ENVIRONMENTAL RESEARCH LETTERS</t>
  </si>
  <si>
    <t>climate change mitigation; Montreal Protocol; Antarctic ozone hole; chlorofluorocarbons; ozone depletion</t>
  </si>
  <si>
    <t>ANTARCTIC OZONE HOLE; CHLOROFLUOROCARBONS; RECOVERY; PRECIPITATION; DEPLETION; LAYER; CORE; CFCS</t>
  </si>
  <si>
    <t>The benefits of the 1987 Montreal Protocol in reducing chlorofluorocarbon emissions, repairing the stratospheric ozone hole, shielding incoming UV radiation, reducing the incidence of skin cancer and mitigating negative ecosystem effects are all well documented. Projected future climate impacts have also been described, mainly focused on a reduced impact of the mid-latitude jet as the ozone hole gradually repairs. However, there is little appreciation of the surface warming that has been avoided as a result of the Montreal Protocol, despite CFCs being potent greenhouse gases. Instead, the issue of ozone depletion and climate change are often thought of as two distinct problems, even though both ozone and CFCs impact Earth's radiation budget. Here we show that a substantial amount of warming has been avoided because of the Montreal Protocol, even after factoring in the surface cooling associated with stratospheric ozone depletion. As of today, as much as 1.1 C warming has been avoided over parts of the Arctic. Future climate benefits are even stronger, with 3 C-4 C Arctic warming and 1 C global average warming avoided by 2050; corresponding to a 25% mitigation of global warming. The Montreal Protocol has thus not only been a major success in repairing the stratospheric ozone hole, it has also achieved substantial mitigation of anthropogenic climate change both today and into the future.</t>
  </si>
  <si>
    <t>[Goyal, Rishav; England, Matthew H.; Sen Gupta, Alex; Jucker, Martin] Univ New South Wales, Climate Change Res Ctr, Sydney, NSW 2052, Australia; [Goyal, Rishav; England, Matthew H.] Univ New South Wales, ARC Ctr Excellence Climate Extremes, Sydney, NSW, Australia</t>
  </si>
  <si>
    <t>University of New South Wales Sydney; University of New South Wales Sydney</t>
  </si>
  <si>
    <t>Goyal, R (corresponding author), Univ New South Wales, Climate Change Res Ctr, Sydney, NSW 2052, Australia.;Goyal, R (corresponding author), Univ New South Wales, ARC Ctr Excellence Climate Extremes, Sydney, NSW, Australia.</t>
  </si>
  <si>
    <t>rishay.goyal@unsw.edu.au</t>
  </si>
  <si>
    <t>England, Matthew/A-7539-2011; Jucker, Martin/C-3914-2014; Sen Gupta, Alexander/B-7995-2011</t>
  </si>
  <si>
    <t>England, Matthew/0000-0001-9696-2930; Jucker, Martin/0000-0002-4227-315X; Goyal, Rishav/0000-0002-0307-4692; Sen Gupta, Alexander/0000-0001-5226-871X</t>
  </si>
  <si>
    <t>Australian Research Council (ARC); ARC Centre of Excellence for Climate Extremes; Merit Allocation Scheme on the NCI National Facility at the ANU, Canberra</t>
  </si>
  <si>
    <t>Australian Research Council (ARC)(Australian Research Council); ARC Centre of Excellence for Climate Extremes; Merit Allocation Scheme on the NCI National Facility at the ANU, Canberra</t>
  </si>
  <si>
    <t>This work was supported by the Australian Research Council (ARC) including the ARC Centre of Excellence for Climate Extremes, and an award under the Merit Allocation Scheme on the NCI National Facility at the ANU, Canberra. We thank Paul Newman from the National Aeronautics and Space Administration (NASA) Goddard Space Flight Center for generously providing the No Protocol ozone depleting substance (ODS) and ozone concentrations used to force our model experiments. Wealso thank Jules B. Katjar from the University of Exeter for providing the global averaged surface temperatures from CMIP5 models used to compare ACCESS1.0 with other CMIP5 models.</t>
  </si>
  <si>
    <t>IOP Publishing Ltd</t>
  </si>
  <si>
    <t>TEMPLE CIRCUS, TEMPLE WAY, BRISTOL BS1 6BE, ENGLAND</t>
  </si>
  <si>
    <t>1748-9326</t>
  </si>
  <si>
    <t>ENVIRON RES LETT</t>
  </si>
  <si>
    <t>Environ. Res. Lett.</t>
  </si>
  <si>
    <t>10.1088/1748-9326/ab4874</t>
  </si>
  <si>
    <t>KN4UE</t>
  </si>
  <si>
    <t>WOS:000514833200016</t>
  </si>
  <si>
    <t>Savas, C; Dovis, F</t>
  </si>
  <si>
    <t>Savas, Caner; Dovis, Fabio</t>
  </si>
  <si>
    <t>The Impact of Different Kernel Functions on the Performance of Scintillation Detection Based on Support Vector Machines</t>
  </si>
  <si>
    <t>GNSS; scintillation; support vector machines; kernel; Gaussian; polynomial</t>
  </si>
  <si>
    <t>GNSS IONOSPHERIC SCINTILLATIONS</t>
  </si>
  <si>
    <t>Scintillation caused by the electron density irregularities in the ionospheric plasma leads to rapid fluctuations in the amplitude and phase of the Global Navigation Satellite Systems (GNSS) signals. Ionospheric scintillation severely degrades the performance of the GNSS receiver in the signal acquisition, tracking, and positioning. By utilizing the GNSS signals, detecting and monitoring the scintillation effects to decrease the effect of the disturbing signals have gained importance, and machine learning-based algorithms have been started to be applied for the detection. In this paper, the performance of Support Vector Machines (SVM) for scintillation detection is discussed. The effect of the different kernel functions, namely, linear, Gaussian, and polynomial, on the performance of the SVM algorithm is analyzed. Performance is statistically assessed in terms of probabilities of detection and false alarm of the scintillation event. Real GNSS signals that are affected by significant phase and amplitude scintillation effect, collected at the South African Antarctic research base SANAE IV and Hanoi, Vietnam have been used in this study. This paper questions how to select a suitable kernel function by analyzing the data preparation, cross-validation, and experimental test stages of the SVM-based process for scintillation detection. It has been observed that the overall accuracy of fine Gaussian SVM outperforms the linear, which has the lowest complexity and running time. Moreover, the third-order polynomial kernel provides improved performance compared to linear, coarse, and medium Gaussian kernel SVMs, but it comes with a cost of increased complexity and running time.</t>
  </si>
  <si>
    <t>[Savas, Caner; Dovis, Fabio] Politecn Torino, Dept Elect &amp; Telecommun, I-10129 Turin, Italy</t>
  </si>
  <si>
    <t>Polytechnic University of Turin</t>
  </si>
  <si>
    <t>Savas, C (corresponding author), Politecn Torino, Dept Elect &amp; Telecommun, I-10129 Turin, Italy.</t>
  </si>
  <si>
    <t>caner.savas@polito.it; fabio.dovis@polito.it</t>
  </si>
  <si>
    <t>Dovis, Fabio/F-3843-2012; SAVAS, Caner/AAJ-7383-2021</t>
  </si>
  <si>
    <t>Dovis, Fabio/0000-0001-6078-9099; SAVAS, Caner/0000-0001-7626-9899</t>
  </si>
  <si>
    <t>European Union's Horizon 2020 Research and Innovation Programme within Marie Sklodowska-Curie Actions (MSCA) Innovative Training Network (ITN) [722023]</t>
  </si>
  <si>
    <t>European Union's Horizon 2020 Research and Innovation Programme within Marie Sklodowska-Curie Actions (MSCA) Innovative Training Network (ITN)(European Union (EU))</t>
  </si>
  <si>
    <t>This research work is undertaken under the framework of the TREASURE project (Grant Agreement No. 722023) funded by European Union's Horizon 2020 Research and Innovation Programme within Marie Sklodowska-Curie Actions (MSCA) Innovative Training Network (ITN).</t>
  </si>
  <si>
    <t>10.3390/s19235219</t>
  </si>
  <si>
    <t>KD1BI</t>
  </si>
  <si>
    <t>WOS:000507606200162</t>
  </si>
  <si>
    <t>Haas, B; Haward, M; McGee, J; Fleming, A</t>
  </si>
  <si>
    <t>Haas, Bianca; Haward, Marcus; McGee, Jeffrey; Fleming, Aysha</t>
  </si>
  <si>
    <t>The influence of performance reviews on regional fisheries management organizations</t>
  </si>
  <si>
    <t>fisheries management; management performance; ocean governance; SDGs</t>
  </si>
  <si>
    <t>Regional fisheries management organizations (RFMOs) are key bodies responsible for managing fisheries on the high seas and also in areas of the ocean under national jurisdiction. The performance of RFMOs has, however, become the focus of broad-based criticism in the context of increasing fishing effort, the scale, and sophistication of illegal, unregulated and unreported fishing, and concerns over the wider environmental impacts of fishing activities. In response to these criticisms, the United Nations General Assembly has called on RFMOs to carry out performance reviews (PRs) to assess their record in fisheries management. PRs can provide the opportunity to assess the strengths and weaknesses of past actions by specific RFMOs. There is, however, limited information and analysis available on the progress made by RFMOs after PRs have been carried out. To fill this gap, this paper assesses the performance of five RFMOs that have undergone PRs on two occasions. The paper assesses the performance of these five RFMOs against a scoring system that analyses improvements made after the first PR based on the recommendations made in the second PR. This analysis is encouraging, as all five RFMOs demonstrated significant improvement in their performance in the period after their initial PR, especially in conservation and management and international cooperation activities.</t>
  </si>
  <si>
    <t>[Haas, Bianca; Haward, Marcus; McGee, Jeffrey] Inst Marine &amp; Antarctic Studies, Private Bag 129, Hobart, Tas 7001, Australia; [Haas, Bianca; Haward, Marcus; McGee, Jeffrey; Fleming, Aysha] Univ Tasmania, Ctr Marine Socioecol, Private Bag 129, Hobart, Tas 7001, Australia; [McGee, Jeffrey] Univ Tasmania, Fac Law, Private Bag 89, Hobart, Tas 7001, Australia; [Fleming, Aysha] CSIRO Land &amp; Water, Battery Point, Tas 7001, Australia</t>
  </si>
  <si>
    <t>University of Tasmania; University of Tasmania; University of Tasmania; Commonwealth Scientific &amp; Industrial Research Organisation (CSIRO)</t>
  </si>
  <si>
    <t>Haas, B (corresponding author), Inst Marine &amp; Antarctic Studies, Private Bag 129, Hobart, Tas 7001, Australia.;Haas, B (corresponding author), Univ Tasmania, Ctr Marine Socioecol, Private Bag 129, Hobart, Tas 7001, Australia.</t>
  </si>
  <si>
    <t>Bianca.Haas@utas.edu.au</t>
  </si>
  <si>
    <t>McGee, Jeffrey s/K-7322-2015; Fleming, Aysha/E-8753-2011; Haward, Marcus/G-3369-2014</t>
  </si>
  <si>
    <t>Fleming, Aysha/0000-0001-9895-1928; Haas, Bianca/0000-0002-7322-2929; Haward, Marcus/0000-0003-4775-0864</t>
  </si>
  <si>
    <t>10.1093/icesjms/fsz088</t>
  </si>
  <si>
    <t>KF8TN</t>
  </si>
  <si>
    <t>WOS:000509509500013</t>
  </si>
  <si>
    <t>Daley, RK; Hobday, AJ; Semmens, JM</t>
  </si>
  <si>
    <t>Daley, Ross K.; Hobday, Alistair J.; Semmens, Jayson M.</t>
  </si>
  <si>
    <t>Simulation-based evaluation of reserve network performance for Centrophorus zeehaani (Centrophoridae): a protected deep-sea gulper shark</t>
  </si>
  <si>
    <t>adaptive management; individual based model; marine reserve; simulation</t>
  </si>
  <si>
    <t>MARINE; SIZE</t>
  </si>
  <si>
    <t>Resource use and conservation objectives can conflict where protected species and commercially fished species occur together. We tested the potential for a previously overfished deep-sea shark (Centrophorus zeehaani) with very low biological productivity to recover in a network of three reserves. An individual-based simulation model was developed and applied using reproduction and movement data. Without any reserves or reductions in fishing mortality the population will never recover and will fail in 27.9 +/- 6.1 years. With three reserves, recovery from 8% of initial numbers to a target of 20% would take 63.1 +/- 3.1 years with the network in place. Length of the female cycle, natural mortality, and density dependent female dispersal are uncertain, but could delay recovery time by an additional 16.5, 98.3, or 61.9 years, respectively. Effectiveness of the reserve network was particularly sensitive to location and patchiness of the population. Doubling the size of a reserve where C. zeehaani are abundant would reduce recovery time by 12.5 years; halving it would increase recovery time by 12.0 years. Future reopening of orange roughy fishing in waters deeper than 750 m would delay recovery of C. zeehaani by 45.9 years. The methods developed here can be used to explore co-management options for target species and protected species in fisheries.</t>
  </si>
  <si>
    <t>[Daley, Ross K.; Semmens, Jayson M.] Univ Tasmania, Inst Marine &amp; Antarctic Studies, Hobart, Tas 7000, Australia; [Daley, Ross K.; Hobday, Alistair J.] CSIRO Oceans &amp; Atmosphere, GPO Box 1538, Hobart, Tas 7000, Australia</t>
  </si>
  <si>
    <t>University of Tasmania; Commonwealth Scientific &amp; Industrial Research Organisation (CSIRO)</t>
  </si>
  <si>
    <t>Daley, RK (corresponding author), Univ Tasmania, Inst Marine &amp; Antarctic Studies, Hobart, Tas 7000, Australia.;Daley, RK (corresponding author), CSIRO Oceans &amp; Atmosphere, GPO Box 1538, Hobart, Tas 7000, Australia.</t>
  </si>
  <si>
    <t>rossk.daley@gmail.com</t>
  </si>
  <si>
    <t>Hobday, Alistair/A-1460-2012</t>
  </si>
  <si>
    <t>Daley, Ross/0000-0002-1248-6007; Semmens, Jayson/0000-0003-1742-6692</t>
  </si>
  <si>
    <t>10.1093/icesjms/fsz087</t>
  </si>
  <si>
    <t>WOS:000509509500033</t>
  </si>
  <si>
    <t>De Robertis, A; Lawrence-Slavas, N; Jenkins, R; Wangen, I; Mordy, CW; Meinig, C; Levine, M; Peacock, D; Tabisola, H</t>
  </si>
  <si>
    <t>De Robertis, Alex; Lawrence-Slavas, Noah; Jenkins, Richard; Wangen, Ivar; Mordy, Calvin W.; Meinig, Christian; Levine, Mike; Peacock, Dave; Tabisola, Heather</t>
  </si>
  <si>
    <t>Long-term measurements of fish backscatter from Saildrone unmanned surface vehicles and comparison with observations from a noise-reduced research vessel</t>
  </si>
  <si>
    <t>acoustic survey; autonomous vehicle; unmanned surface vehicle; vessel avoidance</t>
  </si>
  <si>
    <t>ANTARCTIC KRILL; ECHO SOUNDERS; ACOUSTIC DATA; OCEAN; INTEGRATION; ABUNDANCE; SEA; ZOOPLANKTON; ATTENUATION; ECHOSOUNDER</t>
  </si>
  <si>
    <t>Two Saildrone unmanned surface vehicles (USVs) were instrumented with echosounders and deployed in the Bering Sea to make acoustic observations of walleye pollock for 103 days. The Saildrones proved to be a suitable platform for measurement of fish backscatter: they produced high-quality measurements at wind speeds of &lt;10 m s(-1). Pollock backscatter measured from the Saildrones was compared to backscatter measured by a noise-reduced research vessel during two follow-the-leader comparisons. In a location where pollock were shallowly distributed (30-100 m), there was evidence of depth-dependent avoidance reactions to the ship. This behaviour was not evident in a second comparison, where the fish were primarily deeper than 90 m. Opportunistic comparisons indicate that backscatter where the ship and USVs crossed paths was similar. However, the Saildrones observed higher densities of shallow fish, which is consistent with the diving response inferred in the first follow-the-leader comparison. USVs equipped with echosounders, like all platforms, have inherent strengths (endurance) and limitations (species identification) that should be carefully considered for a given application. USVs can complement traditional ship-based surveys by increasing the spatial and temporal extent of acoustic observations, and their use is likely to become more widespread.</t>
  </si>
  <si>
    <t>[De Robertis, Alex; Levine, Mike] NOAA, Alaska Fisheries Sci Ctr, 7600 Sand Point Way NE, Seattle, WA 98115 USA; [Lawrence-Slavas, Noah; Mordy, Calvin W.; Meinig, Christian; Tabisola, Heather] NOAA, Pacific Marine Environm Lab, 7600 Sand Point Way NE, Seattle, WA 98115 USA; [Jenkins, Richard; Peacock, Dave] Saildrone Inc, 1050 W Tower Ave, Alameda, CA 94501 USA; [Wangen, Ivar] Kongsberg Maritime AS, Strandpromenaden 50,POB 111, N-3191 Horten, Norway; [Mordy, Calvin W.; Tabisola, Heather] Univ Washington, Joint Inst Study Atmosphere &amp; Ocean, 3737 Brooklyn Ave NE, Seattle, WA 98195 USA</t>
  </si>
  <si>
    <t>National Oceanic Atmospheric Admin (NOAA) - USA; National Oceanic Atmospheric Admin (NOAA) - USA; University of Washington; University of Washington Seattle</t>
  </si>
  <si>
    <t>De Robertis, A (corresponding author), NOAA, Alaska Fisheries Sci Ctr, 7600 Sand Point Way NE, Seattle, WA 98115 USA.</t>
  </si>
  <si>
    <t>alex.derobertis@noaa.gov</t>
  </si>
  <si>
    <t>Mordy, Calvin W/J-6808-2017</t>
  </si>
  <si>
    <t>De Robertis, Alex/0000-0001-6268-0791</t>
  </si>
  <si>
    <t>NOAA office of Oceanic and Atmospheric Research; NOAA office of Marine and Aviation Operations; National Marine Fisheries Service; University of Washington's Joint Institute for the study of the Atmosphere and Ocean, JISAO [NA15OAR4320063]</t>
  </si>
  <si>
    <t>NOAA office of Oceanic and Atmospheric Research(National Oceanic Atmospheric Admin (NOAA) - USA); NOAA office of Marine and Aviation Operations(National Oceanic Atmospheric Admin (NOAA) - USA); National Marine Fisheries Service; University of Washington's Joint Institute for the study of the Atmosphere and Ocean, JISAO</t>
  </si>
  <si>
    <t>This work was supported by NOAA's offices of Oceanic and Atmospheric Research, and Marine and Aviation Operations, the National Marine Fisheries Service, and the University of Washington's Joint Institute for the study of the Atmosphere and Ocean, JISAO (agreement NA15OAR4320063). This is contribution 4915 from NOAA's Pacific Marine Environmental Laboratory. Reference to trade names does not imply endorsement by the National Marine Fisheries Service, NOAA.</t>
  </si>
  <si>
    <t>10.1093/icesjms/fsz124</t>
  </si>
  <si>
    <t>WOS:000509509500045</t>
  </si>
  <si>
    <t>Marshall, RA; Xu, W; Sousa, A; McCarthy, M; Millan, R</t>
  </si>
  <si>
    <t>Marshall, R. A.; Xu, W.; Sousa, A.; McCarthy, M.; Millan, R.</t>
  </si>
  <si>
    <t>X-ray Signatures of Lightning-Induced Electron Precipitation</t>
  </si>
  <si>
    <t>WHISTLER WAVES; PERTURBATIONS; RADIATION; IONOSPHERE; SIMULATION; LOSSES; PHASE; MODEL</t>
  </si>
  <si>
    <t>We present detailed numerical modeling to predict expected X-ray signatures from lightning-induced electron precipitation (LEP) events. Simulations include the transionospheric propagation of the lightning electromagnetic pulse; ray tracing through the magnetosphere, including Landau damping; wave-particle interactions resulting in loss cone fluxes; and Monte Carlo simulation of the electron precipitation process, including bremsstrahlung photon production and propagation to a balloon observing platform. Modeling is included to show that our simulated events are consistent with subionospheric very low frequency observations of LEP. Simulations show that these events should be observable from balloon-based platforms. The modeled LEP event signatures, including X-ray flux, spectrum, and pulse shape, are then compared with observations of energetic X-ray pulses from the Balloon Array for Radiation-belt Relativistic Electron Losses 1U balloon taken in January 2013 and are shown to be highly consistent with the observations. The pulses were observed near L = 4, while the balloon was off the coast of Antarctica at about 70 degrees S, 5-20 degrees W. Correlations with GOES imagery and global lightning data, together with analysis of the temporal and spectral signatures of these pulses, led to the initial suggestion that these events could be signatures of LEP. However, for only a fraction of these events could a causative lightning discharge be identified in global lightning data sets. This poor correlation may be partially attributed to causative strokes being missed by the global lightning networks; nonetheless, we discuss other possible explanations for these events.</t>
  </si>
  <si>
    <t>[Marshall, R. A.; Xu, W.; Sousa, A.] Univ Colorado, Ann &amp; HJ Smead Dept Aerosp Engn Sci, Boulder, CO 80309 USA; [McCarthy, M.] Univ Washington, Dept Earth &amp; Space Sci, Seattle, WA 98195 USA; [Millan, R.] Dartmouth Coll, Dept Phys &amp; Astron, Hanover, NH 03755 USA</t>
  </si>
  <si>
    <t>University of Colorado System; University of Colorado Boulder; University of Washington; University of Washington Seattle; Dartmouth College</t>
  </si>
  <si>
    <t>Xu, W (corresponding author), Univ Colorado, Ann &amp; HJ Smead Dept Aerosp Engn Sci, Boulder, CO 80309 USA.</t>
  </si>
  <si>
    <t>wexu6668@colorado.edu</t>
  </si>
  <si>
    <t>xu, wei/AAL-4770-2021; Marshall, Robert A/N-1396-2016</t>
  </si>
  <si>
    <t>NSF MAG Award [AGS1732359]; NASA [NNX08AM58G]; NASA Balloon Program Office; National Science Foundation Office of Polar Programs; NERC/British Antarctic Survey; SANAP, the South African National Antarctic Program; NASA [NNX08AM58G, 94485] Funding Source: Federal RePORTER</t>
  </si>
  <si>
    <t>NSF MAG Award; NASA(National Aeronautics &amp; Space Administration (NASA)); NASA Balloon Program Office(National Aeronautics &amp; Space Administration (NASA)); National Science Foundation Office of Polar Programs(National Science Foundation (NSF)NSF - Directorate for Geosciences (GEO)); NERC/British Antarctic Survey(UK Research &amp; Innovation (UKRI)Natural Environment Research Council (NERC)); SANAP, the South African National Antarctic Program; NASA(National Aeronautics &amp; Space Administration (NASA))</t>
  </si>
  <si>
    <t>This work was supported by NSF MAG Award AGS1732359. BARREL was supported by NASA Grant NNX08AM58G. Support for BARREL operations was provided by the NASA Balloon Program Office, the National Science Foundation Office of Polar Programs, NERC/British Antarctic Survey, and SANAP, the South African National Antarctic Program. We sincerely thank Dr. Robert Holzworth for access to WWLLN data and Dr. Ryan Said from Vaisala, Inc. for providing GLD360 lightning data and analysis of the GLD360 data set. The BARREL data can be accessed from the Coordinated Data AnalysisWeb (CDAWeb, https://cdaweb.sci.gsfc.nasa.gov/).The simulation outputs used in the analysis and results herein are available online (https://doi.org/10.5281/zenodo.3551307).</t>
  </si>
  <si>
    <t>10.1029/2019JA027044</t>
  </si>
  <si>
    <t>WOS:000509195700032</t>
  </si>
  <si>
    <t>Baker, MG; Aster, RC; Anthony, RE; Chaput, J; Wiens, DA; Nyblade, A; Bromirski, PD; Gerstoft, P; Stephen, RA</t>
  </si>
  <si>
    <t>Baker, Michael G.; Aster, Richard C.; Anthony, Robert E.; Chaput, Julien; Wiens, Douglas A.; Nyblade, Andrew; Bromirski, Peter D.; Gerstoft, Peter; Stephen, Ralph A.</t>
  </si>
  <si>
    <t>Seasonal and spatial variations in the ocean-coupled ambient wavefield of the Ross Ice Shelf</t>
  </si>
  <si>
    <t>JOURNAL OF GLACIOLOGY</t>
  </si>
  <si>
    <t>Antarctic glaciology; ice shelves; seismology</t>
  </si>
  <si>
    <t>DRIFTING ICEBERGS; WEST ANTARCTICA; SEISMIC NOISE; GRAVITY-WAVES; BAND; SEA; MICROSEISMS; PROPAGATION; VARIABILITY; SURFACE</t>
  </si>
  <si>
    <t>The Ross Ice Shelf (RIS) is host to a broadband, multimode seismic wavefield that is excited in response to atmospheric, oceanic and solid Earth source processes. A 34-station broadband seismographic network installed on the RIS from late 2014 through early 2017 produced continuous vibrational observations of Earth's largest ice shelf at both floating and grounded locations. We characterize temporal and spatial variations in broadband ambient wavefield power, with a focus on period bands associated with primary (10-20 s) and secondary (5-10 s) microseism signals, and an oceanic source process near the ice front (0.4-4.0 s). Horizontal component signals on floating stations overwhelmingly reflect oceanic excitations year-round due to near-complete isolation from solid Earth shear waves. The spectrum at all periods is shown to be strongly modulated by the concentration of sea ice near the ice shelf front. Contiguous and extensive sea ice damps ocean wave coupling sufficiently so that wintertime background levels can approach or surpass those of land-sited stations in Antarctica.</t>
  </si>
  <si>
    <t>[Baker, Michael G.; Aster, Richard C.; Anthony, Robert E.] Colorado State Univ, Dept Geosci, Ft Collins, CO 80523 USA; [Chaput, Julien] Univ Texas El Paso, Dept Geol Sci, El Paso, TX 79968 USA; [Wiens, Douglas A.] Washington Univ, Dept Earth &amp; Planetary Sci, St Louis, MO 63130 USA; [Nyblade, Andrew] Penn State Univ, Dept Geosci, University Pk, PA 16802 USA; [Bromirski, Peter D.; Gerstoft, Peter] Univ Calif San Diego, Scripps Inst Oceanog, La Jolla, CA 92093 USA; [Stephen, Ralph A.] Woods Hole Oceanog Inst, Woods Hole, MA 02543 USA; [Anthony, Robert E.] Albuquerque Seismol Lab, Albuquerque, NM USA</t>
  </si>
  <si>
    <t>Colorado State University; University of Texas System; University of Texas El Paso; Washington University (WUSTL); Pennsylvania Commonwealth System of Higher Education (PCSHE); Pennsylvania State University; Pennsylvania State University - University Park; University of California System; University of California San Diego; Scripps Institution of Oceanography; Woods Hole Oceanographic Institution</t>
  </si>
  <si>
    <t>Baker, MG (corresponding author), Colorado State Univ, Dept Geosci, Ft Collins, CO 80523 USA.</t>
  </si>
  <si>
    <t>mgbaker@colostate.edu</t>
  </si>
  <si>
    <t>Anthony, Rob/J-2212-2017; Gerstoft, Peter/B-2842-2009; Wiens, Douglas/J-9259-2016</t>
  </si>
  <si>
    <t>Gerstoft, Peter/0000-0002-0471-062X; Baker, Michael/0000-0002-4580-6820; Anthony, Robert/0000-0001-7089-8846; Wiens, Douglas/0000-0002-5169-4386</t>
  </si>
  <si>
    <t>NSF [PLR-1142518, 1141916, 1142126, 1246151, 1246416, ANT-1543305]; Yates funds in the Colorado State University Department of Mathematics; California Department of Parks and Recreation, Division of Boating and Waterways [11-106-107]; National Science Foundation [EAR-1261681]; DOE National Nuclear Security Administration; University of Wisconsin-Madison Automatic Weather Station Program; Directorate For Geosciences; Office of Polar Programs (OPP) [1246151] Funding Source: National Science Foundation; Directorate For Geosciences; Office of Polar Programs (OPP) [1142126, 1246416] Funding Source: National Science Foundation</t>
  </si>
  <si>
    <t>NSF(National Science Foundation (NSF)); Yates funds in the Colorado State University Department of Mathematics; California Department of Parks and Recreation, Division of Boating and Waterways; National Science Foundation(National Science Foundation (NSF)); DOE National Nuclear Security Administration(National Nuclear Security AdministrationUnited States Department of Energy (DOE)); University of Wisconsin-Madison Automatic Weather Station Program; Directorate For Geosciences; Office of Polar Programs (OPP)(National Science Foundation (NSF)NSF - Directorate for Geosciences (GEO)); Directorate For Geosciences; Office of Polar Programs (OPP)(National Science Foundation (NSF)NSF - Directorate for Geosciences (GEO))</t>
  </si>
  <si>
    <t>This research was supported by NSF grants PLR-1142518, 1141916, 1142126, 1246151 and 1246416. JC was additionally supported by Yates funds in the Colorado State University Department of Mathematics. PDB also received support from the California Department of Parks and Recreation, Division of Boating and Waterways under contract 11-106-107. We thank Reinhard Flick and Patrick Shore for their support during field work, Tom Bolmer in locating stations and preparing maps, and the US Antarctic Program for logistical support. The seismic instruments were provided by the Incorporated Research Institutions for Seismology (IRIS) through the PASSCAL Instrument Center at New Mexico Tech. Data collected are available through the IRIS Data Management Center under RIS and DRIS network code XH. The PSD-PDFs presented in this study were processed with the IRIS Noise Tool Kit (Bahavar and others, 2013). The facilities of the IRIS Consortium are supported by the National Science Foundation under Cooperative Agreement EAR-1261681 and the DOE National Nuclear Security Administration. The authors appreciate the support of the University of Wisconsin-Madison Automatic Weather Station Program for the data set, data display and information; funded under NSF grant number ANT-1543305. The Ross Ice Shelf profiles were generated using the Antarctic Mapping Tools (Greene and others, 2017). Regional maps were generated with the Generic Mapping Tools (Wessel and Smith, 1998). Topography and bathymetry data for all maps in this study were sourced from the National Geophysical Data Center ETOPO1 Global Relief Model (doi:10.7289/V5C8276M). We thank two anonymous reviewers for suggestions on the scope and organization of this paper.</t>
  </si>
  <si>
    <t>0022-1430</t>
  </si>
  <si>
    <t>1727-5652</t>
  </si>
  <si>
    <t>J GLACIOL</t>
  </si>
  <si>
    <t>J. Glaciol.</t>
  </si>
  <si>
    <t>10.1017/jog.2019.64</t>
  </si>
  <si>
    <t>KH4PO</t>
  </si>
  <si>
    <t>WOS:000510631500004</t>
  </si>
  <si>
    <t>Mills, SC; Le Brocq, AM; Winter, K; Smith, M; Hillier, J; Ardakova, E; Boston, CM; Sugden, D; Woodward, J</t>
  </si>
  <si>
    <t>Mills, Stephanie C.; Le Brocq, Anne M.; Winter, Kate; Smith, Michael; Hillier, John; Ardakova, Ekaterina; Boston, Clare M.; Sugden, David; Woodward, John</t>
  </si>
  <si>
    <t>Testing and application of a model for snow redistribution (Snow_Blow) in the Ellsworth Mountains, Antarctica</t>
  </si>
  <si>
    <t>Antarctic glaciology; glaciological model experiments; wind-blown snow</t>
  </si>
  <si>
    <t>YOUNGER DRYAS GLACIERS; MASS-BALANCE; PRECIPITATION PATTERNS; KATABATIC WINDS; WEST ANTARCTICA; SOUTHERN AFRICA; SEASONAL SNOW; ARCTIC ALASKA; RECONSTRUCTION; TRANSPORT</t>
  </si>
  <si>
    <t>Wind-driven snow redistribution can increase the spatial heterogeneity of snow accumulation on ice caps and ice sheets, and may prove crucial for the initiation and survival of glaciers in areas of marginal glaciation. We present a snowdrift model (Snow_Blow), which extends and improves the model of Purves, Mackaness and Sugden (1999, Journal of Quaternary Science 14, 313-321). The model calculates spatial variations in relative snow accumulation that result from variations in topography, using a digital elevation model (DEM) and wind direction as inputs. Improvements include snow redistribution using a flux routing algorithm, DEM resolution independence and the addition of a slope curvature component. This paper tests Snow_Blow in Antarctica (a modern environment) and reveals its potential for application in palaeoenvironmental settings, where input meteorological data are unavailable and difficult to estimate. Specifically, Snow_Blow is applied to the Ellsworth Mountains in West Antarctica where ablation is considered to be predominantly related to wind erosion processes. We find that Snow_Blow is able to replicate well the existing distribution of accumulating snow and snow erosion as recorded in and around Blue Ice Areas. Lastly, a variety of model parameters are tested, including depositional distance and erosion vs wind speed, to provide the most likely input parameters for palaeoenvironmental reconstructions.</t>
  </si>
  <si>
    <t>[Mills, Stephanie C.] Univ Wollongong, Sch Earth Atmospher &amp; Life Sci, Wollongong, NSW 2522, Australia; [Mills, Stephanie C.; Smith, Michael] Plymouth Univ, Sch Geog Earth &amp; Environm Sci, Plymouth PL4 8AA, Devon, England; [Le Brocq, Anne M.] Univ Exeter, Coll Life &amp; Environm Sci, Geog, Exeter EX4 4RJ, Devon, England; [Winter, Kate; Woodward, John] Northumbria Univ, Fac Engn &amp; Environm, Dept Geog &amp; Environm Sci, Newcastle Upon Tyne NE1 8ST, Tyne &amp; Wear, England; [Hillier, John] Loughborough Univ, Dept Geog, Loughborough LE11 3TU, Leics, England; [Ardakova, Ekaterina] Kingston Univ London, Dept Geog Geol &amp; Environm, Penrhyn Rd, Kingston Upon Thames KT1 2EE, Surrey, England; [Boston, Clare M.] Univ Portsmouth, Dept Geog, Buckingham Bldg,Lion Terrace, Portsmouth PO1 3HE, Hants, England; [Sugden, David] Univ Edinburgh, Sch GeoSci, Edinburgh EH8 9XP, Midlothian, Scotland</t>
  </si>
  <si>
    <t>University of Wollongong; University of Plymouth; University of Exeter; Northumbria University; Loughborough University; Kingston University; University of Portsmouth; University of Edinburgh</t>
  </si>
  <si>
    <t>Mills, SC (corresponding author), Univ Wollongong, Sch Earth Atmospher &amp; Life Sci, Wollongong, NSW 2522, Australia.;Mills, SC (corresponding author), Plymouth Univ, Sch Geog Earth &amp; Environm Sci, Plymouth PL4 8AA, Devon, England.</t>
  </si>
  <si>
    <t>smills@uow.edu.au</t>
  </si>
  <si>
    <t>Woodward, John/I-1046-2013; Hillier, John/D-1484-2009</t>
  </si>
  <si>
    <t>Le Brocq, Anne/0000-0003-2917-4947; Woodward, John/0000-0002-4980-4080; Hillier, John/0000-0002-0221-8383; Mills, Stephanie/0000-0003-3228-6851; Winter, Kate/0000-0003-2389-8637</t>
  </si>
  <si>
    <t>UK Natural Environment Research Council (NERC) [NE/I027576/1, NE/I025840/1, NE/I025263/1]; Kingston University; NERC [NE/I027576/1, NE/I025263/1] Funding Source: UKRI</t>
  </si>
  <si>
    <t>UK Natural Environment Research Council (NERC)(UK Research &amp; Innovation (UKRI)Natural Environment Research Council (NERC)); Kingston University; NERC(UK Research &amp; Innovation (UKRI)Natural Environment Research Council (NERC))</t>
  </si>
  <si>
    <t>We acknowledge funding from Kingston University to EA for the initial development of the model. Project work in the southern Heritage Range was funded by the UK Natural Environment Research Council (NERC) standard grants NE/I027576/1, NE/I025840/1 and NE/I025263/1. We thank the two anonymous reviewers for their constructive comments.</t>
  </si>
  <si>
    <t>10.1017/jog.2019.70</t>
  </si>
  <si>
    <t>WOS:000510631500007</t>
  </si>
  <si>
    <t>Cimoli, E; Meiners, KM; Lucieer, A; Lucieer, V</t>
  </si>
  <si>
    <t>Cimoli, Emiliano; Meiners, Klaus M.; Lucieer, Arko; Lucieer, Vanessa</t>
  </si>
  <si>
    <t>An Under-Ice Hyperspectral and RGB Imaging System to Capture Fine-Scale Biophysical Properties of Sea Ice</t>
  </si>
  <si>
    <t>sea ice; ice algae; biomass; hyperspectral imaging; fine-scale; photogrammetry; under-ice; underwater; antarctica; structure from motion</t>
  </si>
  <si>
    <t>STRUCTURE-FROM-MOTION; REMOTE-SENSING REFLECTANCE; HIGH-RESOLUTION; ALGAL BIOMASS; SPATIAL VARIABILITY; CHLOROPHYLL CONTENT; SURFACE-ROUGHNESS; LOW-COST; SPECTROSCOPY; PHOTOGRAMMETRY</t>
  </si>
  <si>
    <t>Sea-ice biophysical properties are characterized by high spatio-temporal variability ranging from the meso- to the millimeter scale. Ice coring is a common yet coarse point sampling technique that struggles to capture such variability in a non-invasive manner. This hinders quantification and understanding of ice algae biomass patchiness and its complex interaction with some of its sea ice physical drivers. In response to these limitations, a novel under-ice sled system was designed to capture proxies of biomass together with 3D models of bottom topography of land-fast sea-ice. This system couples a pushbroom hyperspectral imaging (HI) sensor with a standard digital RGB camera and was trialed at Cape Evans, Antarctica. HI aims to quantify per-pixel chlorophyll-a content and other ice algae biological properties at the ice-water interface based on light transmitted through the ice. RGB imagery processed with digital photogrammetry aims to capture under-ice structure and topography. Results from a 20 m transect capturing a 0.61 m wide swath at sub-mm spatial resolution are presented. We outline the technical and logistical approach taken and provide recommendations for future deployments and developments of similar systems. A preliminary transect subsample was processed using both established and novel under-ice bio-optical indices (e.g., normalized difference indexes and the area normalized by the maximal band depth) and explorative analyses (e.g., principal component analyses) to establish proxies of algal biomass. This first deployment of HI and digital photogrammetry under-ice provides a proof-of-concept of a novel methodology capable of delivering non-invasive and highly resolved estimates of ice algal biomass in-situ, together with some of its environmental drivers. Nonetheless, various challenges and limitations remain before our method can be adopted across a range of sea-ice conditions. Our work concludes with suggested solutions to these challenges and proposes further method and system developments for future research.</t>
  </si>
  <si>
    <t>[Cimoli, Emiliano; Lucieer, Vanessa] Univ Tasmania, Coll Sci &amp; Engn, Inst Marine &amp; Antarctic Studies, Private Bag 129, Hobart, Tas 7001, Australia; [Meiners, Klaus M.] Australian Govt, Environm &amp; Energy Dept, Australian Antarctic Div, Kingston, Tas 7050, Australia; [Meiners, Klaus M.] Univ Tasmania, Australian Antarctic Program Partnership, Hobart, Tas 7001, Australia; [Lucieer, Arko] Univ Tasmania, Coll Sci &amp; Engn, Sch Technol Environm &amp; Design, Discipline Geog &amp; Spatial Sci, Private Bag 76, Hobart, Tas 7001, Australia</t>
  </si>
  <si>
    <t>University of Tasmania; Australian Antarctic Division; University of Tasmania; University of Tasmania</t>
  </si>
  <si>
    <t>Cimoli, E (corresponding author), Univ Tasmania, Coll Sci &amp; Engn, Inst Marine &amp; Antarctic Studies, Private Bag 129, Hobart, Tas 7001, Australia.</t>
  </si>
  <si>
    <t>emiliano.cimoli@utas.edu.au; klaus.Meiners@aad.gov.au; arko.lucieer@utas.edu.au; vanessa.lucieer@utas.edu.au</t>
  </si>
  <si>
    <t>Cimoli, Emiliano/H-1862-2018; Lucieer, Arko/F-1247-2013; Lucieer, Vanessa/D-1697-2009</t>
  </si>
  <si>
    <t>Cimoli, Emiliano/0000-0001-7964-2716; Lucieer, Arko/0000-0002-9468-4516; Lucieer, Vanessa/0000-0001-7531-5750</t>
  </si>
  <si>
    <t>Australian Research Council's Special Research Initiative for Antarctic Gateway Partnership [SR140300001]; New Zealand Antarctic Research Institute (NZARI) [K043-1819-A]; Antarctic Gateway Partnership; University of Tasmania's Ph.D. program</t>
  </si>
  <si>
    <t>Australian Research Council's Special Research Initiative for Antarctic Gateway Partnership(Australian Research Council); New Zealand Antarctic Research Institute (NZARI); Antarctic Gateway Partnership; University of Tasmania's Ph.D. program</t>
  </si>
  <si>
    <t>This research was supported under Australian Research Council's Special Research Initiative for Antarctic Gateway Partnership (Project ID SR140300001), and the New Zealand Antarctic Research Institute (NZARI) under project number K043-1819-A. Emiliano Cimoli is supported by the Antarctic Gateway Partnership and the University of Tasmania's Ph.D. program.</t>
  </si>
  <si>
    <t>DEC 1</t>
  </si>
  <si>
    <t>10.3390/rs11232860</t>
  </si>
  <si>
    <t>KE2IO</t>
  </si>
  <si>
    <t>WOS:000508382100141</t>
  </si>
  <si>
    <t>Sui, Y; Guo, HD; Liu, G; Ren, YZ</t>
  </si>
  <si>
    <t>Sui, Yue; Guo, Huadong; Liu, Guang; Ren, Yuanzhen</t>
  </si>
  <si>
    <t>Analysis of Long-Term Moon-Based Observation Characteristics for Arctic and Antarctic</t>
  </si>
  <si>
    <t>Moon-based Earth observation; Antarctic and Arctic regions; geometric simulation; coverage characteristics</t>
  </si>
  <si>
    <t>EARTH-OBSERVATION</t>
  </si>
  <si>
    <t>The Antarctic and Arctic have always been critical areas of earth science research and are sensitive to global climate change. Global climate change exhibits diversity characteristics on both temporal and spatial scales. Since the Moon-based earth observation platform could provide large-scale, multi-angle, and long-term measurements complementary to the satellite-based Earth observation data, it is necessary to study the observation characteristics of this new platform. With deepening understanding of Moon-based observations, we have seen its good observation ability in the middle and low latitudes of the Earth's surface, but for polar regions, we need to further study the observation characteristics of this platform. Based on the above objectives, we used the Moon-based Earth observation geometric model to quantify the geometric relationship between the Sun, Moon, and Earth. Assuming the sensor is at the center of the nearside of the Moon, the coverage characteristics of the earth feature points are counted. The observation intervals, access frequency, and the angle information of each point during 100 years were obtained, and the variation rule was analyzed. The research showed that the lunar platform could carry out ideal observations for the polar regions. For the North and South poles, a continuous observation duration of 14.5 days could be obtained, and as the latitude decreased, the duration time was reduced to less than one day at the latitude of 65 degrees in each hemisphere. The dominant observation time of the North Pole is concentrated from mid-March to mid-September, and for the South Pole, it is the rest of the year, and as the latitude decreases, it extends outward from both sides. The annual coverage time and frequency will change with the relationship between the Moon and the Earth. This study also proves that the Moon-based observation has multi-angle observation advantages for the Arctic and the Antarctic areas, which can help better understand large-scale geoscientific phenomena. The above findings indicate that the Moon-based observation can be applied as a new type of remote sensing technology to the observation field of the Earth's polar regions.</t>
  </si>
  <si>
    <t>[Sui, Yue; Guo, Huadong; Liu, Guang] Chinese Acad Sci, Aerosp Informat Res Inst, Beijing 100094, Peoples R China; [Sui, Yue; Guo, Huadong; Liu, Guang] Chinese Acad Sci, Inst Remote Sensing &amp; Digital Earth, Beijing 100094, Peoples R China; [Sui, Yue] Univ Chinese Acad Sci, Beijing 100049, Peoples R China; [Ren, Yuanzhen] CASIC, Acad 2, Beijing Inst Radio Measurement, Beijing 100854, Peoples R China</t>
  </si>
  <si>
    <t>Chinese Academy of Sciences; Aerospace Information Research Institute, CAS; Chinese Academy of Sciences; The Institute of Remote Sensing &amp; Digital Earth, CAS; Chinese Academy of Sciences; University of Chinese Academy of Sciences, CAS</t>
  </si>
  <si>
    <t>Liu, G (corresponding author), Chinese Acad Sci, Aerosp Informat Res Inst, Beijing 100094, Peoples R China.;Liu, G (corresponding author), Chinese Acad Sci, Inst Remote Sensing &amp; Digital Earth, Beijing 100094, Peoples R China.</t>
  </si>
  <si>
    <t>suiyue@radi.ac.cn; hdguo@radi.ac.cn; liuguang@radi.ac.cn; renyuanzhen13@mails.ucas.ac.cn</t>
  </si>
  <si>
    <t>Key Research Program of Frontier Sciences CAS [QYZDY-SSW-DQC026]; National Natural Science Foundation of China [41590852,41001264]</t>
  </si>
  <si>
    <t>Key Research Program of Frontier Sciences CAS; National Natural Science Foundation of China(National Natural Science Foundation of China (NSFC))</t>
  </si>
  <si>
    <t>This research was supported by the Key Research Program of Frontier Sciences CAS (QYZDY-SSW-DQC026) and the National Natural Science Foundation of China (41590852,41001264).</t>
  </si>
  <si>
    <t>10.3390/rs11232805</t>
  </si>
  <si>
    <t>WOS:000508382100086</t>
  </si>
  <si>
    <t>Siegert, MJ; Kingslake, J; Ross, N; Whitehouse, PL; Woodward, J; Jamieson, SSR; Bentley, MJ; Winter, K; Wearing, M; Hein, AS; Jeofry, H; Sugden, DE</t>
  </si>
  <si>
    <t>Siegert, Martin J.; Kingslake, Jonathan; Ross, Neil; Whitehouse, Pippa L.; Woodward, John; Jamieson, Stewart S. R.; Bentley, Michael J.; Winter, Kate; Wearing, Martin; Hein, Andrew S.; Jeofry, Hafeez; Sugden, David E.</t>
  </si>
  <si>
    <t>Major Ice Sheet Change in the Weddell Sea Sector of West Antarctica Over the Last 5,000 Years</t>
  </si>
  <si>
    <t>REVIEWS OF GEOPHYSICS</t>
  </si>
  <si>
    <t>glaciology; Holocene; West Antarctica; Last Glaciation; radio-echo sounding; cosmogenic dating</t>
  </si>
  <si>
    <t>GLACIAL ISOSTATIC-ADJUSTMENT; GROUNDING-LINE RETREAT; NUCLIDE EXPOSURE AGES; DEGLACIAL HISTORY; EMBAYMENT CONSTRAINTS; PENSACOLA MOUNTAINS; ELLSWORTH MOUNTAINS; MANTLE VISCOSITY; EROSION SURFACES; JOINT INVERSION</t>
  </si>
  <si>
    <t>Until recently, little was known about the Weddell Sea sector of the West Antarctic Ice Sheet. In the last 10 years, a variety of expeditions and numerical modelling experiments have improved knowledge of its glaciology, glacial geology and tectonic setting. Two of the sector's largest ice streams rest on a steep reverse-sloping bed yet, despite being vulnerable to change, satellite observations show contemporary stability. There is clear evidence for major ice sheet reconfiguration in the last few thousand years, however. Knowing precisely how and when the ice sheet has changed in the past would allow us to better understand whether it is now at risk. Two competing hypotheses have been established for this glacial history. In one, the ice sheet retreated and thinned progressively from its Last Glacial Maximum position. Retreat stopped at, or very near, the present position in the Late Holocene. Alternatively, in the Late Holocene, the ice sheet retreated significantly upstream of its present grounding line and then advanced to today's location due to glacial isostatic adjustment and ice shelf and ice rise buttressing. Both hypotheses point to data and theory in their support yet neither has been unequivocally tested or falsified. Here we review geophysical evidence to determine how each hypothesis has been formed, where there are inconsistencies in the respective glacial histories, how they may be tested or reconciled, and what new evidence is required to reach a common model for the Late Holocene ice sheet history of the Weddell Sea sector of West Antarctica.</t>
  </si>
  <si>
    <t>[Siegert, Martin J.; Jeofry, Hafeez] Imperial Coll London, Grantham Inst, London, England; [Siegert, Martin J.; Jeofry, Hafeez] Imperial Coll London, Dept Earth Sci &amp; Engn, London, England; [Kingslake, Jonathan; Wearing, Martin] Columbia Univ, Lamont Doherty Earth Observ, Palisades, NY USA; [Ross, Neil] Newcastle Univ, Sch Geog Polit &amp; Sociol, Newcastle, England; [Whitehouse, Pippa L.; Jamieson, Stewart S. R.; Bentley, Michael J.] Univ Durham, Dept Geog, Durham, England; [Woodward, John; Winter, Kate] Northumbria Univ, Fac Engn &amp; Environm, Dept Geog &amp; Environm Sci, Newcastle, England; [Hein, Andrew S.; Sugden, David E.] Univ Edinburgh, Sch GeoSci, Edinburgh, Midlothian, Scotland</t>
  </si>
  <si>
    <t>Imperial College London; Imperial College London; Columbia University; Newcastle University - UK; Durham University; Northumbria University; University of Edinburgh</t>
  </si>
  <si>
    <t>Siegert, MJ (corresponding author), Imperial Coll London, Grantham Inst, London, England.;Siegert, MJ (corresponding author), Imperial Coll London, Dept Earth Sci &amp; Engn, London, England.</t>
  </si>
  <si>
    <t>m.siegert@imperial.ac.uk</t>
  </si>
  <si>
    <t>Woodward, John/I-1046-2013; Hein, Andrew/JWO-3756-2024; Siegert, Martin/M-9939-2019; Bentley, Michael J/F-7386-2011; Jamieson, Stewart/B-8330-2013</t>
  </si>
  <si>
    <t>Siegert, Martin/0000-0002-0090-4806; Bentley, Michael J/0000-0002-2048-0019; Whitehouse, Pippa/0000-0002-9092-3444; Hein, Andrew/0000-0003-3397-3813; Jeofry, Muhammad Hafeez/0000-0003-4638-4516; Jamieson, Stewart/0000-0002-9036-2317; Woodward, John/0000-0002-4980-4080; Winter, Kate/0000-0003-2389-8637; Wearing, Martin/0000-0002-8927-8564</t>
  </si>
  <si>
    <t>NERC [NE/J008176/1, NE/I027576/1, NE/F014260/1, NE/J005673/1, NE/K003674/1, NE/G00465X/3] Funding Source: UKRI</t>
  </si>
  <si>
    <t>8755-1209</t>
  </si>
  <si>
    <t>1944-9208</t>
  </si>
  <si>
    <t>REV GEOPHYS</t>
  </si>
  <si>
    <t>Rev. Geophys.</t>
  </si>
  <si>
    <t>10.1029/2019RG000651</t>
  </si>
  <si>
    <t>KF2KW</t>
  </si>
  <si>
    <t>Green Accepted, Green Published, hybrid, Green Submitted</t>
  </si>
  <si>
    <t>WOS:000509077900003</t>
  </si>
  <si>
    <t>Anderson, DG; Arzyutov, DV</t>
  </si>
  <si>
    <t>Anderson, David G.; Arzyutov, Dmitry, V</t>
  </si>
  <si>
    <t>The Etnos Archipelago Sergei M. Shirokogoroff and the Life History of a Controversial Anthropological Concept</t>
  </si>
  <si>
    <t>CURRENT ANTHROPOLOGY</t>
  </si>
  <si>
    <t>SOVIET ETHNOGRAPHY; ETHNICITY; CHINA; MINZU</t>
  </si>
  <si>
    <t>The concept of etnos-one of the more controversial anthropological concepts of the Cold War period-is contextualized by looking at its life history through the biography of one of its proponents. Sergei Mikhailovich Shirokogoroff was a Russian/Chinese anthropologist whose career transected Eurasia from Paris to Beijing via Saint Petersburg and the Siberian borderlands of the Russian Empire. His transnational biography and active correspondence shaped the unique spatial and intellectual configuration of a concept that became a cornerstone of both Soviet and Chinese ethnography. The theory of etnos turned out to be surprisingly stable, while circulating through various political and intellectual environments ranging from England, Germany, and China to Imperial, Soviet, and modern Russia. This case study presents a history of anthropology wherein networks and conversations originating in the Far East of Eurasia have had unexpected influences on the heartlands of anthropology.</t>
  </si>
  <si>
    <t>[Anderson, David G.] Univ Aberdeen, Anthropol, G5 Edward Wright Bldg, Aberdeen AB24 4QY, Scotland; [Arzyutov, Dmitry, V] KTH Royal Inst Technol, Div Hist Sci Technol &amp; Environm, Tekn Ringen 74D,Level 5, SE-11428 Stockholm, Sweden</t>
  </si>
  <si>
    <t>University of Aberdeen; Royal Institute of Technology</t>
  </si>
  <si>
    <t>Anderson, DG (corresponding author), Univ Aberdeen, Anthropol, G5 Edward Wright Bldg, Aberdeen AB24 4QY, Scotland.</t>
  </si>
  <si>
    <t>david.anderson@abdn.ac.uk</t>
  </si>
  <si>
    <t>Arzyutov, Dmitry/AAG-3332-2019; Mogilner, Marina/J-6797-2017; Anderson, David G/E-6125-2014</t>
  </si>
  <si>
    <t>Arzyutov, Dmitry/0000-0003-3782-9296; Anderson, David G/0000-0002-9624-5867</t>
  </si>
  <si>
    <t>Economic and Social Research Council Etnos: A LifeHistory of the Etnos Concept [ESRC ES/K006428/1]; Wenner-Gren Foundation for Anthropological Research The Concept of Etnos in Post-Soviet Russia [ICRG-103]; ERC project Greening the Poles: Science, the Environment, and the Creation of the Modern Arctic and Antarctic (GRETPOL); ESRC [ES/K006428/1] Funding Source: UKRI</t>
  </si>
  <si>
    <t>Economic and Social Research Council Etnos: A LifeHistory of the Etnos Concept; Wenner-Gren Foundation for Anthropological Research The Concept of Etnos in Post-Soviet Russia; ERC project Greening the Poles: Science, the Environment, and the Creation of the Modern Arctic and Antarctic (GRETPOL); ESRC(UK Research &amp; Innovation (UKRI)Economic &amp; Social Research Council (ESRC))</t>
  </si>
  <si>
    <t>This research has been supported by a standard research grant from the Economic and Social Research Council Etnos: A LifeHistory of the Etnos Concept (ESRC ES/K006428/1) and the Wenner-Gren Foundation for Anthropological Research (ICRG-103) The Concept of Etnos in Post-Soviet Russia. The final phase of Arzyutov's work was possible thanks to the support of the ERC project Greening the Poles: Science, the Environment, and the Creation of the Modern Arctic and Antarctic (GRETPOL; PI Professor Peder Roberts).</t>
  </si>
  <si>
    <t>UNIV CHICAGO PRESS</t>
  </si>
  <si>
    <t>CHICAGO</t>
  </si>
  <si>
    <t>1427 E 60TH ST, CHICAGO, IL 60637-2954 USA</t>
  </si>
  <si>
    <t>0011-3204</t>
  </si>
  <si>
    <t>1537-5382</t>
  </si>
  <si>
    <t>CURR ANTHROPOL</t>
  </si>
  <si>
    <t>Curr. Anthropol.</t>
  </si>
  <si>
    <t>10.1086/704685</t>
  </si>
  <si>
    <t>Anthropology</t>
  </si>
  <si>
    <t>KC6OT</t>
  </si>
  <si>
    <t>WOS:000507295300002</t>
  </si>
  <si>
    <t>Yeung, NKH; Menviel, L; Meissner, KJ; Sikes, E</t>
  </si>
  <si>
    <t>Yeung, N. K. H.; Menviel, L.; Meissner, K. J.; Sikes, E.</t>
  </si>
  <si>
    <t>Assessing the Spatial Origin of Meltwater Pulse 1A Using Oxygen-Isotope Fingerprinting</t>
  </si>
  <si>
    <t>LAURENTIDE ICE-SHEET; LAST GLACIAL MAXIMUM; MILLENNIAL-SCALE VARIABILITY; SYSTEM CLIMATE MODEL; SEA-LEVEL; NORTH-ATLANTIC; FRESH-WATER; OCEAN CIRCULATION; ATMOSPHERIC CO2; DEEP</t>
  </si>
  <si>
    <t>One of the major phases of sea level rise during the last deglaciation (similar to 19-11 thousand years before present [ka BP]) is Meltwater Pulse-1A (MWP-1A; similar to 14.5 ka BP), when sea levels rose by 8.6 to 18 m in less than 400 years. Whether the meltwater originated from the partial disintegration of northern hemispheric ice sheets, from Antarctica, or both, remains controversial. Here we perform a series of idealized transient simulations of the last deglaciation, focusing on MWP-1A, with a three-dimensional oxygen-isotope enabled Earth System Climate Model. Three meltwater scenarios are considered during MWP-1A: a sole northern hemispheric source discharging into the North Atlantic, a sole Antarctic source, and a combined northern hemispheric-Antarctic source. A comparison of simulated changes in the oxygen-isotope composition (delta O-18) of seawater and calcite with published marine sediment records points to a significant contribution from Antarctica. The best model-data fit is obtained with a contribution from both hemispheres. While the simulated changes over the 350 years of MWP-1A are overestimated in our simulations, the millennial-scale changes (similar to 14.6-13 ka BP) are underestimated, potentially alluding to a longer and sustained meltwater input over the whole period. Meltwater was not applied in the Arctic, the Gulf of Mexico, or the North Pacific in our simulations, and therefore, scenarios with meltwater originating from these regions cannot be excluded.</t>
  </si>
  <si>
    <t>[Yeung, N. K. H.; Menviel, L.; Meissner, K. J.] Univ New South Wales, Climate Change Res Ctr, Sydney, NSW, Australia; [Yeung, N. K. H.; Menviel, L.; Meissner, K. J.] ARC Ctr Excellene Climate Extremes, Sydney, NSW, Australia; [Sikes, E.] State Univ New Jersey Rutgers, Inst Marine &amp; Coastal Sci, New Brunswick, NJ USA</t>
  </si>
  <si>
    <t>University of New South Wales Sydney; Rutgers University System; Rutgers University New Brunswick</t>
  </si>
  <si>
    <t>Yeung, NKH (corresponding author), Univ New South Wales, Climate Change Res Ctr, Sydney, NSW, Australia.</t>
  </si>
  <si>
    <t>nicholas.yeung@unsw.edu.au</t>
  </si>
  <si>
    <t>Sikes, Elisabeth/HPE-8194-2023; Menviel, Laurie/D-6902-2013</t>
  </si>
  <si>
    <t>Meissner, Katrin/0000-0002-0716-7415; Menviel, Laurie/0000-0002-5068-1591; Yeung, Nicholas/0000-0002-6560-6658; Sikes, Elisabeth/0000-0003-2900-3283</t>
  </si>
  <si>
    <t>10.1029/2019PA003599</t>
  </si>
  <si>
    <t>WOS:000508572200010</t>
  </si>
  <si>
    <t>Boghosian, AL; Pratt, MJ; Becker, MK; Cordero, SI; Dhakal, T; Kingslake, J; Locke, CD; Tinto, KJ; Bell, RE</t>
  </si>
  <si>
    <t>Boghosian, Alexandra L.; Pratt, Martin J.; Becker, Maya K.; Cordero, S. Isabel; Dhakal, Tejendra; Kingslake, Jonathan; Locke, Caitlin D.; Tinto, Kirsty J.; Bell, Robin E.</t>
  </si>
  <si>
    <t>Inside the ice shelf: using augmented reality to visualise 3D lidar and radar data of Antarctica</t>
  </si>
  <si>
    <t>PHOTOGRAMMETRIC RECORD</t>
  </si>
  <si>
    <t>3rd Virtual Geoscience Conference (VGC)</t>
  </si>
  <si>
    <t>AUG 23-24, 2018</t>
  </si>
  <si>
    <t>Kingston, CANADA</t>
  </si>
  <si>
    <t>Antarctica; augmented reality; data visualisation; HoloLens; lidar; radar</t>
  </si>
  <si>
    <t>SCIENTIFIC VISUALIZATION; SIMULATION; GREENLAND; BED; VR</t>
  </si>
  <si>
    <t>From 2015 to 2017, the ROSETTA-Ice project comprehensively mapped Antarctica's Ross Ice Shelf using IcePod, a newly developed aerogeophysical platform. The campaign imaged the ice-shelf surface with lidar and its internal structure with ice-penetrating radar. The ROSETTA-Ice data was combined with pre-existing ice surface and bed topography digital elevation models to create the first augmented reality (AR) visualisation of the Antarctic Ice Sheet, using the Microsoft HoloLens. The ROSETTA-Ice datasets support cross-disciplinary science that aims to understand 4D processes, namely the change of 3D ice-shelf structures over time. The work presented here uses AR to visualise this dataset in 3D and highlights how AR can be simultaneously a useful research tool for interdisciplinary geoscience as well as an effective device for science communication education.</t>
  </si>
  <si>
    <t>[Boghosian, Alexandra L.; Cordero, S. Isabel; Dhakal, Tejendra; Kingslake, Jonathan; Locke, Caitlin D.; Tinto, Kirsty J.; Bell, Robin E.] Columbia Univ, Lamont Doherty Earth Observ, Palisades, NY 10964 USA; [Pratt, Martin J.] Washington Univ St Louis, St Louis, MO USA; [Becker, Maya K.] Univ Calif San Diego, Scripps Inst Oceanog, La Jolla, CA 92093 USA</t>
  </si>
  <si>
    <t>Columbia University; Washington University (WUSTL); University of California System; University of California San Diego; Scripps Institution of Oceanography</t>
  </si>
  <si>
    <t>Boghosian, AL (corresponding author), Columbia Univ, Lamont Doherty Earth Observ, Palisades, NY 10964 USA.</t>
  </si>
  <si>
    <t>alb@ldeo.columbia.edu; martin@seismo.wustl.edu; m3becker@ucsd.edu; sic2113@columbia.edu; tdhakal@ldeo.columbia.edu; j.kingslake@columbia.edu; cdieck@ldeo.columbia.edu; tinto@ldeo.columbia.edu; robinb@ldeo.columbia.edu</t>
  </si>
  <si>
    <t>Locke, Caitlin/0000-0002-3319-4070; Cordero, Isabel/0000-0003-4187-3281</t>
  </si>
  <si>
    <t>0031-868X</t>
  </si>
  <si>
    <t>1477-9730</t>
  </si>
  <si>
    <t>PHOTOGRAMM REC</t>
  </si>
  <si>
    <t>Photogramm. Rec.</t>
  </si>
  <si>
    <t>10.1111/phor.12298</t>
  </si>
  <si>
    <t>Geography, Physical; Geosciences, Multidisciplinary; Remote Sensing; Imaging Science &amp; Photographic Technology</t>
  </si>
  <si>
    <t>Physical Geography; Geology; Remote Sensing; Imaging Science &amp; Photographic Technology</t>
  </si>
  <si>
    <t>KE5PO</t>
  </si>
  <si>
    <t>WOS:000508607800002</t>
  </si>
  <si>
    <t>George, HE; Rodger, CJ; Clilverd, MA; Cresswell-Moorcock, K; Brundell, JB; Thomson, NR</t>
  </si>
  <si>
    <t>George, Harriet E.; Rodger, Craig J.; Clilverd, Mark A.; Cresswell-Moorcock, Kathy; Brundell, James B.; Thomson, Neil R.</t>
  </si>
  <si>
    <t>Developing a Nowcasting Capability for X-Class Solar Flares Using VLF Radiowave Propagation Changes.</t>
  </si>
  <si>
    <t>SPACE WEATHER-THE INTERNATIONAL JOURNAL OF RESEARCH AND APPLICATIONS</t>
  </si>
  <si>
    <t>Solar flares; VLF propagation; nowcasting; VLF phase perturbations; solar flare alerts</t>
  </si>
  <si>
    <t>D-REGION ENHANCEMENTS; IONOSPHERE; SIGNALS; PHASE</t>
  </si>
  <si>
    <t>A technique for analyzing very low frequency (VLF) radiowave signals is investigated in order to achieve rapid, real-time detection of large solar flares, through the monitoring of changes in VLF radio signal propagation conditions. The reliability of the use of VLF phase and amplitude perturbations to determine the X-ray fluxes involved during 10 large solar flare events (&gt;X1) is examined. Linear regression analysis of signals from the NPM transmitter in Hawaii, received at Arrival Heights, Scott Base, Antarctica, over the years 2011-2015 shows that VLF phase perturbations during large solar flares have a 1.5-3 times lower mean square error when modeling the long wavelength X-ray fluxes than the equivalent short wavelength fluxes. The use of VLF amplitude observations to determine long or short wavelength X-ray flux levels have a 4-10 times higher mean square error than when using VLF phase. Normalized linear regression analysis identifies VLF phase as the most important parameter in the regression, followed by solar zenith angle at the midpoint of the propagation path, then the initial solar X-ray flux level (from 5 min before the impact of the solar flare), with F10.7 cm flux from the day beforehand providing the least important contribution. Transmitter phase measurements are more difficult to undertake than amplitude. However, networks of VLF receivers already exist which include the high quality phase capability required for such a nowcasting product. Such narrowband VLF data can be a redundant source of flare monitoring if satellite data is not available.</t>
  </si>
  <si>
    <t>[George, Harriet E.; Rodger, Craig J.; Cresswell-Moorcock, Kathy; Brundell, James B.; Thomson, Neil R.] Univ Otago, Dept Phys, Dunedin, New Zealand; [George, Harriet E.] Univ Helsinki, Dept Phys, Helsinki, Finland; [Clilverd, Mark A.] British Antarctic Survey UKRI NERC, Cambridge, England</t>
  </si>
  <si>
    <t>University of Otago; University of Helsinki; UK Research &amp; Innovation (UKRI); Natural Environment Research Council (NERC); NERC British Antarctic Survey</t>
  </si>
  <si>
    <t>Clilverd, MA (corresponding author), British Antarctic Survey UKRI NERC, Cambridge, England.</t>
  </si>
  <si>
    <t>macl@bas.ac.uk</t>
  </si>
  <si>
    <t>Rodger, Craig/A-1501-2011; Brundell, James/F-3196-2013</t>
  </si>
  <si>
    <t>Brundell, James/0000-0002-8753-4720; Rodger, Craig J./0000-0002-6770-2707; George, Harriet/0000-0002-3715-4623</t>
  </si>
  <si>
    <t>NERC [bas0100031] Funding Source: UKRI</t>
  </si>
  <si>
    <t>1542-7390</t>
  </si>
  <si>
    <t>SPACE WEATHER</t>
  </si>
  <si>
    <t>Space Weather</t>
  </si>
  <si>
    <t>10.1029/2019SW002297</t>
  </si>
  <si>
    <t>Astronomy &amp; Astrophysics; Geochemistry &amp; Geophysics; Meteorology &amp; Atmospheric Sciences</t>
  </si>
  <si>
    <t>KE8VK</t>
  </si>
  <si>
    <t>WOS:000508826600011</t>
  </si>
  <si>
    <t>Suzuki, K; Kawakami, T</t>
  </si>
  <si>
    <t>Suzuki, Kota; Kawakami, Tetsuo</t>
  </si>
  <si>
    <t>Metamorphic pressure-temperature conditions of the Lutzow-Holm Complex of East Antarctica deduced from Zr-in-rutile geothermometer and Al2SiO5 minerals enclosed in garnet</t>
  </si>
  <si>
    <t>JOURNAL OF MINERALOGICAL AND PETROLOGICAL SCIENCES</t>
  </si>
  <si>
    <t>Chemical zoning; Phosphorus; Al2SiO5 minerals; Zr-in-rutile geothermometer</t>
  </si>
  <si>
    <t>SILLIMANITE GNEISS; AKARUI POINT; TRIPLE POINT; SKALLEVIKSHALSEN; ANDALUSITE; RUNDVAGSHETTA; EQUILIBRIUM; CONSTRAINTS; NANOGRANITE; GRANULITES</t>
  </si>
  <si>
    <t>The metamorphic pressure-temperature (P-T) conditions of high-grade pelitic gneisses from Akarui Point, Skarvsnes, Skallen, and Rundvagshetta in the Liitzow-Holm Complex (LHC), East Antarctica are re-examined by applying the Zr-in-rutile geothermometer to rutile inclusions in garnet enclosing Al2SiO5 minerals and to matrix rutile grains. By utilizing the P zoning of garnet to indicate isochronous surface, samples from Akarui Point, Skarvsnes, and Skallen were shown to have experienced almost the same P-T conditions around the kyanite/sillimanite transition boundary (similar to 830-850 degrees C/similar to 11 kbar). From Rundvagshetta, higher-T condition (850 +/- 15 degrees C/0.1 kbar to 927 +/- 16 degrees C/12.5 kbar) was confirmed from rutile inclusions in garnet enclosing sillimanite. Matrix rutile yielded similar temperature as inclusion rutile for Akarui Point, Skarvsnes, and Skallen samples. Therefore, the traditional metamorphic zone mapping based on matrix mineral assemblages, which classified Akarui Point as belonging to the transitional zone between the upper-amphibolite and the granulite facies zones, does not reflect the highest metamorphic conditions attained. The P-T-t evolution of the LHC needs to be re-evaluated utilizing detailed petrochronological approaches.</t>
  </si>
  <si>
    <t>[Suzuki, Kota; Kawakami, Tetsuo] Kyoto Univ, Grad Sch Sci, Dept Geol &amp; Mineral, Kyoto 6068502, Japan</t>
  </si>
  <si>
    <t>Kyoto University</t>
  </si>
  <si>
    <t>Suzuki, K (corresponding author), Kyoto Univ, Grad Sch Sci, Dept Geol &amp; Mineral, Kyoto 6068502, Japan.</t>
  </si>
  <si>
    <t>suzuki.kouta.22u@st.kyoto-u.ac.jp; kawakami.tetsuo.3e@kyoto-u.ac.jp</t>
  </si>
  <si>
    <t>Kawakami, Tetsuo/AAQ-3357-2021</t>
  </si>
  <si>
    <t>Kawakami, Tetsuo/0000-0002-5921-5562; Suzuki, Kota/0000-0002-2014-9211</t>
  </si>
  <si>
    <t>Kyoto University research development program ISHIZUE; General Collaboration Project of the National Institute of Polar Research [28-25]; JSPS KAKENHI [JP19H01991]</t>
  </si>
  <si>
    <t>Kyoto University research development program ISHIZUE; General Collaboration Project of the National Institute of Polar Research; JSPS KAKENHI(Ministry of Education, Culture, Sports, Science and Technology, Japan (MEXT)Japan Society for the Promotion of ScienceGrants-in-Aid for Scientific Research (KAKENHI))</t>
  </si>
  <si>
    <t>This study is a part of the science program of Japanese Antarctic Research Expedition. We would like to sincerely thank members of JARE44 for the supports during the fieldwork. We are also grateful to T. Ikeda and an anonymous reviewer for constructive reviews, and M. SatishKumar for editorial efforts. This study was financially supported by Kyoto University research development program ISHIZUE, General Collaboration Project of the National Institute of Polar Research (No. 28-25), and JSPS KAKENHI Grant Number JP19H01991 to T.K.</t>
  </si>
  <si>
    <t>JAPAN ASSOC MINERALOGICAL SCIENCES</t>
  </si>
  <si>
    <t>SENDAI</t>
  </si>
  <si>
    <t>C/O GRAD SCH SCIENCES, TOHOKU UNIV, AOBA, SENDAI, 980-8578, JAPAN</t>
  </si>
  <si>
    <t>1345-6296</t>
  </si>
  <si>
    <t>1349-3825</t>
  </si>
  <si>
    <t>J MINER PETROL SCI</t>
  </si>
  <si>
    <t>J. Mineral. Petrol. Sci.</t>
  </si>
  <si>
    <t>10.2465/jmps.190801</t>
  </si>
  <si>
    <t>Mineralogy</t>
  </si>
  <si>
    <t>KE3JP</t>
  </si>
  <si>
    <t>WOS:000508455600001</t>
  </si>
  <si>
    <t>Yusop, N; Ahmad, MR; Abdullah, M; Mohd Esa, MR; Mohammad, SA; Suparta, W; Gulisano, AM; Cooray, V</t>
  </si>
  <si>
    <t>Yusop, Norbayah; Ahmad, Mohd Riduan; Abdullah, Mardina; Mohd Esa, Mona Riza; Mohammad, Sulaiman Ali; Suparta, Wayan; Gulisano, Adriana Maria; Cooray, Vernon</t>
  </si>
  <si>
    <t>Seasonal Analysis of Cloud-To-Ground Lightning Flash Activity in the Western Antarctica</t>
  </si>
  <si>
    <t>ATMOSPHERE</t>
  </si>
  <si>
    <t>Antarctic; cloud-to-ground; seasonal analysis; lightning</t>
  </si>
  <si>
    <t>SEVERE THUNDERSTORM ELECTRIFICATION; SEA-ICE; UNITED-STATES; VARIABILITY; FEATURES; POLARITY; PULSE; ENSO; 1ST</t>
  </si>
  <si>
    <t>This paper presents a seasonal analysis of cloud-to-ground (CG) lightning flash activity in the Western Antarctica using a lightning detector sensor installed at the Carlini Base station. Data obtained from the detection system between February and December 2017 were analyzed. Three common locations and areas of composite active thunderstorms (labelled storm regions A, B, and C) were detected by the sensor within a 1000 km radius from the station. Storm region A was located to the northwest (N/W) of the station and covered the Amundsen/Bellingshausen Sea (ABS), whereas storm region C was located on the southeastern (S/E) side of the station over the Weddell Sea (WS), with distances ranging from 500 to 800 km and bearings of 270 degrees to 360 degrees and 90 degrees to 180, respectively. Storm region B was located around 100 km from the station with the bearings of stroke taken from 0 degrees to 360 degrees. A total of 2,019,923 flashes were detected, of which 43.01% were positive CG and 56.99% were negative CG flashes. The analysis revealed that more than 96% of the CG flashes (both positive CG and negative CG) were produced during the summer and fall seasons as compared with less than 4% during the winter and spring seasons. Most detected lightning strokes (&gt;85%) were located in the central area around the station produced by storm region B and less than 15% were produced by storm region A and storm region C, located in the ocean areas over the Amundsen/Bellingshausen Sea and the Weddell Sea.</t>
  </si>
  <si>
    <t>[Yusop, Norbayah] Univ Kebangsaan Malaysia, Space Sci Ctr ANGKASA, Inst Climate Change, Bangi 43600, Selangor, Malaysia; [Yusop, Norbayah; Ahmad, Mohd Riduan] Univ Tekn Malaysia Melaka, Fak Kejuruteraan Elekt &amp; Kejuruteraan Komputer, Ctr Telecommun Res &amp; Innovat CeTRI, Atmospher &amp; Lightning Res Lab, Durian Tunggal 76100, Melaka, Malaysia; [Abdullah, Mardina] Univ Kebangsaan Malaysia, Fac Engn &amp; Built Environm, Ctr Adv Elect &amp; Commun Engn, Bangi 43600, Selangor, Malaysia; [Abdullah, Mardina] Univ Kebangsaan Malaysia, Inst Climate Change, Bangi 43600, Selangor, Malaysia; [Mohd Esa, Mona Riza; Mohammad, Sulaiman Ali] Univ Teknol Malaysia, Fac Engn, Sch Elect Engn, Inst High Voltage &amp; High Current IVAT, Skudai 81310, Johor Bahru, Malaysia; [Suparta, Wayan] Univ Pembangunan Jaya, Dept Informat, South Tangerang 15413, Banten, Indonesia; [Gulisano, Adriana Maria] Inst Antartico Argentino DNA, RA-1248 Buenos Aires, DF, Argentina; [Gulisano, Adriana Maria] UBA, CONICET, Inst Astron &amp; Fis Espacio, RA-1053 Buenos Aires, DF, Argentina; [Gulisano, Adriana Maria] Univ Buenos Aires, FCEyN, Dept Fis, RA-1053 Buenos Aires, DF, Argentina; [Cooray, Vernon] Uppsala Univ, Dept Engn Sci, Div Elect, Angstrom Lab, Box 534, S-75121 Uppsala, Sweden</t>
  </si>
  <si>
    <t>Universiti Kebangsaan Malaysia; University Teknikal Malaysia Melaka; Universiti Kebangsaan Malaysia; Universiti Kebangsaan Malaysia; Universiti Teknologi Malaysia; Instituto Antartico Argentino; University of Buenos Aires; Instituto de Astronomia y Fisica del Espacio (IAFE); Consejo Nacional de Investigaciones Cientificas y Tecnicas (CONICET); University of Buenos Aires; Uppsala University</t>
  </si>
  <si>
    <t>Yusop, N (corresponding author), Univ Kebangsaan Malaysia, Space Sci Ctr ANGKASA, Inst Climate Change, Bangi 43600, Selangor, Malaysia.;Yusop, N (corresponding author), Univ Tekn Malaysia Melaka, Fak Kejuruteraan Elekt &amp; Kejuruteraan Komputer, Ctr Telecommun Res &amp; Innovat CeTRI, Atmospher &amp; Lightning Res Lab, Durian Tunggal 76100, Melaka, Malaysia.;Abdullah, M (corresponding author), Univ Kebangsaan Malaysia, Fac Engn &amp; Built Environm, Ctr Adv Elect &amp; Commun Engn, Bangi 43600, Selangor, Malaysia.;Abdullah, M (corresponding author), Univ Kebangsaan Malaysia, Inst Climate Change, Bangi 43600, Selangor, Malaysia.</t>
  </si>
  <si>
    <t>norbayah@utem.edu.my; riduan@utem.edu.my; mardina@ukm.edu.my; monariza@utm.my; sulaimanalimohammad@gmail.com; wayan.suparta@upj.ac.id; agulisano@iafe.uba.ar; Vernon.Cooray@Angstrom.uu.se</t>
  </si>
  <si>
    <t>Yusop, Norbayah/HDO-2248-2022; SUPARTA, WAYAN/K-3110-2013; Gulisano, AM/HTQ-2717-2023; Ahmad, Mohd Riduan/AAO-9370-2020; Gulisano, Adriana M./AAD-9554-2021; Mohd Esa, Mona Riza/AGQ-0209-2022; Abdullah, Mardina/J-9781-2016</t>
  </si>
  <si>
    <t>SUPARTA, WAYAN/0000-0002-6193-1867; Ahmad, Mohd Riduan/0000-0001-9474-7153; Gulisano, Adriana M./0000-0002-2234-4432;</t>
  </si>
  <si>
    <t>Ministry of Science, Technology and Innovation Malaysia (MOSTI) through the Flagship Programme [ZF-2014-016]; UTM GUP [04G19, 14J64]; UTeM Short Term Grant [PJP/2018/FKEKK/(3B)/S01615]</t>
  </si>
  <si>
    <t>Ministry of Science, Technology and Innovation Malaysia (MOSTI) through the Flagship Programme; UTM GUP; UTeM Short Term Grant</t>
  </si>
  <si>
    <t>This research was funded by the Ministry of Science, Technology and Innovation Malaysia (MOSTI) through the Flagship Programme under the research grant ZF-2014-016 lead by Mardina Abdullah. Participation of Mona Riza Mohd Esa was funded by the UTM GUP Grants: 04G19 and 14J64. Participation of Mohd Riduan Ahmad was funded by the UTeM Short Term Grant (PJP/2018/FKEKK/(3B)/S01615).</t>
  </si>
  <si>
    <t>2073-4433</t>
  </si>
  <si>
    <t>ATMOSPHERE-BASEL</t>
  </si>
  <si>
    <t>Atmosphere</t>
  </si>
  <si>
    <t>10.3390/atmos10120744</t>
  </si>
  <si>
    <t>KC7RA</t>
  </si>
  <si>
    <t>WOS:000507369200018</t>
  </si>
  <si>
    <t>Safavi, SV; Kenari, AA; Tabarsa, M; Esmaeili, M</t>
  </si>
  <si>
    <t>Safavi, Seyed Vahid; Kenari, Abdolmohamad Abedian; Tabarsa, Mehdi; Esmaeili, Mohammad</t>
  </si>
  <si>
    <t>Effect of sulfated polysaccharides extracted from marine macroalgae (Ulva intestinalis and Gracilariopsis persica) on growth performance, fatty acid profile, and immune response of rainbow trout (Oncorhynchus mykiss)</t>
  </si>
  <si>
    <t>JOURNAL OF APPLIED PHYCOLOGY</t>
  </si>
  <si>
    <t>Protein efficiency ratio; Omega 3; Immunostimulants; Nutrition; Rhodophyta; Chlorophyta</t>
  </si>
  <si>
    <t>DIGESTIVE ENZYME-ACTIVITIES; BROWN SEAWEED SARGASSUM; ORANGE-SPOTTED GROUPER; WEIGHT SODIUM ALGINATE; ALLIUM-SATIVUM POWDER; DISEASE RESISTANCE; DIETARY SUPPLEMENTATION; BODY-COMPOSITION; LABEO-ROHITA; LACTOBACILLUS-PLANTARUM</t>
  </si>
  <si>
    <t>Supplementation of seaweed to fish diets has been widely reported to improve growth and immunity. This study was conducted to investigate the effect of sulfated polysaccharide extract from the green alga Ulva intestinalis and the red alga Gracilariopsis persica as a dietary supplement on growth performance, fatty acid profile, stress response, antioxidant enzyme activity, and nonspecific immune responses in rainbow trout (Oncorhynchus mykiss) (15.74 +/- 0.48 g). The five experimental diets include control (without sulfated polysaccharide), 0.5SPG (0.5 g kg(-1) sulfated polysaccharide from G. persica), 1.5SPG (1.5 g kg(-1) sulfated polysaccharide from G. persica), 0.5SPU (0.5 g kg(-1) sulfated polysaccharide from U. intestinalis), and 1.5SPU (1.5 g kg(-1) sulfated polysaccharide from U. intestinalis) were formulated and fed to fish for 8 weeks. Results of growth trial indicated a significant enhancement of growth performance of fish fed 1.5SPG, 0.5SPU, and 1.5SPU as compared with control. Although there was no significant difference in the fatty acid profile of muscle, fish fed the 1.5SPG diet showed higher protein and lower lipid contents than the control group. While the lysozyme and complement activity of serum was significantly enhanced in fish fed 1.5SPG and 1.5 SPU diets, superoxide dismutase in these treatments was lower than the control group. Furthermore, the amount of cortisol in individuals fed experimental diets after 3-h confinement stress was lower than fish fed the control diet. To conclude, in consideration of all factors, we suggest the potential benefits of using 1.5SPG diet in the aquaculture industry as a diet supplementation.</t>
  </si>
  <si>
    <t>[Safavi, Seyed Vahid; Kenari, Abdolmohamad Abedian; Tabarsa, Mehdi] Tarbiat Modares Univ, Fac Nat Resources &amp; Marine Sci, Dept Fisheries, POB 64414-356, Noor, Mazandaran, Iran; [Esmaeili, Mohammad] Univ Tasmania, Inst Marine &amp; Antarctic Studies, Hobart, Tas, Australia</t>
  </si>
  <si>
    <t>Kenari, AA (corresponding author), Tarbiat Modares Univ, Fac Nat Resources &amp; Marine Sci, Dept Fisheries, POB 64414-356, Noor, Mazandaran, Iran.</t>
  </si>
  <si>
    <t>Esmaeili, Noah/Q-4536-2019; Tabarsa, Mehdi/AAK-7033-2021; Abedian Kenari, Abdolmohammad/JWP-0761-2024</t>
  </si>
  <si>
    <t>Esmaeili, Noah/0000-0001-8704-939X; Tabarsa, Mehdi/0000-0001-5683-2138; Tabarsa, Mehdi/0009-0000-4533-5291; Abedian Kenari, Abdolmohammad/0000-0003-3410-3908</t>
  </si>
  <si>
    <t>Tarbiat Modares University (Noor, Mazandaran, Iran)</t>
  </si>
  <si>
    <t>This study is financially supported by the Tarbiat Modares University (Noor, Mazandaran, Iran).</t>
  </si>
  <si>
    <t>DORDRECHT</t>
  </si>
  <si>
    <t>VAN GODEWIJCKSTRAAT 30, 3311 GZ DORDRECHT, NETHERLANDS</t>
  </si>
  <si>
    <t>0921-8971</t>
  </si>
  <si>
    <t>1573-5176</t>
  </si>
  <si>
    <t>J APPL PHYCOL</t>
  </si>
  <si>
    <t>J. Appl. Phycol.</t>
  </si>
  <si>
    <t>10.1007/s10811-019-01902-w</t>
  </si>
  <si>
    <t>Biotechnology &amp; Applied Microbiology; Marine &amp; Freshwater Biology</t>
  </si>
  <si>
    <t>KD1PA</t>
  </si>
  <si>
    <t>WOS:000507643300002</t>
  </si>
  <si>
    <t>Rizzo, C; Malavenda, R; Gerçe, B; Papale, M; Syldatk, C; Hausmann, R; Bruni, V; Michaud, L; Lo Giudice, A; Amalfitano, S</t>
  </si>
  <si>
    <t>Rizzo, Carmen; Malavenda, Roberta; Gerce, Berna; Papale, Maria; Syldatk, Christoph; Hausmann, Rudolf; Bruni, Vivia; Michaud, Luigi; Lo Giudice, Angelina; Amalfitano, Stefano</t>
  </si>
  <si>
    <t>Effects of a Simulated Acute Oil Spillage on Bacterial Communities from Arctic and Antarctic Marine Sediments</t>
  </si>
  <si>
    <t>MICROORGANISMS</t>
  </si>
  <si>
    <t>arctic; antarctic; sediment; microcosms; hydrocarbons; biodegradation; bioremediation</t>
  </si>
  <si>
    <t>FRAGMENT-LENGTH-POLYMORPHISM; TERRA-NOVA BAY; 16S RIBOSOMAL-RNA; CRUDE-OIL; HYDROCARBON DEGRADATION; DIESEL FUEL; ROSS SEA; T-RFLP; DIVERSITY; BIODEGRADATION</t>
  </si>
  <si>
    <t>Background: The bacterial community responses to oil spill events are key elements to predict the fate of hydrocarbon pollution in receiving aquatic environments. In polar systems, cold temperatures and low irradiance levels can limit the effectiveness of contamination removal processes. In this study, the effects of a simulated acute oil spillage on bacterial communities from polar sediments were investigated, by assessing the role of hydrocarbon mixture, incubation time and source bacterial community in selecting oil-degrading bacterial phylotypes. Methods: The bacterial hydrocarbon degradation was evaluated by gas chromatography. Flow cytometric and fingerprinting profiles were used to assess the bacterial community dynamics over the experimental incubation time. Results: Direct responses to the simulated oil spill event were found from both Arctic and Antarctic settings, with recurrent bacterial community traits and diversity profiles, especially in crude oil enrichment. Along with the dominance of Pseudomonas spp., members of the well-known hydrocarbon degraders Granulosicoccus spp. and Cycloclasticus spp. were retrieved from both sediments. Conclusions: Our findings indicated that polar bacterial populations are able to respond to the detrimental effects of simulated hydrocarbon pollution, by developing into a more specialized active oil degrading community.</t>
  </si>
  <si>
    <t>[Rizzo, Carmen; Malavenda, Roberta; Bruni, Vivia; Michaud, Luigi; Lo Giudice, Angelina] Univ Messina, Dept Chem Biol Pharmaceut &amp; Environm Sci, I-98166 Messina, Italy; [Gerce, Berna; Syldatk, Christoph] Karlsruhe Inst Technol, Inst Proc Engn Life Sci, Sect Tech Biol 2, D-76131 Karlsruhe, Germany; [Papale, Maria; Lo Giudice, Angelina] Natl Res Council CNR ISP, Inst Polar Sci, I-98122 Messina, Italy; [Hausmann, Rudolf] Univ Hohenheim, Dept Bioproc Engn, Inst Food Sci &amp; Biotechnol, D-70599 Stuttgart, Germany; [Amalfitano, Stefano] Natl Res Council CNR IRSA, Water Res Inst, I-00015 Rome, Italy</t>
  </si>
  <si>
    <t>University of Messina; Helmholtz Association; Karlsruhe Institute of Technology; Consiglio Nazionale delle Ricerche (CNR); Istituto di Scienze Polari (ISP-CNR); University Hohenheim; Consiglio Nazionale delle Ricerche (CNR); Istituto di Ricerca sulle Acque (IRSA-CNR)</t>
  </si>
  <si>
    <t>Lo Giudice, A (corresponding author), Univ Messina, Dept Chem Biol Pharmaceut &amp; Environm Sci, I-98166 Messina, Italy.;Lo Giudice, A (corresponding author), Natl Res Council CNR ISP, Inst Polar Sci, I-98122 Messina, Italy.</t>
  </si>
  <si>
    <t>carmen.rizzo@unime.it; rmalavenda@unime.it; berna.gerce2@kit.edu; mpapale@unime.it; christoph.syldatk@kit.edu; Rudolf.Hausmann@uni-hohenheim.de; angelina.logiudice@cnr.it; amalfitano@irsa.cnr.it</t>
  </si>
  <si>
    <t>Rizzo, Carmen/AAA-3075-2022; Rizzo, Carmen/S-6285-2019; Amalfitano, Stefano/C-6737-2012</t>
  </si>
  <si>
    <t>Amalfitano, Stefano/0000-0002-6148-1472; Rizzo, Carmen/0000-0002-4340-3833</t>
  </si>
  <si>
    <t>project PolyArc Occurrence of PCB-degrading bacteria in relation to PCB contamination in coastal marine environments in Ny-Alesund (Svalbard, Spitsbergen); European Centre for Arctic Environmental Research in Ny-Alesund (ARCFAC V; FP6) [ARCFAC-026129-2008-70]</t>
  </si>
  <si>
    <t>project PolyArc Occurrence of PCB-degrading bacteria in relation to PCB contamination in coastal marine environments in Ny-Alesund (Svalbard, Spitsbergen); European Centre for Arctic Environmental Research in Ny-Alesund (ARCFAC V; FP6)</t>
  </si>
  <si>
    <t>This research was supported by grants from the project PolyArc Occurrence of PCB-degrading bacteria in relation to PCB contamination in coastal marine environments in Ny-Alesund (Svalbard, Spitsbergen), which was financed by the European Centre for Arctic Environmental Research in Ny-Alesund (ARCFAC V; FP6) [grant no. ARCFAC-026129-2008-70].</t>
  </si>
  <si>
    <t>2076-2607</t>
  </si>
  <si>
    <t>Microorganisms</t>
  </si>
  <si>
    <t>10.3390/microorganisms7120632</t>
  </si>
  <si>
    <t>KB7BQ</t>
  </si>
  <si>
    <t>WOS:000506646400050</t>
  </si>
  <si>
    <t>Marzocchi, A; Jansen, MF</t>
  </si>
  <si>
    <t>Marzocchi, Alice; Jansen, Malte F.</t>
  </si>
  <si>
    <t>Global cooling linked to increased glacial carbon storage via changes in Antarctic sea ice</t>
  </si>
  <si>
    <t>OCEAN CIRCULATION; SOUTHERN-OCEAN; WIND-SPEED; OVERTURNING CIRCULATION; GAS-EXCHANGE; CLIMATE; SALINITY; SYSTEM; PUMP; STRATIFICATION</t>
  </si>
  <si>
    <t>Palaeo-oceanographic reconstructions indicate that the distribution of global ocean water masses has undergone major glacial-interglacial rearrangements over the past similar to 2.5 million years. Given that the ocean is the largest carbon reservoir, such circulation changes were probably key in driving the variations in atmospheric CO2 concentrations observed in the ice-core record. However, we still lack a mechanistic understanding of the ocean's role in regulating CO2 on these timescales. Here, we show that glacial ocean-sea ice numerical simulations with a single-basin general circulation model, forced solely by atmospheric cooling, can predict ocean circulation patterns associated with increased atmospheric carbon sequestration in the deep ocean. Under such conditions, Antarctic bottom water becomes more isolated from the sea surface as a result of two connected factors: reduced air-sea gas exchange under sea ice around Antarctica and weaker mixing with North Atlantic Deep Water due to a shallower interface between southern- and northern-sourced water masses. These physical changes alone are sufficient to explain similar to 40 ppm atmospheric CO2 drawdown-about half of the glacial-interglacial variation. Our results highlight that atmospheric cooling could have directly caused the reorganization of deep ocean water masses and, thus, glacial CO2 drawdown. This provides an important step towards a consistent picture of glacial climates.</t>
  </si>
  <si>
    <t>[Marzocchi, Alice] Natl Oceanog Ctr, Southampton, Hants, England; [Jansen, Malte F.] Univ Chicago, Dept Geophys Sci, 5734 S Ellis Ave, Chicago, IL 60637 USA</t>
  </si>
  <si>
    <t>NERC National Oceanography Centre; University of Chicago</t>
  </si>
  <si>
    <t>Marzocchi, A (corresponding author), Natl Oceanog Ctr, Southampton, Hants, England.</t>
  </si>
  <si>
    <t>alice.marzocchi@noc.ac.uk</t>
  </si>
  <si>
    <t>Jansen, Malte/ABB-4451-2020</t>
  </si>
  <si>
    <t>Jansen, Malte/0000-0003-3894-1124; Marzocchi, Alice/0000-0002-3430-3574</t>
  </si>
  <si>
    <t>National Science Foundation [OCE1536454, OCE-1846821]; NERC [NE/P019293/1]; NERC [NE/P019293/1, NE/K004387/1] Funding Source: UKRI</t>
  </si>
  <si>
    <t>National Science Foundation(National Science Foundation (NSF)); NERC(UK Research &amp; Innovation (UKRI)Natural Environment Research Council (NERC)); NERC(UK Research &amp; Innovation (UKRI)Natural Environment Research Council (NERC))</t>
  </si>
  <si>
    <t>This work was funded by the National Science Foundation under awards nos. OCE1536454 and OCE-1846821, and computational resources were provided by the Research Computing Center at the University of Chicago. A.M. received funding from NERC grant no. NE/P019293/1 (TICTOC).</t>
  </si>
  <si>
    <t>75 VARICK ST, 9TH FLR, NEW YORK, NY 10013-1917 USA</t>
  </si>
  <si>
    <t>10.1038/s41561-019-0466-8</t>
  </si>
  <si>
    <t>JR5GP</t>
  </si>
  <si>
    <t>WOS:000499653700010</t>
  </si>
  <si>
    <t>Morandini, V; Dugger, KM; Ballard, G; Elrod, M; Schmidt, A; Ruoppolo, V; Lescroël, A; Jongsomjit, D; Massaro, M; Pennycook, J; Kooyman, GL; Schmidlin, K; Kraberger, S; Ainley, DG; Varsani, A</t>
  </si>
  <si>
    <t>Morandini, Virginia; Dugger, Katie M.; Ballard, Grant; Elrod, Megan; Schmidt, Annie; Ruoppolo, Valeria; Lescroel, Amelie; Jongsomjit, Dennis; Massaro, Melanie; Pennycook, Jean; Kooyman, Gerald L.; Schmidlin, Kara; Kraberger, Simona; Ainley, David G.; Varsani, Arvind</t>
  </si>
  <si>
    <t>Identification of a Novel Adelie Penguin Circovirus at Cape Crozier (Ross Island, Antarctica)</t>
  </si>
  <si>
    <t>VIRUSES-BASEL</t>
  </si>
  <si>
    <t>Pygoscelis adeliae; Circoviridae; Antarctica; Ross Island; Cape Crozier</t>
  </si>
  <si>
    <t>FEATHER DISEASE VIRUS; DOVES STREPTOPELIA-SENEGALENSIS; PSITTACINE BEAK; PORCINE CIRCOVIRUS; NUCLEOTIDE-SEQUENCE; PYGOSCELIS-ADELIAE; LOSS DISORDER; 1ST REPORT; INFECTION; PARROTS</t>
  </si>
  <si>
    <t>Understanding the causes of disease in Antarctic wildlife is crucial, as many of these species are already threatened by environmental changes brought about by climate change. In recent years, Antarctic penguins have been showing signs of an unknown pathology: a feather disorder characterised by missing feathers, resulting in exposed skin. During the 2018-2019 austral summer breeding season at Cape Crozier colony on Ross Island, Antarctica, we observed for the first time an Adelie penguin chick missing down over most of its body. A guano sample was collected from the nest of the featherless chick, and using high-throughput sequencing, we identified a novel circovirus. Using abutting primers, we amplified the full genome, which we cloned and Sanger-sequenced to determine the complete genome of the circovirus. The Adelie penguin guano-associated circovirus genome shares &lt;67% genome-wide nucleotide identity with other circoviruses, representing a new species of circovirus; therefore, we named it penguin circovirus (PenCV). Using the same primer pair, we screened 25 previously collected cloacal swabs taken at Cape Crozier from known-age adult Adelie penguins during the 2014-2015 season, displaying no clinical signs of feather-loss disorder. Three of the 25 samples (12%) were positive for a PenCV, whose genome shared &gt;99% pairwise identity with the one identified in 2018-2019. This is the first report of a circovirus associated with a penguin species. This circovirus could be an etiological agent of the feather-loss disorder in Antarctic penguins.</t>
  </si>
  <si>
    <t>[Morandini, Virginia] Oregon State Univ, Dept Fisheries &amp; Wildlife, Oregon Cooperat Fish &amp; Wildlife Res Unit, 104 Nash Hall, Corvallis, OR 97331 USA; [Dugger, Katie M.] Oregon State Univ, Dept Fisheries &amp; Wildlife, Oregon Cooperat Fish &amp; Wildlife Res Unit, US Geol Survey, 104 Nash Hall, Corvallis, OR 97331 USA; [Ballard, Grant; Elrod, Megan; Schmidt, Annie; Lescroel, Amelie; Jongsomjit, Dennis] Point Blue Conservat Sci, Petaluma, CA 94954 USA; [Ruoppolo, Valeria] Univ Sao Paulo, Fac Med Vet &amp; Zootecnia, Dept Patol, Lab Patol Comparada Anim Selvagens LAPCOM, BR-05508060 Sao Paulo, Brazil; [Massaro, Melanie] Charles Sturt Univ, Inst Land Water &amp; Soc, Sch Environm Sci, Albury, NSW 2678, Australia; [Pennycook, Jean; Ainley, David G.] HT Harvey &amp; Associates, Los Gatos, CA 95032 USA; [Kooyman, Gerald L.] Univ Calif La Jolla, Scripps Inst Oceanog, Scholander Hall, San Diego, CA 92093 USA; [Schmidlin, Kara; Kraberger, Simona; Varsani, Arvind] Arizona State Univ, Biodesign Ctr Fundamental &amp; Appl Microbi, Ctr Evolut &amp; Med, Sch Life Sci, Tempe, AZ 85287 USA; [Varsani, Arvind] Univ Cape Town, Dept Integrat Biomed Sci, Struct Biol Res Unit, ZA-7701 Cape Town, South Africa</t>
  </si>
  <si>
    <t>Oregon State University; United States Department of the Interior; United States Geological Survey; Oregon State University; Universidade de Sao Paulo; Charles Sturt University; University of California System; University of California San Diego; Scripps Institution of Oceanography; Arizona State University; Arizona State University-Tempe; University of Cape Town</t>
  </si>
  <si>
    <t>Morandini, V (corresponding author), Oregon State Univ, Dept Fisheries &amp; Wildlife, Oregon Cooperat Fish &amp; Wildlife Res Unit, 104 Nash Hall, Corvallis, OR 97331 USA.;Varsani, A (corresponding author), Arizona State Univ, Biodesign Ctr Fundamental &amp; Appl Microbi, Ctr Evolut &amp; Med, Sch Life Sci, Tempe, AZ 85287 USA.;Varsani, A (corresponding author), Univ Cape Town, Dept Integrat Biomed Sci, Struct Biol Res Unit, ZA-7701 Cape Town, South Africa.</t>
  </si>
  <si>
    <t>virginia.morandini@oregonstate.edu; katie.dugger@oregonstate.edu; gballard@pointblue.org; melrod@pointblue.org; aschmidt@pointblue.org; vruoppolo@gmail.com; alescroel-RA@pointblue.org; djongsomjit@pointblue.org; mmassaro@csu.edu.au; jean.pennycook@gmail.com; gkooyman@ucsd.edu; Kara.Schmidlin@asu.edu; simona.kraberger@asu.edu; dainley@penguinscience.com; arvind.varsani@asu.edu</t>
  </si>
  <si>
    <t>Varsani, Arvind/JOZ-5299-2023; Massaro, Melanie/P-4791-2017; Morandini, Virginia/E-8986-2016</t>
  </si>
  <si>
    <t>Varsani, Arvind/0000-0003-4111-2415; Dugger, Katie/0000-0002-4148-246X; Massaro, Melanie/0000-0001-9039-1268; Kraberger, Simona/0000-0002-7037-9242; Morandini, Virginia/0000-0003-0665-5713; Ruoppolo, Valeria/0000-0001-9945-0463; Elrod, Megan/0000-0003-3200-9045; , gerald/0000-0002-8872-2950; Schmidt, Annie/0000-0001-6144-9950</t>
  </si>
  <si>
    <t>U.S. National Science Foundation (NSF) [ANT-0944411]; NSF [DPP 87-15864]; New Zealand Ministry of Business, Innovation, and Employment Grant [C09527, C09X0510, C01X1001]; N.Z.'s Ministry for Primary Industries [MPI17238-S01-LC]; Center of Evolution and Medicine Venture Fund (Center of Evolution and Medicine, Arizona State University, U.S.A.); New Zealand Ministry of Business, Innovation &amp; Employment (MBIE) [C01X1001] Funding Source: New Zealand Ministry of Business, Innovation &amp; Employment (MBIE)</t>
  </si>
  <si>
    <t>U.S. National Science Foundation (NSF)(National Science Foundation (NSF)); NSF(National Science Foundation (NSF)); New Zealand Ministry of Business, Innovation, and Employment Grant(New Zealand Ministry of Business, Innovation and Employment (MBIE)); N.Z.'s Ministry for Primary Industries; Center of Evolution and Medicine Venture Fund (Center of Evolution and Medicine, Arizona State University, U.S.A.); New Zealand Ministry of Business, Innovation &amp; Employment (MBIE)</t>
  </si>
  <si>
    <t>The fieldwork was supported by a grant (ANT-0944411) from the U.S. National Science Foundation (NSF) awarded to D.G.A., K.D. and G.B. with logistics support provided by the U.S. Antarctic Program; NSF grant DPP 87-15864, special creative award to G.L.K.; and by New Zealand Ministry of Business, Innovation, and Employment Grant (C09527, C09X0510, C01X1001) and N.Z.'s Ministry for Primary Industries (MPI17238-S01-LC) awarded to M.M. The molecular work described in this study was supported by the Center of Evolution and Medicine Venture Fund (Center of Evolution and Medicine, Arizona State University, U.S.A.) grant awarded to A.V.</t>
  </si>
  <si>
    <t>1999-4915</t>
  </si>
  <si>
    <t>Viruses-Basel</t>
  </si>
  <si>
    <t>10.3390/v11121088</t>
  </si>
  <si>
    <t>Virology</t>
  </si>
  <si>
    <t>KC0RH</t>
  </si>
  <si>
    <t>WOS:000506894800040</t>
  </si>
  <si>
    <t>Wu, SZ; Kuhn, G; Diekmann, B; Lembke-Jene, L; Tiedemann, R; Zheng, XF; Ehrhardt, S; Arz, HW; Lamy, F</t>
  </si>
  <si>
    <t>Wu, Shuzhuang; Kuhn, Gerhard; Diekmann, Bernhard; Lembke-Jene, Lester; Tiedemann, Ralf; Zheng, Xufeng; Ehrhardt, Sophie; Arz, Helge W.; Lamy, Frank</t>
  </si>
  <si>
    <t>Surface sediment characteristics related to provenance and ocean circulation in the Drake Passage sector of the Southern Ocean</t>
  </si>
  <si>
    <t>DEEP-SEA RESEARCH PART I-OCEANOGRAPHIC RESEARCH PAPERS</t>
  </si>
  <si>
    <t>Drake passage; Provenance; Mineralogy; Sortable-silt; Current speed</t>
  </si>
  <si>
    <t>ANTARCTIC INTERMEDIATE WATER; TERRIGENOUS SEDIMENT; SORTABLE SILT; TIME-SERIES; SCOTIA SEA; ATLANTIC-OCEAN; CLAY-MINERALS; CURRENT SPEED; TRANSPORT; PENINSULA</t>
  </si>
  <si>
    <t>Understanding present-day sediment provenance and transport processes is crucial for studies about the dynamics of ocean circulation, as well as for paleoclimate reconstructions in the Drake Passage (DP), a key area for Earth's global oceanic circulation and climate during past and future. Based on a comprehensive set of surface sediment samples, we used spatial variations in grain-size distribution, bulk sediment mineralogy, silt and clay mineralogy across the entire DP region to elucidate the terrigenous sources and transport mechanisms. The statistical evaluation of these data identifies southern Patagonia (carbonate, illite, chlorite, feldspar and quartz) and the Antarctic Peninsula (chlorite, smectite, and amphibole) as the main sources for terrigenous sediments in the DP region. Different current systems are transporting the sediment material. Here, we provide a new, robust flow speed calibration for silt grain-sizes to enable the reconstruction of Antarctic Circumpolar Current (ACC) dynamics in the DP sector of the Southern Ocean. We correlated the sortable silt mean grain-size records of surface sediments with adjacent long-term current meter data. A clear bottom current speed pattern shows the variability of the ACC in the DP responding to the dynamics of ocean fronts, in agreement with modern observation.</t>
  </si>
  <si>
    <t>[Wu, Shuzhuang; Kuhn, Gerhard; Lembke-Jene, Lester; Tiedemann, Ralf; Lamy, Frank] Alfred Wegener Inst, Helmholtz Zentrum Meeres &amp; Polarforsch, D-27568 Bremerhaven, Germany; [Diekmann, Bernhard] Alfred Wegener Inst, Helmholtz Zentrum Meeres &amp; Polarforsch, D-14473 Potsdam, Germany; [Zheng, Xufeng] Chinese Acad Sci, South China Sea Inst Oceanol, Key Lab Marginal Sea Geol, Guangzhou 510301, Peoples R China; [Ehrhardt, Sophie] UFZ Helmholtz Ctr Environm Res, D-04318 Leipzig, Germany; [Arz, Helge W.] Leibniz Inst Baltic Sea Res, Dept Marine Geol, D-18119 Rostock, Germany</t>
  </si>
  <si>
    <t>Helmholtz Association; Alfred Wegener Institute, Helmholtz Centre for Polar &amp; Marine Research; Helmholtz Association; Alfred Wegener Institute, Helmholtz Centre for Polar &amp; Marine Research; Chinese Academy of Sciences; South China Sea Institute of Oceanology, CAS; Helmholtz Association; Helmholtz Center for Environmental Research (UFZ); Leibniz Institut fur Ostseeforschung Warnemunde</t>
  </si>
  <si>
    <t>Wu, SZ (corresponding author), Alfred Wegener Inst, Helmholtz Zentrum Meeres &amp; Polarforsch, D-27568 Bremerhaven, Germany.</t>
  </si>
  <si>
    <t>shuzhuang.wu@awi.de</t>
  </si>
  <si>
    <t>Lembke-Jene, Lester/F-5084-2013; Lembke-Jene, Lester/ABC-6275-2020; 郑, 旭/JAO-2624-2023; Zheng, Xufeng/HPC-4252-2023; Arz, Helge W/A-6659-2013</t>
  </si>
  <si>
    <t>Wu, Shuzhuang/0000-0002-5134-8395; Kuhn, Gerhard/0000-0001-6069-7485; Arz, Helge Wolfgang/0000-0002-1997-1718; Diekmann, Bernhard/0000-0001-5129-3649</t>
  </si>
  <si>
    <t>Alfred Wegener Institute Helmholtz Centre for Polar and Marine Research; China Scholarship Council (CSC) [201604910671]; AWI</t>
  </si>
  <si>
    <t>Alfred Wegener Institute Helmholtz Centre for Polar and Marine Research; China Scholarship Council (CSC)(China Scholarship Council); AWI</t>
  </si>
  <si>
    <t>We thank the master crew and science party of R/V Polarstem Expedition PS97 for their professional help in retrieving the samples. We are grateful to Prof. KA. Donohue for providing the DP current meter data. This paper is a contribution to PACES II Topic3 funded by the Alfred Wegener Institute Helmholtz Centre for Polar and Marine Research. Shuzhuang Wu is supported by the China Scholarship Council (CSC No. 201604910671) and AWI. We sincerely thank Susanne Wiebe and Rita Frohlking-Teichert at AWI for technical assistance in sample preparation and analytical measurements.</t>
  </si>
  <si>
    <t>0967-0637</t>
  </si>
  <si>
    <t>1879-0119</t>
  </si>
  <si>
    <t>DEEP-SEA RES PT I</t>
  </si>
  <si>
    <t>Deep-Sea Res. Part I-Oceanogr. Res. Pap.</t>
  </si>
  <si>
    <t>10.1016/j.dsr.2019.103135</t>
  </si>
  <si>
    <t>KB8BP</t>
  </si>
  <si>
    <t>WOS:000506714600005</t>
  </si>
  <si>
    <t>Krueck, NC; Abdurrahim, AY; Adhuri, DS; Mumby, PJ; Ross, H</t>
  </si>
  <si>
    <t>Krueck, Nils C.; Abdurrahim, Ali Yansyah; Adhuri, Dedi S.; Mumby, Peter J.; Ross, Helen</t>
  </si>
  <si>
    <t>Quantitative decision support tools facilitate social-ecological alignment in community-based marine protected area design</t>
  </si>
  <si>
    <t>ECOLOGY AND SOCIETY</t>
  </si>
  <si>
    <t>comanagement; conservation; fisheries management; marine reserve network; marine reserves; MPA; participatory MPA design; social-ecological systems; trade-offs</t>
  </si>
  <si>
    <t>GREAT-BARRIER-REEF; LARGE-SCALE; FISHERIES MANAGEMENT; CONSERVATION; RESERVES; PEOPLE; LAND; FISH</t>
  </si>
  <si>
    <t>Marine protected areas (MPAs) are increasingly used to support both biodiversity conservation and fisheries management. However, MPA performance is likely to be compromised if people who depend on fishing are excluded from MPA design decision making. Participatory MPA design helps to address this problem by engaging local stakeholders in all critical decisions, including the total coverage, placement, and local size of no-take marine reserves. Here, we report the findings from a participatory MPA design project on Selayar Island, Indonesia, in which a community initiated collaborations with scientists to access modern quantitative tools for community-led MPA scenario testing. The outcomes highlight a local disagreement between ecologically and socially desirable MPA designs. Focused on social considerations, the initial community-supported MPA design consisted of four small reserves (0.5-1 km wide) in predominately southern community waters, where they were intended to restrict external fishers. Ecologically optimal MPA designs, in contrast, consisted of one or two large reserves (4-6 km wide) in northern community waters, where they were expected to restrict primarily local fishers but better support the rebuilding of fish populations and fisheries. However, ecologically optimal MPA designs were socially infeasible. Using quantitative MPA performance assessments, the community negotiated an alternative MPA design consisting of two 1.5-2 km wide reserves at socially and ecologically favorable locations. Compared to the initial proposal, this revised MPA design was estimated (1) to protect three to four times more individuals of key fishery species within reserve boundaries and (2) to double local fishery catches. We conclude that even simple MPA design tools, which quantify and visualize local conservation and fishery outcomes under alternative MPA scenarios, add value to participatory decision making and likely MPA performance.</t>
  </si>
  <si>
    <t>[Krueck, Nils C.; Mumby, Peter J.] Univ Queensland, Sch Biol Sci, St Lucia Campus, Brisbane, Qld 4072, Australia; [Krueck, Nils C.; Mumby, Peter J.] Univ Queensland, Australian Res Council, Ctr Excellence Coral Reef Studies, St Lucia Campus, Brisbane, Qld 4072, Australia; [Krueck, Nils C.] Inst Marine &amp; Antarctic Studies, 15-21 Nubeena Crescent, Taroona, Tas 7053, Australia; [Abdurrahim, Ali Yansyah] Indonesian Inst Sci, Res Ctr Populat, Jakarta, Indonesia; [Adhuri, Dedi S.] Indonesian Inst Sci, Res Ctr Soc &amp; Culture, Jakarta, Indonesia; [Ross, Helen] Univ Queensland, Sch Agr &amp; Food Sci, St Lucia Campus, Brisbane, Qld 4072, Australia</t>
  </si>
  <si>
    <t>University of Queensland; University of Queensland; University of Tasmania; National Research &amp; Innovation Agency of Indonesia (BRIN); Indonesian Institute of Sciences (LIPI); National Research &amp; Innovation Agency of Indonesia (BRIN); Indonesian Institute of Sciences (LIPI); University of Queensland</t>
  </si>
  <si>
    <t>Krueck, NC (corresponding author), Univ Queensland, Sch Biol Sci, St Lucia Campus, Brisbane, Qld 4072, Australia.;Krueck, NC (corresponding author), Univ Queensland, Australian Res Council, Ctr Excellence Coral Reef Studies, St Lucia Campus, Brisbane, Qld 4072, Australia.;Krueck, NC (corresponding author), Inst Marine &amp; Antarctic Studies, 15-21 Nubeena Crescent, Taroona, Tas 7053, Australia.</t>
  </si>
  <si>
    <t>Adhuri, Dedi S/JVP-0852-2024; Mumby, Peter/F-9914-2010; Abdurrahim, Ali Yansyah/AAC-4188-2019</t>
  </si>
  <si>
    <t>Abdurrahim, Ali Yansyah/0000-0003-0213-0135</t>
  </si>
  <si>
    <t>World Bank project Capturing Coral Reef and Related Ecosystem Services (CCRES); Australian Research Council [LP120200245, LP160100730]; Australian Research Council [LP160100730, LP120200245] Funding Source: Australian Research Council</t>
  </si>
  <si>
    <t>World Bank project Capturing Coral Reef and Related Ecosystem Services (CCRES); Australian Research Council(Australian Research Council); Australian Research Council(Australian Research Council)</t>
  </si>
  <si>
    <t>This study was supported by the World Bank project Capturing Coral Reef and Related Ecosystem Services (CCRES) and by Australian Research Council Linkage Projects LP120200245 and LP160100730. We thank Bu Andi Rismayani and Bu Andi Ismainna for invaluable assistance with field data collections, for implementing community meetings, and for mediating community discussions. We thank Pak Agus Haryanto, village head of jurisdiction in Bungaiya, for reaching out to the CCRES social science team, chairing all MPA design community meetings, coordinating field work activities, and his general hospitality.</t>
  </si>
  <si>
    <t>RESILIENCE ALLIANCE</t>
  </si>
  <si>
    <t>WOLFVILLE</t>
  </si>
  <si>
    <t>ACADIA UNIV, BIOLOGY DEPT, WOLFVILLE, NS B0P 1X0, CANADA</t>
  </si>
  <si>
    <t>1708-3087</t>
  </si>
  <si>
    <t>ECOL SOC</t>
  </si>
  <si>
    <t>Ecol. Soc.</t>
  </si>
  <si>
    <t>10.5751/ES-11209-240406</t>
  </si>
  <si>
    <t>Ecology; Environmental Studies</t>
  </si>
  <si>
    <t>KB5ZV</t>
  </si>
  <si>
    <t>WOS:000506574000024</t>
  </si>
  <si>
    <t>Johnson-Mackinnon, JC; Crosbie, PBB; Karlsbakk, E; Marcos-Lopez, M; Paley, R; Nowak, BF; Bridle, AR</t>
  </si>
  <si>
    <t>Johnson-Mackinnon, Jessica C.; Crosbie, Philip B. B.; Karlsbakk, Egil; Marcos-Lopez, Mar; Paley, Richard; Nowak, Barbara F.; Bridle, Andrew R.</t>
  </si>
  <si>
    <t>Multilocus Sequence Typing (MLST) and Random Polymorphic DNA (RAPD) Comparisons of Geographic Isolates of Neoparamoeba perurans, the Causative Agent of Amoebic Gill Disease</t>
  </si>
  <si>
    <t>PATHOGENS</t>
  </si>
  <si>
    <t>Paramoeba perurans; Amoebic Gill Disease; epidemiology; pathogen genetics</t>
  </si>
  <si>
    <t>ATLANTIC SALMON; GENETIC-VARIATION; N. SP.; IDENTIFICATION; PEMAQUIDENSIS; COEVOLUTION; PHYLOGENY; VIRULENCE; SOFTWARE; SUPPORT</t>
  </si>
  <si>
    <t>Neoparamoba perurans, is the aetiological agent of amoebic gill disease (AGD), a disease that affects farmed Atlantic salmon worldwide. Multilocus sequence typing (MLST) and Random Amplified Polymorphic DNA (RAPD) are PCR-based typing methods that allow for the highly reproducible genetic analysis of population structure within microbial species. To the best of our knowledge, this study represents the first use of these typing methods applied to N. perurans with the objective of distinguishing geographical isolates. These analyses were applied to a total of 16 isolates from Australia, Canada, Ireland, Scotland, Norway, and the USA. All the samples from Australia came from farm sites on the island state of Tasmania. Genetic polymorphism among isolates was more evident from the RAPD analysis compared to the MLST that used conserved housekeeping genes. Both techniques consistently identified that isolates of N. perurans from Tasmania, Australia were more similar to each other than to the isolates from other countries. While genetic differences were identified between geographical isolates, a BURST analysis provided no evidence of a founder genotype. This suggests that emerging outbreaks of AGD are not due to rapid translocation of this important salmonid pathogen from the same area.</t>
  </si>
  <si>
    <t>[Johnson-Mackinnon, Jessica C.; Crosbie, Philip B. B.; Nowak, Barbara F.; Bridle, Andrew R.] Univ Tasmania, Inst Marine &amp; Antarctic Studies, Locked Bag 1370, Launceston, Tas 7250, Australia; [Karlsbakk, Egil] Univ Bergen, Dept Biol, N-5020 Bergen, Norway; [Marcos-Lopez, Mar] Vet Aqua Int, Unit 7B,Oranmore Business Pk, Galway H91 XP3F, Ireland; [Paley, Richard] Cefas, Weymouth Labs, Nothe Barrack Rd, Weymouth DT4 8UB, Dorset, England</t>
  </si>
  <si>
    <t>University of Tasmania; University of Bergen; Centre for Environment Fisheries &amp; Aquaculture Science</t>
  </si>
  <si>
    <t>Johnson-Mackinnon, JC; Nowak, BF (corresponding author), Univ Tasmania, Inst Marine &amp; Antarctic Studies, Locked Bag 1370, Launceston, Tas 7250, Australia.</t>
  </si>
  <si>
    <t>Jessica.johnsonmackinnon@utas.edu.au; philip.crosbie@utas.edu.au; egil.karlsbakk@uib.no; mar.marcos-lopez@fishvetgroup.com; richard.paley@cefas.co.uk; B.Nowak@utas.edu.au; Andrew.Bridle@utas.edu.au</t>
  </si>
  <si>
    <t>Bridle, Andrew R/B-4117-2013; Johnson-Mackinnon, Jessica/L-1385-2016; Nowak, Barbara/J-7261-2014</t>
  </si>
  <si>
    <t>Johnson-Mackinnon, Jessica/0000-0003-1296-8783; Nowak, Barbara/0000-0002-0347-643X; Bridle, Andrew/0000-0002-5788-1297</t>
  </si>
  <si>
    <t>European Union [634429]; Australian Society for Parasitology; JD Smyth Postgraduate Travel Award in 2016; Fisheries Society for Fish Biology Travel Grant; UTAS Postgraduate Travel Grant</t>
  </si>
  <si>
    <t>European Union(European Union (EU)); Australian Society for Parasitology; JD Smyth Postgraduate Travel Award in 2016; Fisheries Society for Fish Biology Travel Grant; UTAS Postgraduate Travel Grant</t>
  </si>
  <si>
    <t>This project has received funding from the European Union's Horizon 2020 research and innovation programme under grant agreement No 634429 (ParaFishControl). J.C.J-M research travel was supported by Australian Society for Parasitology travel grants, including JD Smyth Postgraduate Travel Award in 2016, Fisheries Society for Fish Biology Travel Grant and UTAS Postgraduate Travel Grant.</t>
  </si>
  <si>
    <t>2076-0817</t>
  </si>
  <si>
    <t>Pathogens</t>
  </si>
  <si>
    <t>10.3390/pathogens8040244</t>
  </si>
  <si>
    <t>KB7DX</t>
  </si>
  <si>
    <t>WOS:000506652300087</t>
  </si>
  <si>
    <t>Thomas, ER; Allen, CS; Etourneau, J; King, ACF; Severi, M; Winton, VHL; Mueller, J; Crosta, X; Peck, VL</t>
  </si>
  <si>
    <t>Thomas, Elizabeth R.; Allen, Claire S.; Etourneau, Johan; King, Amy C. F.; Severi, Mirko; Winton, V. Holly L.; Mueller, Juliane; Crosta, Xavier; Peck, Victoria L.</t>
  </si>
  <si>
    <t>Antarctic Sea Ice Proxies from Marine and Ice Core Archives Suitable for Reconstructing Sea Ice over the Past 2000 Years</t>
  </si>
  <si>
    <t>GEOSCIENCES</t>
  </si>
  <si>
    <t>sea ice; Antarctica; paleoclimate; ice cores; marine sediments</t>
  </si>
  <si>
    <t>ISOPRENOID HBI ALKENES; QUATERNARY DIATOM ASSEMBLAGES; HIGHLY BRANCHED ISOPRENOIDS; SOUTHERN WINDMILL ISLANDS; V CONTINENTAL-SHELF; LATE-HOLOCENE; WEDDELL SEA; CLIMATE VARIABILITY; BRANSFIELD BASIN; LATE PLEISTOCENE</t>
  </si>
  <si>
    <t>Dramatic changes in sea ice have been observed in both poles in recent decades. However, the observational period for sea ice is short, and the climate models tasked with predicting future change in sea ice struggle to capture the current Antarctic trends. Paleoclimate archives, from marine sedimentary records and coastal Antarctic ice cores, provide a means of understanding sea ice variability and its drivers over decadal to centennial timescales. In this study, we collate published records of Antarctic sea ice over the past 2000 years (2 ka). We evaluate the current proxies and explore the potential of combining marine and ice core records to produce multi-archive reconstructions. Despite identifying 92 sea ice reconstructions, the spatial and temporal resolution is only sufficient to reconstruct circum-Antarctic sea ice during the 20th century, not the full 2 ka. Our synthesis reveals a 90 year trend of increasing sea ice in the Ross Sea and declining sea ice in the Bellingshausen, comparable with observed trends since 1979. Reconstructions in the Weddell Sea, the Western Pacific and the Indian Ocean reveal small negative trends in sea ice during the 20th century (1900-1990), in contrast to the observed sea ice expansion in these regions since 1979.</t>
  </si>
  <si>
    <t>[Thomas, Elizabeth R.; Allen, Claire S.; King, Amy C. F.; Winton, V. Holly L.; Peck, Victoria L.] British Antarctic Survey, Cambridge CB3 0ET, England; [Etourneau, Johan] PSL Res Univ, Ecole Prat Hautes Etud, F-75014 Paris, France; [Etourneau, Johan; Crosta, Xavier] Univ Bordeaux, UMR 5805, EPOC, CNRS, F-33400 Talence, France; [Severi, Mirko] Univ Florence, Dipartimento Chim Ugo Schiff, I-50019 Florence, Italy; [Mueller, Juliane] Helmholtz Ctr Polar &amp; Marine Res, Alfred Wegener Inst, D-27570 Bremerhaven, Germany</t>
  </si>
  <si>
    <t>UK Research &amp; Innovation (UKRI); Natural Environment Research Council (NERC); NERC British Antarctic Survey; Universite PSL; Ecole Pratique des Hautes Etudes (EPHE); Centre National de la Recherche Scientifique (CNRS); CNRS - National Institute for Earth Sciences &amp; Astronomy (INSU); Universite de Bordeaux; University of Florence; Helmholtz Association; Alfred Wegener Institute, Helmholtz Centre for Polar &amp; Marine Research</t>
  </si>
  <si>
    <t>Thomas, ER (corresponding author), British Antarctic Survey, Cambridge CB3 0ET, England.</t>
  </si>
  <si>
    <t>lith@bas.ac.uk; csall@bas.ac.uk; johan.etourneau@u-bordeaux.fr; amyking@bas.ac.uk; mirko.severi@unifi.it; vicwin@bas.ac.uk; juliane.mueller@awi.de; xavier.crosta@u-bordeaux.fr; vlp@bas.ac.uk</t>
  </si>
  <si>
    <t>Winton, Holly/J-5486-2019; Thomas, Elizabeth Ruth/ADF-3660-2022; IPO, PAGES/JXY-7546-2024; Severi, Mirko/J-2508-2012; Muller, Juliane/L-1875-2013</t>
  </si>
  <si>
    <t>Winton, Holly/0000-0001-7112-6768; Thomas, Elizabeth Ruth/0000-0002-3010-6493; Severi, Mirko/0000-0003-1511-6762; Muller, Juliane/0000-0003-0724-4131; King, Amy/0000-0002-1285-7568</t>
  </si>
  <si>
    <t>Natural Environment Research Council (British Antarctic Survey); NERC [bas0100030, bas0100032, bas0100034] Funding Source: UKRI</t>
  </si>
  <si>
    <t>Natural Environment Research Council (British Antarctic Survey); NERC(UK Research &amp; Innovation (UKRI)Natural Environment Research Council (NERC))</t>
  </si>
  <si>
    <t>This research was funded by core funding from the Natural Environment Research Council (British Antarctic Survey).</t>
  </si>
  <si>
    <t>2076-3263</t>
  </si>
  <si>
    <t>Geosciences</t>
  </si>
  <si>
    <t>10.3390/geosciences9120506</t>
  </si>
  <si>
    <t>KB7AL</t>
  </si>
  <si>
    <t>WOS:000506643300001</t>
  </si>
  <si>
    <t>Slater, T; Shepherd, A; Mcmillan, M; Armitage, TWK; Otosaka, I; Arthern, RJ</t>
  </si>
  <si>
    <t>Slater, Thomas; Shepherd, Andrew; Mcmillan, Malcolm; Armitage, Thomas W. K.; Otosaka, Ines; Arthern, Robert J.</t>
  </si>
  <si>
    <t>Compensating Changes in the Penetration Depth of Pulse-Limited Radar Altimetry Over the Greenland Ice Sheet</t>
  </si>
  <si>
    <t>IEEE TRANSACTIONS ON GEOSCIENCE AND REMOTE SENSING</t>
  </si>
  <si>
    <t>Ice; Sea surface; Surface topography; Spaceborne radar; Scattering; Surface waves; CryoSat-2; Greenland; ice sheets; radar altimetry</t>
  </si>
  <si>
    <t>ELEVATION CHANGE; RETRACKING ALGORITHM; SURFACE-PROPERTIES; IMPULSE-RESPONSE; CRYOSAT-2 DATA; ROUGH-SURFACE; VOLUME-CHANGE; SCATTERING; MODEL; FLUCTUATIONS</t>
  </si>
  <si>
    <t>Changes in firn properties affect the shape of pulse-limited radar altimeter echoes acquired over the polar ice sheets. We apply a waveform deconvolution model to CryoSat-2 low-resolution mode echoes to determine the depth distribution of radar backscattering across the Greenland Ice Sheet. The deconvolution allows us to calculate the relative contributions of surface and volume scattering and the effective penetration depth of the radar echoes into the snowpack. The most prominent signal is associated with the extreme surface melting of summer 2012, which resulted in a shift of the dominant radar scattering horizon toward the snow surface in the accumulation zone. At locations above 2000 m, the average penetration depth in July 2012 (prior to the melt event) was 3.79 1.12 m. Following the melt event, there was an abrupt reduction in the average penetration depth across the same region to 1.45 0.94 m. The average penetration depth then gradually increased to 3.28 1.13 m by the end of 2017, as fresh snow accumulated on the ice sheet surface. Although the variation in penetration is evident in surface height estimates derived from the CryoSat-2 echoes, the magnitude of the effect is reduced by waveform retracking. Using airborne laser altimeter data recorded over the same time period, we show that the penetration variation can be compensated effectively by incorporating the deconvolution penetration depth into the surface height retrieval.</t>
  </si>
  <si>
    <t>[Slater, Thomas; Shepherd, Andrew; Otosaka, Ines] Univ Leeds, Sch Earth &amp; Environm, Ctr Polar Observat &amp; Modelling, Leeds LS2 9JT, W Yorkshire, England; [Mcmillan, Malcolm] Univ Lancaster, Data Sci Inst, Lancaster Environm Ctr, Lancaster LA1 4YW, England; [Armitage, Thomas W. K.] CALTECH, Jet Prop Lab, 4800 Oak Grove Dr, Pasadena, CA 91109 USA; [Arthern, Robert J.] British Antarctic Survey, Cambridge CB3 0ET, England</t>
  </si>
  <si>
    <t>University of Leeds; Lancaster University; California Institute of Technology; National Aeronautics &amp; Space Administration (NASA); NASA Jet Propulsion Laboratory (JPL); UK Research &amp; Innovation (UKRI); Natural Environment Research Council (NERC); NERC British Antarctic Survey</t>
  </si>
  <si>
    <t>Slater, T (corresponding author), Univ Leeds, Sch Earth &amp; Environm, Ctr Polar Observat &amp; Modelling, Leeds LS2 9JT, W Yorkshire, England.</t>
  </si>
  <si>
    <t>py10ts@leeds.ac.uk</t>
  </si>
  <si>
    <t>McMillan, Malcolm/HLQ-1163-2023</t>
  </si>
  <si>
    <t>Otosaka, Ines Natsuki/0000-0001-9740-3735; Armitage, Thomas/0000-0003-1442-7833; Slater, Thomas/0000-0003-2541-7788; McMillan, Malcolm/0000-0002-5113-0177</t>
  </si>
  <si>
    <t>U.K. Natural Environmental Research Council [cpom300001]; European Space Agency; NERC [NE/J005681/1]; National Aeronautics and Space Administration; Jet Propulsion Laboratory, California Institute of Technology; NERC [bas0100034, cpom30001, NE/T009470/1] Funding Source: UKRI</t>
  </si>
  <si>
    <t>U.K. Natural Environmental Research Council(UK Research &amp; Innovation (UKRI)Natural Environment Research Council (NERC)); European Space Agency(European Space Agency); NERC(UK Research &amp; Innovation (UKRI)Natural Environment Research Council (NERC)); National Aeronautics and Space Administration(National Aeronautics &amp; Space Administration (NASA)); Jet Propulsion Laboratory, California Institute of Technology; NERC(UK Research &amp; Innovation (UKRI)Natural Environment Research Council (NERC))</t>
  </si>
  <si>
    <t>This work was supported in part by the U.K. Natural Environmental Research Council under Grant cpom300001 and in part by the European Space Agency. T. Slater through the NERC Ice Sheet Stability (iSTAR) Programme and NERC under Grant NE/J005681/1. T. W. K. Armitage was supported at the Jet Propulsion Laboratory, California Institute of Technology, under contract with the National Aeronautics and Space Administration.</t>
  </si>
  <si>
    <t>IEEE-INST ELECTRICAL ELECTRONICS ENGINEERS INC</t>
  </si>
  <si>
    <t>PISCATAWAY</t>
  </si>
  <si>
    <t>445 HOES LANE, PISCATAWAY, NJ 08855-4141 USA</t>
  </si>
  <si>
    <t>0196-2892</t>
  </si>
  <si>
    <t>1558-0644</t>
  </si>
  <si>
    <t>IEEE T GEOSCI REMOTE</t>
  </si>
  <si>
    <t>IEEE Trans. Geosci. Remote Sensing</t>
  </si>
  <si>
    <t>10.1109/TGRS.2019.2928232</t>
  </si>
  <si>
    <t>Geochemistry &amp; Geophysics; Engineering, Electrical &amp; Electronic; Remote Sensing; Imaging Science &amp; Photographic Technology</t>
  </si>
  <si>
    <t>Geochemistry &amp; Geophysics; Engineering; Remote Sensing; Imaging Science &amp; Photographic Technology</t>
  </si>
  <si>
    <t>KA3MB</t>
  </si>
  <si>
    <t>WOS:000505701800011</t>
  </si>
  <si>
    <t>Farias, DR; Hurd, CL; Eriksen, RS; Macleod, CK</t>
  </si>
  <si>
    <t>Farias, D. R.; Hurd, C. L.; Eriksen, R. S.; Macleod, C. K.</t>
  </si>
  <si>
    <t>Ulva australis as a tool for monitoring metal-polluted estuarine system; spatial and temporal considerations</t>
  </si>
  <si>
    <t>GLOBAL NEST JOURNAL</t>
  </si>
  <si>
    <t>Biological indicators; biomonitoring; contamination; macroalgae; seasonal variability; Ulva</t>
  </si>
  <si>
    <t>HEAVY-METALS; THERMAIKOS GULF; DERWENT ESTUARY; ZINC CONCENTRATIONS; SEASONAL-VARIATION; GREEN; COPPER; ACCUMULATION; SEAWEEDS; RIGIDA</t>
  </si>
  <si>
    <t>This study investigated temporal and spatial patterns of heavy metal content in Ulva australis. Samples were collected from the Derwent Estuary, Tasmania, Australia, over 3 years (2013-2015) at locations where historically arsenic, cadmium, lead and zinc were high in sediments and seawater. Zinc and lead content were high in U. australis at all sampling times, with levels consistent with the spatial distribution of metal within the system. Zinc in Ulva varied seasonally (4.8-320.7 nng.kg(-1)), but lead did not. Zinc and lead were highest in the middle-upper estuary, close to the zinc smelter, where seawater concentrations were higher. The results suggest that spatial variation of metal content in Ulva is a reflection of variability in the seawater, which in turn indicates that U. australis could be used for monitoring the effects of metals in estuarine systems, and that U. australis could be a useful addition to existing management strategies.</t>
  </si>
  <si>
    <t>[Farias, D. R.; Macleod, C. K.] Univ Tasmania, Inst Marine &amp; Antarctic Studies Fisheries Aquacul, Taroona, Tas 7053, Australia; [Hurd, C. L.] Univ Tasmania, IMAS, 20 Castray Esplanade, Hobart, Tas 7004, Australia; [Eriksen, R. S.] UTAS, Antarctic Climate &amp; Ecosyst CRC, Private Bag 80, Hobart, Tas 7001, Australia; [Eriksen, R. S.] CSIRO Oceans &amp; Atmosphere, Hobart, Tas 7004, Australia</t>
  </si>
  <si>
    <t>Farias, DR (corresponding author), Univ Tasmania, Inst Marine &amp; Antarctic Studies Fisheries Aquacul, Taroona, Tas 7053, Australia.</t>
  </si>
  <si>
    <t>D.FariasAqueveque@utas.edu.au</t>
  </si>
  <si>
    <t>Farias, Daniela R/HOF-3829-2023; Hurd, Catriona/J-2411-2013; Macleod, Catriona/J-7176-2014</t>
  </si>
  <si>
    <t>Hurd, Catriona/0000-0001-9965-4917; Macleod, Catriona/0000-0002-0539-6361</t>
  </si>
  <si>
    <t>Holsworth Wildlife Research Endowment [M0021673 HWRE]; BECAS Chile, CONICYT-CHILE</t>
  </si>
  <si>
    <t>Holsworth Wildlife Research Endowment; BECAS Chile, CONICYT-CHILE</t>
  </si>
  <si>
    <t>The authors would like to acknowledge to the Derwent Estuary Program (DEP) for providing environmental data. To Tania Mendo and Malinda Auluck for their support on the field, to Rafael Leon for statistical advice, and Gerry Kraft from the Tasmanian Herbarium for the taxonomy identification of Ulva specimens. This research was funding by The Holsworth Wildlife Research Endowment (M0021673 HWRE) and BECAS Chile, CONICYT-CHILE.</t>
  </si>
  <si>
    <t>GLOBAL NETWORK ENVIRONMENTAL SCIENCE &amp; TECHNOLOGY</t>
  </si>
  <si>
    <t>ATHENS</t>
  </si>
  <si>
    <t>30 VOULGAROKTONOU STR, ATHENS, GR 114 72, GREECE</t>
  </si>
  <si>
    <t>1790-7632</t>
  </si>
  <si>
    <t>GLOBAL NEST J</t>
  </si>
  <si>
    <t>Glob. Nest. J.</t>
  </si>
  <si>
    <t>10.30955/gnj.002638</t>
  </si>
  <si>
    <t>KA9UL</t>
  </si>
  <si>
    <t>WOS:000506145600004</t>
  </si>
  <si>
    <t>Sanders, LA</t>
  </si>
  <si>
    <t>Sanders, Luke A.</t>
  </si>
  <si>
    <t>A Path Towards Arctic Presence: Stricter Regulation as the First Step in Free Navigation</t>
  </si>
  <si>
    <t>HASTINGS LAW JOURNAL</t>
  </si>
  <si>
    <t>The Arctic ice cap is melting. As the ice recedes, shipping lanes are opening that present shorter transport routes across the top of the globe. Industry analysts predict an Arctic shipping boom in coming years. In response, the International Maritime Organization (IMO) implemented a Polar Code (the Polar Code or the Code) to place heightened environmental and safety requirements on ships traversing the Arctic and Antarctic regions. These rules are binding on the United States, and the U.S. Coast Guard published the rulemaking for Polar Ship requirements. However, the rules have multiple shortcomings and loopholes. At the IMO, conversations have begun regarding how a Polar Code Phase II could be instituted to help further mitigate risk. Meanwhile, the United States is unprepared for the coming Arctic surge. Although the gateway to these new routes runs through the Bering Sea, largely in U.S.-controlled waters, the nation lacks the ice-capable ships and northern infrastructure to facilitate safe navigation. Conversely, Russia is investing heavily in its Arctic fleet and building the infrastructure to support them. It has implemented restrictions and imposed harsh tariffs on vessels transiting this Northern Sea Route. While these actions run counter to the U.S. Freedom of Navigation policy (and possibly international law), the United States lacks the Arctic presence to influence its neighbor to ease restrictions on these future shipping lanes. This Note examines how stricter U.S. regulation of Arctic shipping can lead to a greater physical presence and peaceful assertion of American geopolitical will. A Coast Guard-led rulemaking based on the proposals for Polar Code Phase II, which fills the aforementioned gaps in the current regulatory scheme, would provide increased protections for the Arctic environment. This Note predicts how this regulatory effort could set in motion a chain of events with beneficial impacts on trade, the Coast Guard, and American foreign policy goals. New rules could serve as a proof-of-concept for the IMO and incentivize the use of Arctic shipping lanes by lowering assessed risk and reducing insurance costs. The resulting shipping increase should create a natural need for more Coast Guard assets to ensure safe and secure navigation. Finally, this Note will assess how the combined presence of Coast Guard assets and multinational shippers, eager for free navigation, could place pressure on Russia to loosen its restrictions on the Northern Sea Route.</t>
  </si>
  <si>
    <t>[Sanders, Luke A.] Univ Calif San Francisco, Hastings Coll Law, San Francisco, CA 94102 USA</t>
  </si>
  <si>
    <t>University of California System; University of California San Francisco</t>
  </si>
  <si>
    <t>Sanders, LA (corresponding author), Univ Calif San Francisco, Hastings Coll Law, San Francisco, CA 94102 USA.</t>
  </si>
  <si>
    <t>lasanders@uchastings.edu</t>
  </si>
  <si>
    <t>UNIV CALIF</t>
  </si>
  <si>
    <t>HASTINGS COLLEGE LAW 200 MCALLISTER ST, SAN FRANCISCO, CA 94102 USA</t>
  </si>
  <si>
    <t>0017-8322</t>
  </si>
  <si>
    <t>HASTINGS LAW J</t>
  </si>
  <si>
    <t>Hastings Law J.</t>
  </si>
  <si>
    <t>Law</t>
  </si>
  <si>
    <t>Government &amp; Law</t>
  </si>
  <si>
    <t>JZ6TA</t>
  </si>
  <si>
    <t>WOS:000505237500005</t>
  </si>
  <si>
    <t>Gémard, C; Aubin, T; Bonadonna, F</t>
  </si>
  <si>
    <t>Gemard, Charlene; Aubin, Thierry; Bonadonna, Francesco</t>
  </si>
  <si>
    <t>Males' calls carry information about individual identity and morphological characteristics of the caller in burrowing petrels</t>
  </si>
  <si>
    <t>JOURNAL OF AVIAN BIOLOGY</t>
  </si>
  <si>
    <t>vocal communications; sexual selection; identity; phenotypic features; seabirds; petrels</t>
  </si>
  <si>
    <t>CO-INERTIA ANALYSIS; HOOPOE UPUPA-EPOPS; BLUE PETREL; HALOBAENA-CAERULEA; BODY-SIZE; BILL MORPHOLOGY; PELAGIC SEABIRD; PARENTAL EFFORT; STROPHE LENGTH; BIRD SONG</t>
  </si>
  <si>
    <t>Acoustic communication in burrowing petrels has been poorly studied. However, as for many other bird species, acoustic communication seems to play an essential role in social interactions during the breeding season of these seabirds. Bachelor males call from their burrow, likely to attract females, but also when vocally challenged by other males. Calling in the breeding colony exposes petrels to high predation risks and thus it should provide an important benefit. The present study focuses on the informative content of males' calls in the blue petrel Halobaena caerulea and the Antarctic prion Pachyptila desolata, two monogamous petrel species producing a single egg per year. We tested the hypotheses that acoustic parameters of a male's calls 1) reflect phenotypic characteristics, and 2) bear an individual vocal signature. To do so, we first tested on both species the relationships between seven morphometric measurements and 11 acoustic parameters using multivariate analyses. Second, we performed a between-class analysis and calculated the potential of individuality coding (i.e. the ratio between intra- and inter-individual variabilities) for acoustic parameters in both spectral and temporal domains. Results show acoustic parameters (especially energy quartiles, call duration, and syllable or phrase rate) reflect the caller's body size, bill morphology and wing morphology in both species. Considering the seeming pertinence of wing morphology, we suggest wing area may be a more relevant trait to consider than wing length when studying soaring birds. The results support the idea that energy quartiles, phrase rate and call duration also code for individual identity. Information carried by males' calls might play a role in social interactions, such as burrow defence (e.g. male-male competition, neighbour-stranger discrimination) and/or female mate choice.</t>
  </si>
  <si>
    <t>[Gemard, Charlene; Bonadonna, Francesco] CNRS, CEFE, Montpellier, France; [Aubin, Thierry] CNRS, Neuro PSI, Orsay, France</t>
  </si>
  <si>
    <t>Universite PSL; Ecole Pratique des Hautes Etudes (EPHE); Institut Agro; Montpellier SupAgro; CIRAD; Centre National de la Recherche Scientifique (CNRS); Institut de Recherche pour le Developpement (IRD); Universite Paul-Valery; Universite de Montpellier; Universite Paris Saclay; Centre National de la Recherche Scientifique (CNRS)</t>
  </si>
  <si>
    <t>Gémard, C (corresponding author), CNRS, CEFE, Montpellier, France.</t>
  </si>
  <si>
    <t>charlene.gemard@cefe.cnrs.fr</t>
  </si>
  <si>
    <t>Gémard, Charlène/AAQ-3637-2020</t>
  </si>
  <si>
    <t>Gémard, Charlène/0000-0002-8019-5842</t>
  </si>
  <si>
    <t>French Polar Inst; Paul Emile Victor (IPEV) [354]</t>
  </si>
  <si>
    <t>French Polar Inst; Paul Emile Victor (IPEV)</t>
  </si>
  <si>
    <t>This work was supported by the French Polar Inst. Paul Emile Victor (IPEV, program no. 354).</t>
  </si>
  <si>
    <t>0908-8857</t>
  </si>
  <si>
    <t>1600-048X</t>
  </si>
  <si>
    <t>J AVIAN BIOL</t>
  </si>
  <si>
    <t>J. Avian Biol.</t>
  </si>
  <si>
    <t>e02270</t>
  </si>
  <si>
    <t>10.1111/jav.02270</t>
  </si>
  <si>
    <t>KA1CA</t>
  </si>
  <si>
    <t>WOS:000505535700007</t>
  </si>
  <si>
    <t>Han, S; Han, H; Lee, H</t>
  </si>
  <si>
    <t>Han, Soojeong; Han, Hyangsun; Lee, Hoonyol</t>
  </si>
  <si>
    <t>Analysis of Tidal Deflection and Ice Properties of Ross Ice Shelf, Antarctica, by using DDInSAR Imagery</t>
  </si>
  <si>
    <t>KOREAN JOURNAL OF REMOTE SENSING</t>
  </si>
  <si>
    <t>Korean</t>
  </si>
  <si>
    <t>Ross Ice shelf; Sentinel-1A; DDInSAR; tidal deflection; hinge zone; elastic beam model; tide model</t>
  </si>
  <si>
    <t>THICKNESS; VELOCITY; SURFACE; FLEXURE</t>
  </si>
  <si>
    <t>This study analyzes the tide deformation of land boundary regions on the east (Region A) and west (Region B) sides of the Ross Ice Shelf in Antarctica using Double-Differential Interferometric Synthetic Aperture Radar (DDInSAR). A total of seven Sentinel-1A SAR images acquired in 2015-2016 were used to estimate the accuracy of tide prediction model and Young's modulus of ice shelf. First, we compared the Ross Sea Height-based Tidal Inverse (Ross_Inv) model, which is a representative tide prediction model for the Antarctic Ross Sea, with the tide deformation of the ice shelf extracted from the DDInSAR image. The accuracy was analyzed as 3.86 cm in the east region of Ross Ice Shelf and it was confirmed that the inverse barometric pressure effect must be corrected in the tide model. However, in the east, it is confirmed that the tide model may be inaccurate because a large error occurs even after correction of the atmospheric effect. In addition, the Young's modulus of the ice was calculated on the basis of the one-dimensional elastic beam model showing the correlation between the width of the hinge zone where the tide strain occurs and the ice thickness. For this purpose, the grounding line is defined as the line where the displacement caused by the tide appears in the DDInSAR image, and the hinge line is defined as the line to have the local maximum/minimum deformation, and the hinge zone as the area between the two lines. According to the one-dimensional elastic beam model assuming a semi-infinite plane, the width of the hinge region is directly proportional to the 0.75 power of the ice thickness. The width of the hinge zone was measured in the area where the ground line and the hinge line were close to the straight line shown in DDInSAR. The linear regression analysis with the 0.75 power of BEDMAP2 ice thickness estimated the Young's modulus of 1.77 +/- 0.73 GPa in the east and west of the Ross Ice Shelf. In this way, more accurate Young's modulus can be estimated by accumulating Sentinel-1 images in the future.</t>
  </si>
  <si>
    <t>[Han, Soojeong; Lee, Hoonyol] Kangwon Natl Univ, Dept Geophys, Chuncheon Si, Gangwon Do, South Korea; [Han, Soojeong] Asia Aero Survey Co, Seoul, South Korea; [Han, Hyangsun] Korea Polar Res Inst, Unit Arctic Sea Ice Predict, Incheon, South Korea</t>
  </si>
  <si>
    <t>Kangwon National University; Korea Polar Research Institute (KOPRI)</t>
  </si>
  <si>
    <t>Lee, H (corresponding author), Kangwon Natl Univ, Dept Geophys, Chuncheon Si, Gangwon Do, South Korea.</t>
  </si>
  <si>
    <t>hoonyol@kangwon.ac.kr</t>
  </si>
  <si>
    <t>Han, Hyangsun/AAE-7670-2022</t>
  </si>
  <si>
    <t>Han, Hyangsun/0000-0002-0414-519X</t>
  </si>
  <si>
    <t>KOREAN SOC REMOTE SENSING</t>
  </si>
  <si>
    <t>KOREAN SOC REMOTE SENSING, SEOUL, 00000, SOUTH KOREA</t>
  </si>
  <si>
    <t>1225-6161</t>
  </si>
  <si>
    <t>2287-9307</t>
  </si>
  <si>
    <t>KOREAN J REMOTE SENS</t>
  </si>
  <si>
    <t>Korean J. Remote Sensing</t>
  </si>
  <si>
    <t>10.7780/kjrs.2019.35.6.1.5</t>
  </si>
  <si>
    <t>Remote Sensing</t>
  </si>
  <si>
    <t>JZ5PJ</t>
  </si>
  <si>
    <t>WOS:000505154000005</t>
  </si>
  <si>
    <t>Paxman, GJG; Jamieson, SSR; Hochmuth, K; Gohl, K; Bentley, MJ; Leitchenkov, G; Ferraccioli, F</t>
  </si>
  <si>
    <t>Paxman, Guy J. G.; Jamieson, Stewart S. R.; Hochmuth, Katharina; Gohl, Karsten; Bentley, Michael J.; Leitchenkov, German; Ferraccioli, Fausto</t>
  </si>
  <si>
    <t>Reconstructions of Antarctic topography since the Eocene-Oligocene boundary</t>
  </si>
  <si>
    <t>PALAEOGEOGRAPHY PALAEOCLIMATOLOGY PALAEOECOLOGY</t>
  </si>
  <si>
    <t>NORTHERN VICTORIA LAND; MARIE-BYRD-LAND; ICE-SHEET; TRANSANTARCTIC MOUNTAINS; LANDSCAPE EVOLUTION; EROSION SURFACES; ROSS SEA; ELLSWORTH MOUNTAINS; WEST ANTARCTICA; GLACIAL EROSION</t>
  </si>
  <si>
    <t>Accurate models of past Antarctic ice sheet behaviour require realistic reconstructions of the evolution of bedrock topography. However, other than a preliminary attempt to reconstruct Antarctic topography at the Eocene Oligocene boundary, the long-term evolution of Antarctica's subglacial topography throughout its glacial history has not previously been quantified. Here, we derive new reconstructions of Antarctic topography for four key time slices in Antarctica's climate and glacial history: the Eocene-Oligocene boundary (ca. 34 Ma), the Oligocene Miocene boundary (ca. 23 Ma), the mid-Miocene climate transition (ca. 14 Ma), and the mid-Pliocene warm period (ca. 3.5 Ma). To reconstruct past topography, we consider a series of processes including ice sheet loading, volcanism, thermal subsidence, horizontal plate motion, erosion, sedimentation and flexural isostatic adjustment, and validate our models where possible using onshore and offshore geological constraints. Our reconstructions show that the land area of Antarctica situated above sea level was similar to 25% larger at the Eocene-Oligocene boundary than at the present-day. Offshore sediment records and terrestrial constraints indicate that the incision of deep subglacial topographic troughs around the margin of East Antarctica occurred predominantly in the Oligocene and early Miocene, whereas in West Antarctica erosion and sedimentation rates accelerated after the midMiocene. Changes to the topography after the mid-Pliocene were comparatively minor. Our new palaeotopography reconstructions provide a critical boundary condition for models seeking to understand past behaviour of the Antarctic Ice Sheet, and have implications for estimating changes in global ice volume, temperature, and sea level across major Cenozoic climate transitions.</t>
  </si>
  <si>
    <t>[Paxman, Guy J. G.; Jamieson, Stewart S. R.; Bentley, Michael J.] Univ Durham, Dept Geog, Durham, England; [Hochmuth, Katharina; Gohl, Karsten] Helmholtz Ctr Polar &amp; Marine Sci, Alfred Wegener Inst Helmholtz, Bremerhaven, Germany; [Hochmuth, Katharina] Univ Leicester, Sch Geog Geol &amp; Environm, Leicester, Leics, England; [Leitchenkov, German] Inst Geol &amp; Mineral Resources World Ocean, St Petersburg, Russia; [Leitchenkov, German] St Petersburg State Univ, Inst Earth Sci, St Petersburg, Russia; [Ferraccioli, Fausto] British Antarctic Survey, Cambridge, England</t>
  </si>
  <si>
    <t>Durham University; Helmholtz Association; Alfred Wegener Institute, Helmholtz Centre for Polar &amp; Marine Research; University of Leicester; Saint Petersburg State University; UK Research &amp; Innovation (UKRI); Natural Environment Research Council (NERC); NERC British Antarctic Survey</t>
  </si>
  <si>
    <t>Paxman, GJG (corresponding author), Univ Durham, Dept Geog, Durham, England.</t>
  </si>
  <si>
    <t>guy.j.paxman@durham.ac.uk</t>
  </si>
  <si>
    <t>Bentley, Michael J/F-7386-2011; Jamieson, Stewart/B-8330-2013</t>
  </si>
  <si>
    <t>Bentley, Michael J/0000-0002-2048-0019; Paxman, Guy/0000-0003-1787-7442; Jamieson, Stewart/0000-0002-9036-2317; Gohl, Karsten/0000-0002-9558-2116; Hochmuth, Katharina/0000-0003-2789-2179; Ferraccioli, Fausto/0000-0002-9347-4736</t>
  </si>
  <si>
    <t>Natural Environment Research Council UK studentship [NE/L002590/1]; Royal Astronomical Society grant; German Research Foundation (DFG) [GO274/15]; University of Tasmania Visiting Scholar scheme; British Antarctic Survey Geology and Geophysics team; NERC [bas0100029, NE/K003674/1] Funding Source: UKRI</t>
  </si>
  <si>
    <t>Natural Environment Research Council UK studentship(UK Research &amp; Innovation (UKRI)Natural Environment Research Council (NERC)); Royal Astronomical Society grant; German Research Foundation (DFG)(German Research Foundation (DFG)); University of Tasmania Visiting Scholar scheme; British Antarctic Survey Geology and Geophysics team; NERC(UK Research &amp; Innovation (UKRI)Natural Environment Research Council (NERC))</t>
  </si>
  <si>
    <t>GJGP is in receipt of a Natural Environment Research Council UK studentship NE/L002590/1 and was also supported by a Royal Astronomical Society grant. KH was funded by the German Research Foundation (DFG) grant GO274/15 and also acknowledges the tremendous help of J. Whittaker, I Sauermilch and the University of Tasmania Visiting Scholar scheme for additional funding during a research stay. FF acknowledges support from the British Antarctic Survey Geology and Geophysics team. We also wish to thank Mikhail Kaban for providing us with a grid of Antarctic effective elastic thickness. This research is a contribution to the Scientific Committee on Antarctic Research (SCAR) Past Antarctic Ice Sheet dynamics (PAIS) programme. We would like to acknowledge the support of numerous members of SCAR and PAIS and all contributors to the various ANTscape workshops on Antarctic palaeotopography and palaeobathymetry that were instrumental in the production of the topographies in this paper. We also thank Peter Barrett and Stuart Thomson for their constructive reviews, which greatly improved the final manuscript. The palaeotopography grids produced in this study are available online as supplementary material. Grids and figures were produced using the Generic Mapping Tools (GMT) software package version 5 (Wessel et al., 2013).</t>
  </si>
  <si>
    <t>0031-0182</t>
  </si>
  <si>
    <t>1872-616X</t>
  </si>
  <si>
    <t>PALAEOGEOGR PALAEOCL</t>
  </si>
  <si>
    <t>Paleogeogr. Paleoclimatol. Paleoecol.</t>
  </si>
  <si>
    <t>10.1016/j.palaeo.2019.109346</t>
  </si>
  <si>
    <t>Geography, Physical; Geosciences, Multidisciplinary; Paleontology</t>
  </si>
  <si>
    <t>Physical Geography; Geology; Paleontology</t>
  </si>
  <si>
    <t>JZ0HV</t>
  </si>
  <si>
    <t>Green Accepted, Green Published, hybrid</t>
  </si>
  <si>
    <t>WOS:000504786400001</t>
  </si>
  <si>
    <t>Cho, SM; Kim, S; Cho, H; Lee, H; Lee, JH; Lee, H; Park, H; Kang, S; Choi, HG; Lee, J</t>
  </si>
  <si>
    <t>Cho, Sung Mi; Kim, Sanghee; Cho, Hojin; Lee, Hyoungseok; Lee, Jun Hyuck; Lee, Horim; Park, Hyun; Kang, Seunghyun; Choi, Han-Gu; Lee, Jungeun</t>
  </si>
  <si>
    <t>Type II Ice-Binding Proteins Isolated from an Arctic Microalga Are Similar to Adhesin-Like Proteins and Increase Freezing Tolerance in Transgenic Plants</t>
  </si>
  <si>
    <t>Chloromonas; Ice-binding protein; Freezing tolerance; Ice recrystallization inhibition; Adhesin-like protein</t>
  </si>
  <si>
    <t>ANTIFREEZE PROTEIN; TRANSCRIPTION FACTORS; EXPRESSION; ALGA; SURVIVAL; GENES; GRASS</t>
  </si>
  <si>
    <t>Microalgal ice-binding proteins (IBPs) in the polar region are poorly understood at the genome-wide level, although they are important for cold adaptation. Through the transcriptome study with the Arctic green alga Chloromonas sp. KNF0032, we identified six Chloromonas IBP genes (CmIBPs), homologous with the previously reported IBPs from Antarctic snow alga CCMP681 and Antarctic Chloromonas sp. They were organized with multiple exon/ intron structures and low-temperature-responsive cis-elements in their promoters and abundantly expressed at low temperature. The biological functions of three representative CmIBPs (CmIBP1, CmIBP2 and CmIBP3) were tested using in vitro analysis and transgenic plant system. CmIBP1 had the most effective ice recrystallization inhibition (IRI) activities in both in vitro and transgenic plants, and CmIBP2 and CmIBP3 had followed. All transgenic plants grown under nonacclimated condition were freezing tolerant, and especially 35S::CmIBP1 plants were most effective. After cold acclimation, only 35S::CmIBP2 plants showed slightly increased freezing tolerance. Structurally, the CmIBPs were predicted to have beta-solenoid forms with parallel beta-sheets and repeated TXT motifs. The repeated TXT structure of CmIBPs appears similar to the AidA domain-containing adhesin-like proteins from methanogens. We have shown that the AidA domain has IRI activity as CmIBPs and phylogenetic analysis also supported that the AidA domains are monophyletic with ice-binding domain of CmIBPs, and these results suggest that CmIBPs are a type of modified adhesins.</t>
  </si>
  <si>
    <t>[Cho, Sung Mi; Cho, Hojin; Lee, Hyoungseok; Lee, Jun Hyuck; Park, Hyun; Kang, Seunghyun; Lee, Jungeun] Korea Polar Res Inst KOPRI, Unit Polar Genom, Incheon 21990, South Korea; [Kim, Sanghee; Choi, Han-Gu] Korea Polar Res Inst KOPRI, Div Polar Life Sci, Incheon 21990, South Korea; [Cho, Hojin; Lee, Hyoungseok; Lee, Jun Hyuck; Park, Hyun; Lee, Jungeun] Univ Sci &amp; Technol, Dept Polar Sci, Daejeon 34113, South Korea; [Lee, Horim] Duksung Womens Univ, Dept Biotechnol, Seoul 01369, South Korea; [Park, Hyun] Korea Univ, Coll Life Sci &amp; Biotechnol, Div Biotechnol, Seoul 02841, South Korea</t>
  </si>
  <si>
    <t>Korea Polar Research Institute (KOPRI); Korea Polar Research Institute (KOPRI); University of Science &amp; Technology (UST); Duksung Women's University; Korea University</t>
  </si>
  <si>
    <t>Lee, J (corresponding author), Korea Polar Res Inst KOPRI, Unit Polar Genom, Incheon 21990, South Korea.;Lee, J (corresponding author), Univ Sci &amp; Technol, Dept Polar Sci, Daejeon 34113, South Korea.</t>
  </si>
  <si>
    <t>jelee@kopri.re.kr</t>
  </si>
  <si>
    <t>, Jungeun/0000-0002-6934-0199; Park, Hyun/0000-0002-8055-2010; Cho, Sung Mi/0000-0001-5414-7727; Lee, Hyoungseok/0000-0002-5831-6345</t>
  </si>
  <si>
    <t>Korea Polar Research Institute (KOPRI) [PE19080, PE19090, PE19180]</t>
  </si>
  <si>
    <t>Korea Polar Research Institute (KOPRI)</t>
  </si>
  <si>
    <t>This study was supported by the Korea Polar Research Institute (KOPRI) [PE19080, PE19090, PE19180].</t>
  </si>
  <si>
    <t>10.1093/pcp/pcz162</t>
  </si>
  <si>
    <t>JZ2HH</t>
  </si>
  <si>
    <t>WOS:000504924100014</t>
  </si>
  <si>
    <t>Zou, F; Tenzer, R; Rathnayake, S</t>
  </si>
  <si>
    <t>Zou, Fang; Tenzer, Robert; Rathnayake, Samurdhika</t>
  </si>
  <si>
    <t>Monitoring changes of the Antarctic Ice sheet by GRACE, ICESat and GNSS</t>
  </si>
  <si>
    <t>CONTRIBUTIONS TO GEOPHYSICS AND GEODESY</t>
  </si>
  <si>
    <t>Antarctica; ice sheet; glacier; GRACE; ICESat</t>
  </si>
  <si>
    <t>SEA-LEVEL RISE; MASS-BALANCE; GREENLAND</t>
  </si>
  <si>
    <t>In this study, we estimate the ice mass changes, the ice elevation changes and the vertical displacements in Antarctica based on analysis of multi-geodetic datasets that involve the satellite gravimetry (GRACE), the satellite altimetry (ICESat) and the global navigation satellite systems (GNSS). According to our estimates, the total mass change of the Antarctic ice sheet from GRACE data is -162.91 Gt/yr over the investigated period between April 2002 and June 2017. This value was obtained after applying the GIA correction of -98.12 Gt/yr derived from the ICE-5G model of the glacial isostatic adjustment. A more detailed analysis of mass balance changes for three individual drainage regions in Antarctica reveal that the mass loss of the West Antarctic ice sheet was at a rate of - 143.11 Gt/yr. The mass loss of the Antarctic Peninsula ice sheet was at a rate of -24.31 Gt/yr. The mass of the East Antarctic ice sheet increased at a rate of 5.29 Gt/yr during the investigated period. When integrated over the entire Antarctic ice sheet, average rates of ice elevation changes over the period from March 2003 to October 2009 derived from ICESat data represent the loss of total ice volume of -155.6 km(3). The most prominent features in ice volume changes in Antarctica are characterized by a strong dynamic thinning and ice mass loss in the Amundsen Sea Embayment that is part of the West Antarctic ice sheet. In contrast, coastal regions between Dronning Maud Land and Enderby Land exhibit a minor ice increase, while a minor ice mass loss is observed in Wilkes Land. The vertical load displacement rates estimated from GRACE and GPS data relatively closely agree with the GIA model derived based on the ice-load history and the viscosity profile. For most sites, the GRACE signal appears to be in phase and has the same amplitude as that obtained from the GPS vertical motions while other sites exhibit some substantial differences possibly attributed to thermo-elastic deformations associated with surface temperature.</t>
  </si>
  <si>
    <t>[Zou, Fang; Tenzer, Robert; Rathnayake, Samurdhika] Hong Kong Polytech Univ, Dept Land Surveying &amp; Geoinformat, Kowloon, 181 Chatham Rd South, Hong Kong, Peoples R China</t>
  </si>
  <si>
    <t>Hong Kong Polytechnic University</t>
  </si>
  <si>
    <t>Tenzer, R (corresponding author), Hong Kong Polytech Univ, Dept Land Surveying &amp; Geoinformat, Kowloon, 181 Chatham Rd South, Hong Kong, Peoples R China.</t>
  </si>
  <si>
    <t>robert.tenzer@polyu.edu.hk</t>
  </si>
  <si>
    <t>TENZER, Robert/C-3960-2019</t>
  </si>
  <si>
    <t>TENZER, Robert/0000-0002-9915-4960</t>
  </si>
  <si>
    <t>Hong Kong Research Grants Council [1-ZE8F]</t>
  </si>
  <si>
    <t>Hong Kong Research Grants Council(Hong Kong Research Grants Council)</t>
  </si>
  <si>
    <t>This research was funded by the Hong Kong Research Grants Council, Project 1-ZE8F: Remote-sensing data for studying Earth's and planetary inner structure.</t>
  </si>
  <si>
    <t>SCIENDO</t>
  </si>
  <si>
    <t>WARSAW</t>
  </si>
  <si>
    <t>DE GRUYTER POLAND SP Z O O, BOGUMILA ZUGA 32A STR, 01-811 WARSAW, POLAND</t>
  </si>
  <si>
    <t>1338-0540</t>
  </si>
  <si>
    <t>CONTRIB GEOPHYS GEOD</t>
  </si>
  <si>
    <t>Contrib. Geophys. Geod.</t>
  </si>
  <si>
    <t>10.2478/congeo-2019-0021</t>
  </si>
  <si>
    <t>JX9II</t>
  </si>
  <si>
    <t>WOS:000504040100002</t>
  </si>
  <si>
    <t>Servettaz, APM; Yokoyama, Y; Hirabayashi, S; Kienast, M; Miyairi, Y; Mohtadi, M</t>
  </si>
  <si>
    <t>Servettaz, Aymeric P. M.; Yokoyama, Yusuke; Hirabayashi, Shoko; Kienast, Markus; Miyairi, Yosuke; Mohtadi, Mahyar</t>
  </si>
  <si>
    <t>DISSOLVED INORGANIC RADIOCARBON CONTENT OF THE WESTERN CORAL SEA: IMPLICATIONS FOR INTERMEDIATE AND DEEP WATER CIRCULATION</t>
  </si>
  <si>
    <t>RADIOCARBON</t>
  </si>
  <si>
    <t>23rd International Radiocarbon Conference</t>
  </si>
  <si>
    <t>JUN 17-22, 2018</t>
  </si>
  <si>
    <t>Trondheim, NORWAY</t>
  </si>
  <si>
    <t>bomb-produced radiocarbon; deep water circulation; oceanography</t>
  </si>
  <si>
    <t>PACIFIC-OCEAN; NORTH PACIFIC; SOUTHWEST PACIFIC; BOMB RADIOCARBON; SOUTHERN-OCEAN; ZONAL JETS; UNIVERSITY; ATMOSPHERE; SINK; AMS</t>
  </si>
  <si>
    <t>The South Pacific Ocean contributes to the global carbon cycle by exchanging CO2 between the atmosphere and intermediate to deep water masses. The path of the Antarctic Intermediate Water (AAIW) in the South Pacific gyre has been inferred from salinity, oxygen, and nutrient measurements, but radiocarbon (C-14) measurements-a direct tracer of the carbon cycle-remain sparse. Here, we present the first radiocarbon profiles in the western Coral Sea and compare our measurements with South Pacific stations from GLODAPv2, a database of ocean hydrochemistry. Surface and subsurface waters in the Coral Sea cannot be attributed to a single source based on their Delta C-14 signatures, and we observe a penetration of bomb-produced C-14. AAIW in the western Coral Sea shows Delta C-14 values comparable to those in the South Pacific gyre, consistent with circulation of AAIW in the lower part of the southern equatorial current. The deep waters of the western Coral Sea have significantly higher C-14 than the South Pacific at the same isopycnal, consistent with a northward intrusion of Circumpolar Deep Water from the Tasman Sea, along with a westward influx of deep waters from the Central Pacific. In accordance with silicate concentrations published previously, this shows the dual origin of deep waters in the Coral Sea.</t>
  </si>
  <si>
    <t>[Servettaz, Aymeric P. M.] CEA Saclay, IPSL CEA CNRS UVSQ UMR 8212, Lab Sci Climat &amp; Environm, F-91190 Gif Sur Yvette, France; [Servettaz, Aymeric P. M.; Yokoyama, Yusuke; Hirabayashi, Shoko; Miyairi, Yosuke] Univ Tokyo, Atmosphere &amp; Ocean Res Inst, 5-1-5 Kashiwanoha, Kashiwa, Chiba 2778564, Japan; [Yokoyama, Yusuke] Univ Tokyo, Grad Sch Sci, Dept Earth &amp; Planetary Sci, Bunkyo Ku, 7-3-1 Hongo, Tokyo 1130033, Japan; [Hirabayashi, Shoko] Kyushu Univ, Fac Social &amp; Cultural Studies, Dept Environm Changes, Nishi Ku, 744 Motooka, Fukuoka, Fukuoka 8190395, Japan; [Kienast, Markus] Dalhousie Univ, Dept Oceanog, Halifax, NS B3H 4J1, Canada; [Mohtadi, Mahyar] Univ Bremen, MARUM Ctr Marine Environm Sci, D-28359 Bremen, Germany</t>
  </si>
  <si>
    <t>Universite Paris Saclay; CEA; Centre National de la Recherche Scientifique (CNRS); CNRS - National Institute for Earth Sciences &amp; Astronomy (INSU); University of Tokyo; University of Tokyo; Kyushu University; Dalhousie University; University of Bremen</t>
  </si>
  <si>
    <t>Servettaz, APM (corresponding author), CEA Saclay, IPSL CEA CNRS UVSQ UMR 8212, Lab Sci Climat &amp; Environm, F-91190 Gif Sur Yvette, France.;Servettaz, APM (corresponding author), Univ Tokyo, Atmosphere &amp; Ocean Res Inst, 5-1-5 Kashiwanoha, Kashiwa, Chiba 2778564, Japan.</t>
  </si>
  <si>
    <t>aymeric.servettaz@lsce.ipsl.fr</t>
  </si>
  <si>
    <t>Mohtadi, Mahyar/N-2106-2014</t>
  </si>
  <si>
    <t>Mohtadi, Mahyar/0000-0003-3306-0969; Servettaz, Aymeric/0000-0002-2909-6160</t>
  </si>
  <si>
    <t>German Research Ministry (BMBF) [03G0256A]; MEXT [KAKENHI JP15KK0151, JP17H01168]; JST CREST Grant [JPMJCR13A4]</t>
  </si>
  <si>
    <t>German Research Ministry (BMBF)(Federal Ministry of Education &amp; Research (BMBF)); MEXT(Ministry of Education, Culture, Sports, Science and Technology, Japan (MEXT)); JST CREST Grant</t>
  </si>
  <si>
    <t>The authors would like to thank members of the R/V Sonne 256 cruise for providing highquality samples. The R/V Sonne 256 cruise was funded by the German Research Ministry (BMBF) as project 03G0256A TACTEAC: Temperature And Circulation History of The East Australian Current. A part of this research was supported by Grants-in-Aid for Scientific Research, MEXT (No. KAKENHI JP15KK0151, JP17H01168) and JST CREST Grant Number JPMJCR13A4. We are grateful to Katsumi Matsumoto and an anonymous reviewer for their comments and constructive criticism on the manuscript.</t>
  </si>
  <si>
    <t>UNIV ARIZONA DEPT GEOSCIENCES</t>
  </si>
  <si>
    <t>TUCSON</t>
  </si>
  <si>
    <t>RADIOCARBON 4717 E FORT LOWELL RD, TUCSON, AZ 85712 USA</t>
  </si>
  <si>
    <t>0033-8222</t>
  </si>
  <si>
    <t>1945-5755</t>
  </si>
  <si>
    <t>Radiocarbon</t>
  </si>
  <si>
    <t>10.1017/RDC.2019.122</t>
  </si>
  <si>
    <t>JY9VE</t>
  </si>
  <si>
    <t>WOS:000504752800007</t>
  </si>
  <si>
    <t>Tosal, A; Valero, L; Sanjuan, J; Martín-Closas, C</t>
  </si>
  <si>
    <t>Tosal, Aixa; Valero, Luis; Sanjuan, Josep; Martin-Closas, Carles</t>
  </si>
  <si>
    <t>Influence of short- and long-term climatic cycles on floristic change across the Eocene-Oligocene boundary in the Ebro Basin (Catalonia, Spain)</t>
  </si>
  <si>
    <t>COMPTES RENDUS PALEVOL</t>
  </si>
  <si>
    <t>Cenozoic; Grande Coupure; Vegetation; Lacustrine deposits; Orbital forcing</t>
  </si>
  <si>
    <t>ANTARCTIC GLACIATION; COEXISTENCE APPROACH; FLORA; ARIDIFICATION; PALEOECOLOGY; CALIBRATION; VEGETATION; EVOLUTION; PALEOGENE; TAPHONOMY</t>
  </si>
  <si>
    <t>The Eocene-Oligocene transition (EOT) climatic turnover is modelled in the Ebro Basin using CLAMP and analysing the Sarral (Priabonian) and the Cervera (Rupelian) floras. The results show a drop of temperature and an increase in seasonality and precipitation. The changes in temperature and seasonality follow the trend described for the EOT in southern Europe; however, the increase in precipitation is the opposite of what would be expected. This increase might be related to the stratigraphic location of the Sarral Priabonian leaf bed within a dry stage of a precession cycle, whereas the Cervera Rupelian leaf bed would be located within the wet stage of a similar cycle. CLAMP combined with sedimentology, taphonomy and palaeoecology reveals that precession cycles would produce a shift in the habitat of certain plants during the EOT, with the Lauraceae being limited to riparian communities during the Priabonian of Sarral to grow in small laurisilvas during the Rupelian of Cervera. (C) 2019 Academie des sciences. Published by Elsevier Masson SAS. All rights reserved.</t>
  </si>
  <si>
    <t>[Tosal, Aixa; Sanjuan, Josep; Martin-Closas, Carles] Univ Barcelona, Dept Dinam Terra &amp; Ocea, Fac Ciencies Terra, Inst Recerca Biodiversitat IRBio, E-08028 Barcelona, Catalonia, Spain; [Valero, Luis] Univ Autonoma Barcelona, Fac Ciencies, Dept Geol, Bellaterra 08193, Catalonia, Spain; [Valero, Luis] CSIC CCiTUB, Inst Ciencies Terra Jaume Almera, Lab Paleomagnetisme, Barcelona 08028, Spain; [Valero, Luis] Univ Geneva, Dept Sci Terre, CH-1205 Geneva, Switzerland; [Sanjuan, Josep] Amer Univ Beirut, Dept Geol, Beirut 110236, Lebanon</t>
  </si>
  <si>
    <t>University of Barcelona; Autonomous University of Barcelona; Consejo Superior de Investigaciones Cientificas (CSIC); CSIC - Geociencias Barcelona (GEO3BCN); University of Geneva; American University of Beirut</t>
  </si>
  <si>
    <t>Tosal, A (corresponding author), Univ Barcelona, Dept Dinam Terra &amp; Ocea, Fac Ciencies Terra, Inst Recerca Biodiversitat IRBio, E-08028 Barcelona, Catalonia, Spain.</t>
  </si>
  <si>
    <t>atosal@ub.edu</t>
  </si>
  <si>
    <t>VALERO, LUIS/ABA-2245-2021; Martín-Closas, Carles/AAF-8460-2021; Sanjuan, Josep/D-3192-2019</t>
  </si>
  <si>
    <t>VALERO, LUIS/0000-0003-1356-721X; Tosal, Aixa/0000-0002-1300-0312; Sanjuan, Josep/0000-0002-1275-6783</t>
  </si>
  <si>
    <t>Spanish Ministry of Economy and Competitiveness(MINECO) [CGL2015-69805-P]; European Fund for Regional Development (EFRD); project of the AGAUR, Catalan Research Agency [2017SGR-824]; Catalan Government(Generalitat de Catalunya) [2016FI B 00019]</t>
  </si>
  <si>
    <t>Spanish Ministry of Economy and Competitiveness(MINECO)(Spanish Government); European Fund for Regional Development (EFRD)(European Union (EU)); project of the AGAUR, Catalan Research Agency; Catalan Government(Generalitat de Catalunya)(Generalitat de Catalunya)</t>
  </si>
  <si>
    <t>This study was funded by project CGL2015-69805-P of the Spanish Ministry of Economy and Competitiveness(MINECO) and the European Fund for Regional Development (EFRD). It was also partly funded by project of the AGAUR, Catalan Research Agency (2017SGR-824). This study has also benefitted from a predoctoral fellowship 2016FI B 00019 from the Catalan Government(Generalitat de Catalunya). The authors are grateful toDr. Dario de Franceschi and Melanie Tanrattana from theMuseum national d'histoire naturelle in Paris (France) for advice on the use of CLAMP. Finally, we also acknowledge the two reviewers, Dr. Thomas Denk and Prof. Robert Spicer, the editorial secretary Adenise Lopes as well as an anonymous reviewer, for the suggestions that largely improved the manuscript. The English text has been corrected by Dr. Christopher Evans of the Fundacio Bosch i Gimpera and the University of Barcelona.</t>
  </si>
  <si>
    <t>ACAD SCIENCES</t>
  </si>
  <si>
    <t>PARIS</t>
  </si>
  <si>
    <t>23 QUAI DE CONTI, PARIS, FRANCE</t>
  </si>
  <si>
    <t>1631-0683</t>
  </si>
  <si>
    <t>1777-571X</t>
  </si>
  <si>
    <t>CR PALEVOL</t>
  </si>
  <si>
    <t>C. R. Palevol</t>
  </si>
  <si>
    <t>10.1016/j.crpv.2019.10.003</t>
  </si>
  <si>
    <t>JV7PQ</t>
  </si>
  <si>
    <t>WOS:000502553800003</t>
  </si>
  <si>
    <t>Yang, ZF; Zhang, Y; Lv, YX; Yan, WK; Xiao, X; Sun, B; Ma, HM</t>
  </si>
  <si>
    <t>Yang, Zhifeng; Zhang, Yu; Lv, Yongxin; Yan, Wenkai; Xiao, Xiang; Sun, Bo; Ma, Hongmei</t>
  </si>
  <si>
    <t>H2 Metabolism revealed by metagenomic analysis of subglacial sediment from East Antarctica</t>
  </si>
  <si>
    <t>subglacial; Antarctic; hydrogen; chemoautotrophy; nitrate; metagenome</t>
  </si>
  <si>
    <t>HYDROGEN-OXIDIZING BACTERIUM; LAKE VOSTOK; SP NOV.; BENEATH; ENVIRONMENTS; POLAROMONAS; DIVERSITY; OXIDATION; FIXATION; DYNAMICS</t>
  </si>
  <si>
    <t>Subglacial ecosystems harbor diverse chemoautotrophic microbial communities in areas with limited organic carbon, and lithological H-2 produced during glacial erosion has been considered an important energy source in these ecosystems. To verify the H-2-utilizing potential there and to identify the related energy-converting metabolic mechanisms of these communities, we performed metagenomic analysis on subglacial sediment samples from East Antarctica with and without H-2 supplementation. Genes coding for several [NiFe]-hydrogenases were identified in raw sediment and were enriched after H-2 incubation. All genes in the dissimilatory nitrate reduction and denitrification pathways were detected in the subglacial community, and the genes coding for these pathways became enriched after H-2 was supplied. Similarly, genes transcribing key enzymes in the Calvin cycle were detected in raw sediment and were also enriched. Moreover, key genes involved in H-2 oxidization, nitrate reduction, oxidative phosphorylation, and the Calvin cycle were identified within one metagenome-assembled genome belonging to a Polaromonas sp. As suggested by our results, the microbial community in the subglacial environment we investigated consisted of chemoautotrophic populations supported by H-2 oxidation. These results further confirm the importance of H-2 in the cryosphere.</t>
  </si>
  <si>
    <t>[Yang, Zhifeng; Sun, Bo; Ma, Hongmei] Polar Res Inst China, SOA Key Lab Polar Sci, Shanghai, Peoples R China; [Yang, Zhifeng; Zhang, Yu; Lv, Yongxin; Yan, Wenkai; Xiao, Xiang] Shanghai Jiao Tong Univ, State Key Lab Ocean Engn, Shanghai, Peoples R China; [Yang, Zhifeng; Zhang, Yu; Lv, Yongxin; Yan, Wenkai; Xiao, Xiang] Shanghai Jiao Tong Univ, Sch Oceanog, Shanghai, Peoples R China</t>
  </si>
  <si>
    <t>Polar Research Institute of China; Shanghai Jiao Tong University; Shanghai Jiao Tong University</t>
  </si>
  <si>
    <t>Ma, HM (corresponding author), Polar Res Inst China, SOA Key Lab Polar Sci, Shanghai, Peoples R China.</t>
  </si>
  <si>
    <t>mahongmei@pric.org.cn</t>
  </si>
  <si>
    <t>YAN, WENKAI/JRY-8319-2023; sun, bo/JFA-9978-2023; Xiao, Xiao/IAN-3011-2023; xiao, xiang/GWU-6035-2022; , yu/GYD-8364-2022</t>
  </si>
  <si>
    <t>, yu/0000-0002-0379-7882; Lv, Yongxin/0000-0001-6101-0948</t>
  </si>
  <si>
    <t>National Natural Science Foundation of China [41476123, 41276202, 41676177]; National Key Research and Development Program of China [2016YFC0300709]</t>
  </si>
  <si>
    <t>National Natural Science Foundation of China(National Natural Science Foundation of China (NSFC)); National Key Research and Development Program of China</t>
  </si>
  <si>
    <t>This work was supported by the National Natural Science Foundation of China [41476123, 41276202 and 41676177] and the National Key Research and Development Program of China [2016YFC0300709].</t>
  </si>
  <si>
    <t>10.1007/s12275-019-9366-2</t>
  </si>
  <si>
    <t>JX9FD</t>
  </si>
  <si>
    <t>WOS:000504031800008</t>
  </si>
  <si>
    <t>Chae, H; Lim, S; Kim, HS; Choi, HG; Kim, JH</t>
  </si>
  <si>
    <t>Chae, Hyunsik; Lim, Sooyeon; Kim, Han Soon; Choi, Han-Gu; Kim, Ji Hee</t>
  </si>
  <si>
    <t>Morphology and phylogenetic relationships of Micractinium (Chlorellaceae, Trebouxiophyceae) taxa, including three new species from Antarctica</t>
  </si>
  <si>
    <t>ALGAE</t>
  </si>
  <si>
    <t>Antarctica; ITS2 secondary structure; Micractinium; morphology; nuclear rDNA; phylogenetic relationships</t>
  </si>
  <si>
    <t>SOUTH SHETLAND ISLANDS; SP-NOV CHLORELLACEAE; DECEPTION ISLAND; GREEN-ALGAE; CHLOROPHYTA; DIDYMOGENES; VARIABILITY; GENOTYPE; GENUS</t>
  </si>
  <si>
    <t>Three new species of the genus Micractinium were collected from five localities on the South Shetland Islands in maritime Antarctica, and their morphological and molecular characteristics were investigated. Die vegetative cells are spherical to ellipsoidal and a single chloroplast is parietal with a pyrenoid. Because of their simple morphology, no conspicuous morphological characters of new species were recognized under light microscopy. However, molecular phylogenetic relationships were inferred from the concatenated small subunit rDNA, and internal transcribed spacer (ITS) sequence data indicated that the Antarctic microalgal strains are strongly allied to the well-supported genus Micractinium, including M. pusillutn, the type species of the genus, and three other species in the genus. The secondary structure of ITS2 and compensatory base changes were used to identify and describe six Antarctic Micractinium strains. Based on their morphological and molecular characteristics, we characterized three new species of Micractinium: M. simplicissimum sp. nov., M. singularis sp. nov., and M. variabile sp. nov.</t>
  </si>
  <si>
    <t>[Chae, Hyunsik; Lim, Sooyeon; Choi, Han-Gu; Kim, Ji Hee] Korea Polar Res Inst, Div Polar Life Sci, Incheon 21990, South Korea; [Chae, Hyunsik; Kim, Han Soon] Kyungpook Natl Univ, Sch Life Sci, Daegu 41566, South Korea; [Lim, Sooyeon] Syntekabio, Funct Genom R&amp;D Team, Daejeon 34025, South Korea</t>
  </si>
  <si>
    <t>Korea Polar Research Institute (KOPRI); Kyungpook National University</t>
  </si>
  <si>
    <t>Kim, JH (corresponding author), Korea Polar Res Inst, Div Polar Life Sci, Incheon 21990, South Korea.</t>
  </si>
  <si>
    <t>jhalgae@kopri.re.kr</t>
  </si>
  <si>
    <t>Korea Polar Research Institute [PE19090, PE19150]</t>
  </si>
  <si>
    <t>Korea Polar Research Institute(Korea Polar Research Institute of Marine Research Placement (KOPRI))</t>
  </si>
  <si>
    <t>The authors report no conflicts of interest. The authors alone are responsible for the content and writing of the paper. The research was supported by the Korea Polar Research Institute (PE19090, PE19150).</t>
  </si>
  <si>
    <t>KOREAN SOC PHYCOLOGY</t>
  </si>
  <si>
    <t>B1F, TRUST TOWER, 275-7 YANGJAE-DONG, SEOCHO-KU, SEOUL, 137-739, SOUTH KOREA</t>
  </si>
  <si>
    <t>1226-2617</t>
  </si>
  <si>
    <t>2093-0860</t>
  </si>
  <si>
    <t>ALGAE-SEOUL</t>
  </si>
  <si>
    <t>Algae</t>
  </si>
  <si>
    <t>10.4490/algae.2019.34.10.15</t>
  </si>
  <si>
    <t>Plant Sciences; Marine &amp; Freshwater Biology</t>
  </si>
  <si>
    <t>JX6PB</t>
  </si>
  <si>
    <t>WOS:000503853300002</t>
  </si>
  <si>
    <t>Dong, Y; Qi, GR; Feng, CL; Wang, W; Zhang, FY; Zhao, M; Wang, LM; Ma, LB; Ma, CY</t>
  </si>
  <si>
    <t>Dong, Yao; Qi, Guangrui; Feng, Chunlei; Wang, Wei; Zhang, Fengying; Zhao, Ming; Wang, Lumin; Ma, Lingbo; Ma, Chunyan</t>
  </si>
  <si>
    <t>GENETIC DIVERSITY AND STRUCTURE OF EUPHAUSIA SUPERBA IN THE SOUTH SHETLAND ISLANDS USING THE MITOCHONDRIAL ND6 GENE</t>
  </si>
  <si>
    <t>CRUSTACEANA</t>
  </si>
  <si>
    <t>Euphausia superba; ND6; South Shetland Islands; genetic diversity and structure; demographic history</t>
  </si>
  <si>
    <t>ANTARCTIC KRILL; POPULATION-STRUCTURE; GROWTH; DANA; ABUNDANCE; POLYMORPHISM; REGION; OCEAN; RATES; SEA</t>
  </si>
  <si>
    <t>Euphausia superba is an abundant element in the marine plankton on the planet. Despite substantial research on this species, there is no comprehensive understanding of the population genetics of E. superba yet. In this study, the ND6 gene was used to assess the genetic variation in E. superba. In the South Shetland Islands, the population of E. superba shows abundant genetic variation, but we found a lack of genetic structure. An analysis of the demographic history suggested that a sudden expansion has been responsible for its high biomass. Our study could not only broaden our comprehension of E. superba, but also provide more scientific information on fisheries resources exploitation, biodiversity conservation and the maintenance of a proper ecological balance.</t>
  </si>
  <si>
    <t>[Dong, Yao; Qi, Guangrui; Feng, Chunlei; Wang, Wei; Zhang, Fengying; Zhao, Ming; Wang, Lumin; Ma, Lingbo; Ma, Chunyan] Chinese Acad Fishery Sci, East China Sea Fisheries Res Inst, Key Lab East China Sea &amp; Ocean Fishery Resources, Minist Agr, Jungong Rd 300, Shanghai 200090, Peoples R China</t>
  </si>
  <si>
    <t>Ministry of Agriculture &amp; Rural Affairs; Chinese Academy of Fishery Sciences; East China Sea Fisheries Research Institute, CAFS</t>
  </si>
  <si>
    <t>Ma, LB; Ma, CY (corresponding author), Chinese Acad Fishery Sci, East China Sea Fisheries Res Inst, Key Lab East China Sea &amp; Ocean Fishery Resources, Minist Agr, Jungong Rd 300, Shanghai 200090, Peoples R China.</t>
  </si>
  <si>
    <t>malingbo@vip.sina.com; mcy0527@126.com</t>
  </si>
  <si>
    <t>Ma, Chunyan/AAJ-2777-2020; Ma, Chunyan/HMP-3228-2023; Zhang, Wenbin/JXX-8070-2024</t>
  </si>
  <si>
    <t>Ma, Chunyan/0000-0002-0453-0450;</t>
  </si>
  <si>
    <t>National Science and Technology Support Plan [2013BAD13B03]; National Natural Science Foundation of China [41406190]; National Key Rand D Program of China [2018YFC1406400]</t>
  </si>
  <si>
    <t>National Science and Technology Support Plan; National Natural Science Foundation of China(National Natural Science Foundation of China (NSFC)); National Key Rand D Program of China</t>
  </si>
  <si>
    <t>This work was supported by the National Science and Technology Support Plan (No. 2013BAD13B03), the National Natural Science Foundation of China (No. 41406190) and the National Key Rand D Program of China (No. 2018YFC1406400).</t>
  </si>
  <si>
    <t>BRILL</t>
  </si>
  <si>
    <t>PLANTIJNSTRAAT 2, P O BOX 9000, 2300 PA LEIDEN, NETHERLANDS</t>
  </si>
  <si>
    <t>0011-216X</t>
  </si>
  <si>
    <t>1568-5403</t>
  </si>
  <si>
    <t>Crustaceana</t>
  </si>
  <si>
    <t>11-12</t>
  </si>
  <si>
    <t>10.1163/15685403-00003950</t>
  </si>
  <si>
    <t>JX6GT</t>
  </si>
  <si>
    <t>WOS:000503831700003</t>
  </si>
  <si>
    <t>Thompson, AR; Powell, GS; Adams, BJ</t>
  </si>
  <si>
    <t>Thompson, Andrew R.; Powell, Gareth S.; Adams, Byron J.</t>
  </si>
  <si>
    <t>Provisional checklist of terrestrial heterotrophic protists from Antarctica</t>
  </si>
  <si>
    <t>ANTARCTIC SCIENCE</t>
  </si>
  <si>
    <t>Antarctic biodiversity; protist conservation; protist diversity; soil protists</t>
  </si>
  <si>
    <t>N. SP CILIOPHORA; SOIL PROTOZOA; BIOLOGICAL INVASIONS; GENETIC DIVERSITY; DRY VALLEYS; ECOLOGY; ENDEMISM; TAXONOMY; AMEBAS; CONSERVATION</t>
  </si>
  <si>
    <t>Heterotrophic soil protists encompass lineages that are both evolutionarily ancient and highly diverse, providing an untapped wealth of scientific insight. Yet the diversity of free-living heterotrophic terrestrial protists is still largely unknown. To contribute to our understanding of this diversity, we present a checklist of heterotrophic protists currently reported from terrestrial Antarctica, for which no comprehensive evaluation currently exists. As a polar continent, Antarctica is especially susceptible to rising temperatures caused by anthropogenic climate change. Establishing a baseline for future conservation efforts of Antarctic protists is therefore important. We performed a literature search and found 236 taxa identified to species and an additional 303 taxa identified to higher taxonomic levels in 54 studies spanning over 100 years of research. Isolated by distance, climate and the circumpolar vortex, Antarctica is the most extreme continent on Earth: it is not unreasonable to think that it may host physiologically and evolutionarily unique species of protists, yet currently most species discovered in Antarctica are considered cosmopolitan. Additional sampling of the more extreme intra-continental zones will probably result in the discovery of more novel and unique taxa.</t>
  </si>
  <si>
    <t>[Thompson, Andrew R.; Powell, Gareth S.; Adams, Byron J.] Brigham Young Univ, Dept Biol, Provo, UT 84602 USA; [Adams, Byron J.] Brigham Young Univ, Monte L Bean Life Sci Museum, Provo, UT 84602 USA</t>
  </si>
  <si>
    <t>Brigham Young University; Brigham Young University</t>
  </si>
  <si>
    <t>Thompson, AR (corresponding author), Brigham Young Univ, Dept Biol, Provo, UT 84602 USA.</t>
  </si>
  <si>
    <t>andrew.thompson8956@gmail.com</t>
  </si>
  <si>
    <t>Adams, Byron/C-3808-2009</t>
  </si>
  <si>
    <t>Adams, Byron/0000-0002-7815-3352; Powell, Gareth/0000-0003-0847-2718; Thompson, Andrew/0000-0003-4523-9245</t>
  </si>
  <si>
    <t>National Science Foundation [OPP-1637708]</t>
  </si>
  <si>
    <t>This research was funded by the National Science Foundation Grant #OPP-1637708 and is a contribution to the McMurdo Dry Valleys Long Term Ecological Research (LTER) programme. We would like to thank our reviewers, David M. Wilkinson and Alex Whittle, whose comments and suggestions were insightful and greatly improved this manuscript.</t>
  </si>
  <si>
    <t>32 AVENUE OF THE AMERICAS, NEW YORK, NY 10013-2473 USA</t>
  </si>
  <si>
    <t>0954-1020</t>
  </si>
  <si>
    <t>1365-2079</t>
  </si>
  <si>
    <t>ANTARCT SCI</t>
  </si>
  <si>
    <t>Antarct. Sci.</t>
  </si>
  <si>
    <t>10.1017/S0954102019000361</t>
  </si>
  <si>
    <t>Environmental Sciences; Geography, Physical; Geosciences, Multidisciplinary</t>
  </si>
  <si>
    <t>Environmental Sciences &amp; Ecology; Physical Geography; Geology</t>
  </si>
  <si>
    <t>JW7DY</t>
  </si>
  <si>
    <t>WOS:000503209600001</t>
  </si>
  <si>
    <t>Brooks, ST; Tejedo, P; O'Neill, TA</t>
  </si>
  <si>
    <t>Brooks, Shaun T.; Tejedo, Pablo; O'Neill, Tanya A.</t>
  </si>
  <si>
    <t>Insights on the environmental impacts associated with visible disturbance of ice-free ground in Antarctica</t>
  </si>
  <si>
    <t>contamination; footprint; habitat; non-native species; soil; wilderness</t>
  </si>
  <si>
    <t>ROSS SEA REGION; SOILS; TEMPERATURE; PERMAFROST; VEGETATION; PATTERNS; STATION; HILLS; LAND</t>
  </si>
  <si>
    <t>The small ice-free areas of Antarctica provide an essential habitat for most evident terrestrial biodiversity, as well as being disproportionately targeted by human activity. Visual detection of disturbance within these environments has become a useful tool for measuring areas affected by human impact, but questions remain as to what environmental consequences such disturbance actually has. To answer such questions, several factors must be considered, including the climate and biotic and abiotic characteristics. Although a body of research has established the consequences of disturbance at given locations, this paper was conceived in order to assess whether their findings could be generalized as a statement across the Antarctic continent. From a review of 31 studies within the Maritime Antarctic, Continental Antarctic and McMurdo Dry Valleys regions, we found that 83% confirmed impacts in areas of visible disturbance. Disturbance was found to modify the physical environment, consequently reducing habitat suitability as well as directly damaging biota. Visible disturbance was also associated with hydrocarbon and heavy metal contamination and non-native species establishment, reflecting the pressures from human activity in these sites. The results add significance to existing footprint measurements based on visual analysis, should aid on-the-ground appreciation of probable impacts in sites of disturbance and benefit environmental assessment processes.</t>
  </si>
  <si>
    <t>[Brooks, Shaun T.] Univ Tasmania, Inst Marine &amp; Antarctic Studies, Hobart, Tas, Australia; [Tejedo, Pablo] Univ Autonoma Madrid, Dept Ecol, Madrid, Spain; [O'Neill, Tanya A.] Univ Waikato, Environm Res Inst, Hamilton, New Zealand; [O'Neill, Tanya A.] Univ Waikato, Sch Sci, Hamilton, New Zealand</t>
  </si>
  <si>
    <t>University of Tasmania; Autonomous University of Madrid; University of Waikato; University of Waikato</t>
  </si>
  <si>
    <t>Brooks, ST (corresponding author), Univ Tasmania, Inst Marine &amp; Antarctic Studies, Hobart, Tas, Australia.</t>
  </si>
  <si>
    <t>stbrooks@utas.edu.au</t>
  </si>
  <si>
    <t>O'Neill, Tanya/AAD-3240-2020; Tejedo, Pablo/A-7163-2010; O'Neill, Tanya/I-3045-2017</t>
  </si>
  <si>
    <t>Brooks, Shaun/0000-0002-0516-7841; Tejedo, Pablo/0000-0002-1865-0445; O'Neill, Tanya/0000-0001-8181-4249</t>
  </si>
  <si>
    <t>Antarctic Science Bursary; IMAS; Australian Government Research Training Program Scholarship</t>
  </si>
  <si>
    <t>Antarctic Science Bursary; IMAS; Australian Government Research Training Program Scholarship(Australian GovernmentDepartment of Industry, Innovation and Science)</t>
  </si>
  <si>
    <t>We thank D.M. Bergstrom, P. Convey and an anonymous reviewer for comments on an earlier version of this manuscript. This project was supported by an Antarctic Science Bursary, an IMAS Student Conference and Research Travel Grant and a Student Research Support Grant. STB is supported by an Australian Government Research Training Program Scholarship.</t>
  </si>
  <si>
    <t>10.1017/S0954102019000440</t>
  </si>
  <si>
    <t>Green Accepted, Green Submitted, hybrid</t>
  </si>
  <si>
    <t>WOS:000503209600002</t>
  </si>
  <si>
    <t>Schram, JB; Amsler, MO; Galloway, AWE; Amsler, CD; McClintock, JB</t>
  </si>
  <si>
    <t>Schram, Julie B.; Amsler, Margaret O.; Galloway, Aaron W. E.; Amsler, Charles D.; McClintock, James B.</t>
  </si>
  <si>
    <t>Fatty acid trophic transfer of Antarctic algae to a sympatric amphipod consumer</t>
  </si>
  <si>
    <t>[Schram, Julie B.; Galloway, Aaron W. E.] Univ Oregon, Oregon Inst Marine Biol, Charleston, OR 97420 USA; [Amsler, Margaret O.; Amsler, Charles D.; McClintock, James B.] Univ Alabama Birmingham, Dept Biol, Birmingham, AL 35294 USA</t>
  </si>
  <si>
    <t>University of Oregon; University of Alabama System; University of Alabama Birmingham</t>
  </si>
  <si>
    <t>Schram, JB (corresponding author), Univ Oregon, Oregon Inst Marine Biol, Charleston, OR 97420 USA.</t>
  </si>
  <si>
    <t>jschram@uoregon.edu</t>
  </si>
  <si>
    <t>Schram, Julie/0000-0002-1556-6483</t>
  </si>
  <si>
    <t>NSF [PLR-1341333, OPP 1744550, OPP-1744570]; University of Oregon</t>
  </si>
  <si>
    <t>NSF(National Science Foundation (NSF)); University of Oregon</t>
  </si>
  <si>
    <t>The authors are grateful for the science and logistical support of the Palmer Station staff and to an anonymous reviewer. This work was supported by NSF awards PLR-1341333, OPP 1744550 and OPP-1744570 and by University of Oregon start-up funds to AWEG.</t>
  </si>
  <si>
    <t>10.1017/S0954102019000397</t>
  </si>
  <si>
    <t>WOS:000503209600003</t>
  </si>
  <si>
    <t>Jones, CW; Risi, MM; Cooper, J</t>
  </si>
  <si>
    <t>Jones, Christopher W.; Risi, Michelle M.; Cooper, John</t>
  </si>
  <si>
    <t>An incubating northern giant petrel actively feeds on a Salvin's prion</t>
  </si>
  <si>
    <t>MACRONECTES; DIET</t>
  </si>
  <si>
    <t>[Jones, Christopher W.; Risi, Michelle M.] Univ Cape Town, FitzPatrick Inst African Ornithol, DST NRF Ctr Excellence, ZA-7701 Rondebosch, South Africa; [Cooper, John] Stellenbosch Univ, Dept Bot &amp; Zool, Private Bag X1, ZA-7602 Matieland, South Africa</t>
  </si>
  <si>
    <t>National Research Foundation - South Africa; University of Cape Town; Stellenbosch University</t>
  </si>
  <si>
    <t>Jones, CW (corresponding author), Univ Cape Town, FitzPatrick Inst African Ornithol, DST NRF Ctr Excellence, ZA-7701 Rondebosch, South Africa.</t>
  </si>
  <si>
    <t>chrisj22123@gmail.com</t>
  </si>
  <si>
    <t>Jones, Christopher/0000-0002-4112-1912</t>
  </si>
  <si>
    <t>South African Department of Environmental Affairs; National Research Foundation through the South African National Antarctic Programme (SANAP)</t>
  </si>
  <si>
    <t>Logistical and financial support was provided by the South African Department of Environmental Affairs and the National Research Foundation through the South African National Antarctic Programme (SANAP). The Department of Environmental Affairs provided permission to conduct research on Marion Island. Dedicated to the memory of David Walton, Antarctic Science's inaugural and long-standing Chief Editor.</t>
  </si>
  <si>
    <t>10.1017/S0954102019000415</t>
  </si>
  <si>
    <t>WOS:000503209600004</t>
  </si>
  <si>
    <t>Çiner, A; Yildirim, C; Sarikaya, MA; Seong, YB; Yu, BY</t>
  </si>
  <si>
    <t>Ciner, Attila; Yildirim, Cengiz; Sarikaya, M. Akif; Seong, Yeong Bae; Yu, Byung Yong</t>
  </si>
  <si>
    <t>Cosmogenic 10Be exposure dating of glacial erratics on Horseshoe Island in western Antarctic Peninsula confirms rapid deglaciation in the Early Holocene</t>
  </si>
  <si>
    <t>cosmogenic surface dating; ice sheet; Marguerite Bay; palaeoclimate</t>
  </si>
  <si>
    <t>SOUTH SHETLAND ISLANDS; VI ICE SHELF; MARGUERITE BAY; HISTORY; RETREAT; MAXIMUM; STREAM; CONSTRAINTS; FJORD; RATES</t>
  </si>
  <si>
    <t>The rapid warming observed in the western Antarctic Peninsula gives rise to a fast disintegration of ice shelves and thinning and retreat of marine-terminating continental glaciers, which is likely to raise global sea levels in the near future. In order to understand the contemporary changes in context and to provide constraints for hindcasting models, it is important to understand the Late Quaternary history of the region. Here, we build on previous work on the deglacial history of the western Antarctic Peninsula and we present four new cosmogenic Be-10 exposure ages from Horseshoe Island in Marguerite Bay, which has been suggested as a former location of very fast ice stream retreat. Four samples collected from erratic pink granite boulders at an altitude of similar to 80 m above sea level yielded ages that range between 12.9 +/- 1.1 ka and 9.4 +/- 0.8 ka. As in other studies on Antarctic erratics, we have chosen to report the youngest erratic age (9.4 +/- 0.8 ka) as the true age of deglaciation, which confirms a rapid thinning of the Marguerite Trough Ice Stream at the onset of Holocene. This result is consistent with other cosmogenic age data and other proxies (marine and lacustrine C-14 and optically stimulated luminescence) reported from nearby areas.</t>
  </si>
  <si>
    <t>[Ciner, Attila; Yildirim, Cengiz; Sarikaya, M. Akif] Istanbul Tech Univ, Eurasia Inst Earth Sci, TR-34469 Maslak, Turkey; [Seong, Yeong Bae] Korea Univ, Dept Geog Educ, Seoul 02841, South Korea; [Yu, Byung Yong] Korea Inst Sci &amp; Technol, Lab Accelerator Mass Spectrometry, Seoul 02792, South Korea</t>
  </si>
  <si>
    <t>Istanbul Technical University; Korea University; Korea Institute of Science &amp; Technology (KIST)</t>
  </si>
  <si>
    <t>Çiner, A (corresponding author), Istanbul Tech Univ, Eurasia Inst Earth Sci, TR-34469 Maslak, Turkey.</t>
  </si>
  <si>
    <t>cinert@itu.edu.tr</t>
  </si>
  <si>
    <t>YILDIRIM, Cengiz/K-8405-2018; Sarıkaya, Mehmet Akif/ABA-9369-2020; Seong, Yeong Bae/K-2420-2019; Ciner, Attila/K-7531-2018</t>
  </si>
  <si>
    <t>YILDIRIM, Cengiz/0000-0001-5253-028X; Sarıkaya, Mehmet Akif/0000-0001-8254-8974; Seong, Yeong Bae/0000-0001-6605-3912; Ciner, Attila/0000-0002-6755-8426</t>
  </si>
  <si>
    <t>Turkish Republic Presidency - Ministry of Science, Industry and Technology; ITU Research Fund (BAP) [9]</t>
  </si>
  <si>
    <t>Turkish Republic Presidency - Ministry of Science, Industry and Technology; ITU Research Fund (BAP)</t>
  </si>
  <si>
    <t>This study was carried out under the auspices of the Turkish Republic Presidency, supported by the Ministry of Science, Industry and Technology and coordinated by the Istanbul Technical University (ITU) Polar Research Center (PolReC) and the ITU Research Fund (BAP) Project No. 9. We thank the Chilean captains and crew of the Antarctic Warrior vessel and our colleagues who helped us during the fieldwork. We also thank Greg Balco who created the ICE-D Antarctica database, which allows the comparison of data across the continent. We are grateful to Mike Bentley and an anonymous reviewer for their constructive suggestions, which greatly improved the quality of the paper.</t>
  </si>
  <si>
    <t>10.1017/S0954102019000439</t>
  </si>
  <si>
    <t>WOS:000503209600005</t>
  </si>
  <si>
    <t>Karuss, J; Lamsters, K; Chernov, A; Krievans, M; Jeskins, J</t>
  </si>
  <si>
    <t>Karuss, Janis; Lamsters, Kristaps; Chernov, Anatolii; Krievans, Maris; Jeskins, Jurijs</t>
  </si>
  <si>
    <t>Subglacial topography and thickness of ice caps on the Argentine Islands</t>
  </si>
  <si>
    <t>Antarctica; ground-penetrating radar; polar regions; unmanned aerial vehicle; Wilhelm Archipelago</t>
  </si>
  <si>
    <t>GRAHAM LAND EXPEDITION; ANTARCTIC PENINSULA; WATER-CONTENT; GLACIER; SURFACE; RADAR; GPR</t>
  </si>
  <si>
    <t>This study presents the first subglacial topography and ice thickness models of the largest ice caps of the Argentine Islands, Wilhelm Archipelago, West Antarctica. During this study, ground-penetrating radar was used to map the thickness and inner structure of the ice caps. Digital surface models of all studied islands were created from aerial images obtained with a small-sized unmanned aerial vehicle and used for the construction of subglacial topography models. Ice caps of the Argentine Islands cover similar to 50% of the land surface of the islands on average. The maximum thickness of only two islands (Galindez and Skua) exceeds 30 m, while the average thickness of all islands is only similar to 5 m. The maximum ice thickness reaches 35.3 m on Galindez Island. The ice thickness and glacier distribution are mainly governed by prevailing wind direction from the north. This has created the prominent narrow ice ridges on Uruguay and Irizar islands, which are not supported by topographic obstacles, as well as the elongated shape of other ice caps. The subglacial topography of the ice caps is undulated and mainly dependent on the geological structure and composition of magmatic rocks.</t>
  </si>
  <si>
    <t>[Karuss, Janis; Lamsters, Kristaps; Krievans, Maris; Jeskins, Jurijs] Univ Latvia, Fac Geog &amp; Earth Sci, Jelgavas St 1, LV-1004 Riga, Latvia; [Chernov, Anatolii] Taras Shevchenko Natl Univ Kyiv, Inst Geol, Vasylkivska St 90, UA-03022 Kiev, Ukraine; [Chernov, Anatolii] Minist Educ &amp; Sci Ukraine, Natl Antarctic Sci Ctr, State Inst, 16 Taras Shevchenko Blvd, UA-01601 Kiev, Ukraine</t>
  </si>
  <si>
    <t>University of Latvia; Ministry of Education &amp; Science of Ukraine; Taras Shevchenko National University of Kyiv; National Academy of Sciences Ukraine; Institute of Geological Sciences, National Academy of Sciences of Ukraine; Ministry of Education &amp; Science of Ukraine; State Institution National Antarctic Scientific Center</t>
  </si>
  <si>
    <t>Karuss, J (corresponding author), Univ Latvia, Fac Geog &amp; Earth Sci, Jelgavas St 1, LV-1004 Riga, Latvia.</t>
  </si>
  <si>
    <t>janis.karuss@lu.lv</t>
  </si>
  <si>
    <t>Krievans, Maris/HPD-9633-2023; Karušs, Jānis/AHI-7900-2022; Karušs, Jānis/ITT-0500-2023; Lamsters, Kristaps/AAW-2254-2020; Ješkins, Jurijs/JNS-9777-2023; Lamsters, Kristaps/AAB-3601-2022; Lamsters, Kristaps/CAI-8643-2022</t>
  </si>
  <si>
    <t>Krievans, Maris/0000-0001-7199-1030; Karušs, Jānis/0000-0003-0590-4888; Karušs, Jānis/0000-0003-0590-4888; Lamsters, Kristaps/0000-0002-4523-1537; Lamsters, Kristaps/0000-0002-4523-1537; Jeskins, Jurijs/0000-0003-4457-0016</t>
  </si>
  <si>
    <t>University of Latvia within the 'Climate change and sustainable use of natural resources'; specific support objective activity 1.1.1.2. 'Post-doctoral Research Aid' of the Republic of Latvia - European Regional Development Fund, Kristaps Lamsters Research Project [1.1.1.2/16/I/001, 1.1.1.2/VIAA/1/16/118]; Mikrotik; company Celu buvniecibas sabiedriba 'Igate' Ltd.</t>
  </si>
  <si>
    <t>University of Latvia within the 'Climate change and sustainable use of natural resources'; specific support objective activity 1.1.1.2. 'Post-doctoral Research Aid' of the Republic of Latvia - European Regional Development Fund, Kristaps Lamsters Research Project; Mikrotik; company Celu buvniecibas sabiedriba 'Igate' Ltd.</t>
  </si>
  <si>
    <t>This work was supported by the performance-based funding of the University of Latvia within the 'Climate change and sustainable use of natural resources' and by the specific support objective activity 1.1.1.2. 'Post-doctoral Research Aid' (Project ID 1.1.1.2/16/I/001) of the Republic of Latvia, funded by the European Regional Development Fund, Kristaps Lamsters Research Project No. 1.1.1.2/VIAA/1/16/118. The expedition to Antarctica was also partially financed by a donation from Mikrotik (administered by the University of Latvia Foundation) and the company Celu buvniecibas sabiedriba 'Igate' Ltd. We thank the National Antarctic Scientific Centre (NASC) of Ukraine and the crew of the 22nd Ukrainian Antarctic Expedition at Akademik Vernadsky Station for all of their help during our stay and fieldwork in Antarctica, as well as the reviewers who helped to improve the manuscript. We are grateful to the reviewers for their very constructive and useful comments on the manuscript.</t>
  </si>
  <si>
    <t>10.1017/S0954102019000452</t>
  </si>
  <si>
    <t>WOS:000503209600006</t>
  </si>
  <si>
    <t>Han, SR; Kim, DW; Kim, B; Chi, YM; Kang, S; Park, H; Jung, SH; Lee, JH; Oh, TJ</t>
  </si>
  <si>
    <t>Han, So-Ra; Kim, Do Wan; Kim, Byeollee; Chi, Young Min; Kang, Seunghyun; Park, Hyun; Jung, Sang-Hee; Lee, Jun Hyuck; Oh, Tae-Jin</t>
  </si>
  <si>
    <t>Complete genome sequencing of Shigella sp. PAMC 28760: Identification of CAZyme genes and analysis of their potential role in glycogen metabolism for cold survival adaptation</t>
  </si>
  <si>
    <t>MICROBIAL PATHOGENESIS</t>
  </si>
  <si>
    <t>Amylolytic characteristic; Antarctic lichen; CAZyme; Genome sequencing; Shigella</t>
  </si>
  <si>
    <t>STARCH; DEGRADATION; ALIGNMENT; ENZYMES</t>
  </si>
  <si>
    <t>Shigella sp. PAMC 28760 (isolated from Himantormia sp. lichen in Antarctica) is a gram-negative, non-sporulating bacterium that has cellulolytic and amylolytic characteristics as well as glycogen metabolic pathways. In this study, we isolated S. sp. PAMC 28760 from Antarctic lichen, and present the complete genome sequence with annotations describing its unique features. The genome sequence has 58.85% GC content, 4,278 coding DNA sequences, 85 tRNAs, and 22 rRNA operons. 16S rRNA gene sequence analyses revealed strain PAMC 28760 as a potentially new species of genus Shigella, showing various differences from pathogenic bacteria reported previously. dbCAN2 analyses revealed 91 genes related to carbohydrate-metabolizing enzymes. S. sp. PAMC 28760 likely degrades polysaccharide starch to obtain glucose for energy conservation. This study provides a foundation for understanding Shigella survival adaptation mechanisms under extremely cold Antarctic conditions.</t>
  </si>
  <si>
    <t>[Han, So-Ra; Kim, Byeollee; Oh, Tae-Jin] SunMoon Univ, Dept Life Sci &amp; Biochem Engn, Grad Sch, Asan, South Korea; [Kim, Do Wan; Chi, Young Min] Korea Univ, Div Biotechnol, Coll Life Sci &amp; Biotechnol, Seoul 02841, South Korea; [Kang, Seunghyun; Park, Hyun; Lee, Jun Hyuck] Korea Polar Res Inst, Unit Polar Genom, Incheon 21990, South Korea; [Park, Hyun; Lee, Jun Hyuck] Univ Sci &amp; Technol, Dept Polar Sci, Incheon, South Korea; [Jung, Sang-Hee] Gangneung Yeongdong Univ, Dept Dent Hyg, Kangnung, South Korea; [Oh, Tae-Jin] Genome Based BiolT Convergence Inst, Asan, South Korea; [Oh, Tae-Jin] SunMoon Univ, Dept Pharmaceut Engn &amp; Biotechnol, Asan 31460, South Korea</t>
  </si>
  <si>
    <t>Sun Moon University; Korea University; Korea Polar Research Institute (KOPRI); Sun Moon University</t>
  </si>
  <si>
    <t>Lee, JH (corresponding author), Korea Polar Res Inst, Unit Polar Genom, Incheon 21990, South Korea.;Oh, TJ (corresponding author), SunMoon Univ, Dept Pharmaceut Engn &amp; Biotechnol, Asan 31460, South Korea.</t>
  </si>
  <si>
    <t>junhyucklee@kopri.re.kr; tjoh3782@hanmail.net</t>
  </si>
  <si>
    <t>Park, Hyun/0000-0002-8055-2010</t>
  </si>
  <si>
    <t>Korea Polar Research Institute [PE19210]</t>
  </si>
  <si>
    <t>This work was supported by the Korea Polar Research Institute (grant no. PE19210).</t>
  </si>
  <si>
    <t>ACADEMIC PRESS LTD- ELSEVIER SCIENCE LTD</t>
  </si>
  <si>
    <t>24-28 OVAL RD, LONDON NW1 7DX, ENGLAND</t>
  </si>
  <si>
    <t>0882-4010</t>
  </si>
  <si>
    <t>1096-1208</t>
  </si>
  <si>
    <t>MICROB PATHOGENESIS</t>
  </si>
  <si>
    <t>Microb. Pathog.</t>
  </si>
  <si>
    <t>10.1016/j.micpath.2019.103759</t>
  </si>
  <si>
    <t>Immunology; Microbiology</t>
  </si>
  <si>
    <t>JW2MG</t>
  </si>
  <si>
    <t>WOS:000502891200034</t>
  </si>
  <si>
    <t>Canuto, VM; Cheng, Y</t>
  </si>
  <si>
    <t>Canuto, V. M.; Cheng, Y.</t>
  </si>
  <si>
    <t>ACC Subduction by Mesoscales</t>
  </si>
  <si>
    <t>JOURNAL OF PHYSICAL OCEANOGRAPHY</t>
  </si>
  <si>
    <t>Mesoscale processes; Vertical motion; Parameterization</t>
  </si>
  <si>
    <t>MIXED-LAYER; CLIMATE MODEL; OCEAN; CIRCULATION; ICE; PARAMETERIZATIONS; DIFFUSIVITY; EDDIES; WATER</t>
  </si>
  <si>
    <t>The mesoscale contribution to subduction in the Southern Ocean was studied by Sallee and Rintoul in 2011 (SR11) using the following mesoscale model. The adiabatic (A) regime was modeled with the Gent-McWilliams streamfunction, the diabatic (D) regime was modeled with tapering functions, the D-A interface was taken to be at the mixed layer depth, and the mesoscale diffusivity either was a constant or was given by a 2D model. Since the resulting subductions were an order of magnitude smaller than the data of +/- 200 m yr(-1) as reported by Mazloff et al. in 2010, SR11 showed that if, instead of the above model-dependent mesoscale diffusivities, they employed the ones reported in 2008 by Sallee et al. from surface drifter observations, the subductions compared significantly better to the data. On those grounds, SR11 suggested a 10-fold increase of the diffusivity. In this work, we suggest that, since the mesoscale diffusivity is but one component of a much large mesoscale parameterization, one should first assess the latter's overall performance followed by an assessment of the predicted Antarctic Circumpolar Current (ACC) subduction. We employ the mesoscale model formulated by Canuto et al. in 2018 and 2019 that includes recent theoretical and observational advances and that was assessed against a variety of data, including the output of 17 other OGCMs. The ACC diffusivities compare well to drifter data from Sallee et al., and the ACC subduction rates are in agreement with the data.</t>
  </si>
  <si>
    <t>[Canuto, V. M.; Cheng, Y.] Columbia Univ, NASA, Goddard Inst Space Studies, New York, NY 10027 USA; [Canuto, V. M.] Columbia Univ, Dept Appl Phys &amp; Math, New York, NY 10027 USA; [Cheng, Y.] Columbia Univ, Ctr Climate Syst Res, New York, NY USA</t>
  </si>
  <si>
    <t>Columbia University; National Aeronautics &amp; Space Administration (NASA); NASA Goddard Space Flight Center; Goddard Institute for Space Studies; Columbia University; Columbia University</t>
  </si>
  <si>
    <t>Canuto, VM (corresponding author), Columbia Univ, NASA, Goddard Inst Space Studies, New York, NY 10027 USA.;Canuto, VM (corresponding author), Columbia Univ, Dept Appl Phys &amp; Math, New York, NY 10027 USA.</t>
  </si>
  <si>
    <t>vmcanuto@gmail.com</t>
  </si>
  <si>
    <t>NASA High-End Computing (HEC) Program through the NASA Center for Climate Simulation (NCCS) at the Goddard Space Flight Center</t>
  </si>
  <si>
    <t>Author Canuto thanks Profs. Y. Tanaka and D. Marshall for informative correspondence. The authors thank two referees for questions that helped to sharpen our presentation. Resources supporting this work were provided by the NASA High-End Computing (HEC) Program through the NASA Center for Climate Simulation (NCCS) at the Goddard Space Flight Center.</t>
  </si>
  <si>
    <t>45 BEACON ST, BOSTON, MA 02108-3693 USA</t>
  </si>
  <si>
    <t>0022-3670</t>
  </si>
  <si>
    <t>1520-0485</t>
  </si>
  <si>
    <t>J PHYS OCEANOGR</t>
  </si>
  <si>
    <t>J. Phys. Oceanogr.</t>
  </si>
  <si>
    <t>10.1175/JPO-D-19-0043.1</t>
  </si>
  <si>
    <t>JW0KM</t>
  </si>
  <si>
    <t>WOS:000502748300001</t>
  </si>
  <si>
    <t>Aldous, C</t>
  </si>
  <si>
    <t>Aldous, Christopher</t>
  </si>
  <si>
    <t xml:space="preserve">The Anatomy of Allied Occupation: Contesting the Resumption of Japanese Antarctic Whaling, 1945-1952 </t>
  </si>
  <si>
    <t>JOURNAL OF AMERICAN-EAST ASIAN RELATIONS</t>
  </si>
  <si>
    <t>Allied Occupation; Antarctic whaling; Allied observers; conservation; whale meat; whale oil; negotiation</t>
  </si>
  <si>
    <t>This article scrutinizes the controversy surrounding the resumption of Japanese Antarctic whaling from 1946, focusing on the negotiations and concessions that underline the nature of the Allied Occupation as an international undertaking. Britain, Norway, Australia, and New Zealand objected to Japanese pelagic whaling, chiefly on the grounds of its past record of wasteful and inefficient operations. Their opposition forced the Natural Resources Section of General Headquarters, Supreme Commander for the Allied Powers, to increase the number of Allied inspectors on board the two Japanese whaling factories from one to two, and to respond carefully to the criticisms they made of the conduct of Japanese whaling. U.S. sensitivity to international censure caused the Occupation to encourage the factory vessels to prioritize oil yields over meat and blubber for domestic consumption. Moreover, General Douglas MacArthur, the U.S. Occupation commander, summarily rejected a proposal to increase the number of Japanese fleets from two to three in 1947. With its preponderance of power, the United States successfully promoted Japanese Antarctic whaling, but a tendency to focus only on outcomes obscures the lengthy and difficult processes that enabled Japanese whaling expeditions to take place on an annual basis from late 1946.</t>
  </si>
  <si>
    <t>[Aldous, Christopher] Univ Winchester, Modern Int Hist, Winchester, Hants, England</t>
  </si>
  <si>
    <t>University of Winchester</t>
  </si>
  <si>
    <t>Aldous, C (corresponding author), Univ Winchester, Modern Int Hist, Winchester, Hants, England.</t>
  </si>
  <si>
    <t>chris.aldous@winchester.ac.uk</t>
  </si>
  <si>
    <t>BRILL ACADEMIC PUBLISHERS</t>
  </si>
  <si>
    <t>1058-3947</t>
  </si>
  <si>
    <t>1876-5610</t>
  </si>
  <si>
    <t>J AM-EAST ASIAN RELA</t>
  </si>
  <si>
    <t>J. Am.-East Asian Relat.</t>
  </si>
  <si>
    <t>10.1163/18765610-02604002</t>
  </si>
  <si>
    <t>History</t>
  </si>
  <si>
    <t>JV1IB</t>
  </si>
  <si>
    <t>WOS:000502120000002</t>
  </si>
  <si>
    <t>Tan, YH; Lim, PE; Beardall, J; Poong, SW; Phang, SM</t>
  </si>
  <si>
    <t>Tan, Yong-Hao; Lim, Phaik-Eem; Beardall, John; Poong, Sze-Wan; Phang, Siew-Moi</t>
  </si>
  <si>
    <t>A metabolomic approach to investigate effects of ocean acidification on a polar microalga Chlorella sp.</t>
  </si>
  <si>
    <t>AQUATIC TOXICOLOGY</t>
  </si>
  <si>
    <t>Metabolomics; Ocean acidification; CO2; Marine phytoplankton; Antarctic</t>
  </si>
  <si>
    <t>SOUTHERN-OCEAN; CHLOROPHYLL FLUORESCENCE; DISSOCIATION-CONSTANTS; MICROMONAS-PUSILLA; EMILIANIA-HUXLEYI; CARBONIC-ACID; PHYTOPLANKTON; SEAWATER; CO2; PICOPLANKTON</t>
  </si>
  <si>
    <t>Ocean acidification, due to increased levels of anthropogenic carbon dioxide, is known to affect the physiology and growth of marine phytoplankton, especially in polar regions. However, the effect of acidification or carbonation on cellular metabolism in polar marine phytoplankton still remains an open question. There is some evidence that small chlorophytes may benefit more than other taxa of phytoplankton. To understand further how green polar picoplankton could acclimate to high oceanic CO2, studies were conducted on an Antarctic Chlorella sp. Chlorella sp. maintained its growth rate (similar to 0.180 d(-1)), photosynthetic quantum yield (Fv/Fm = similar to 0.69) and chlorophyll alpha (0.145 fg cell(-1)) and carotenoid (0.06 fg cell(-1)) contents under high CO2, while maximum rates of electron transport decreased and non-photochemical quenching increased under elevated CO2. GCMS-based metabolomic analysis reveal that this polar Chlorella strain modulated the levels of metabolites associated with energy, amino acid, fatty acid and carbohydrate production, which could favour its survival in an increasingly acidified ocean.</t>
  </si>
  <si>
    <t>[Tan, Yong-Hao] Univ Malaya, Inst Adv Studies, Kuala Lumpur 50603, Malaysia; [Tan, Yong-Hao; Lim, Phaik-Eem; Poong, Sze-Wan; Phang, Siew-Moi] Univ Malaya, Inst Ocean &amp; Earth Sci, Kuala Lumpur 50603, Malaysia; [Beardall, John] Monash Univ, Sch Biol Sci, Clayton, Vic, Australia</t>
  </si>
  <si>
    <t>Universiti Malaya; Universiti Malaya; Monash University</t>
  </si>
  <si>
    <t>Lim, PE (corresponding author), Univ Malaya, Inst Ocean &amp; Earth Sci, Kuala Lumpur 50603, Malaysia.</t>
  </si>
  <si>
    <t>phaikeem@um.edu.my</t>
  </si>
  <si>
    <t>Poong, Sze Wan/S-2212-2016; LIM, Phaik Eem/B-5331-2010; Phang, Siew Moi/A-7653-2008; Beardall, John/L-5262-2019</t>
  </si>
  <si>
    <t>Poong, Sze Wan/0000-0003-4033-864X; LIM, Phaik Eem/0000-0001-9186-1487; Beardall, John/0000-0001-7684-446X</t>
  </si>
  <si>
    <t>HiCoE research grant from the Ministry of Education, Malaysia [IOES2014H]; University of Malaya (UM) [RP026B18SUS]; Ministry of Education Malaysia-University of Malaya Top University Grant [TUOO1C-2018]; UM TOP100 University funding [TOP100PDIOES]</t>
  </si>
  <si>
    <t>HiCoE research grant from the Ministry of Education, Malaysia; University of Malaya (UM)(Universiti Malaya); Ministry of Education Malaysia-University of Malaya Top University Grant; UM TOP100 University funding</t>
  </si>
  <si>
    <t>This research was supported by a HiCoE research grant (IOES2014H) from the Ministry of Education, Malaysia, funding from the University of Malaya (UM) Research Grant Programme (RP026B18SUS) and Ministry of Education Malaysia-University of Malaya Top University Grant (TUOO1C-2018). Dr. Sze-Wan Poong is supported by the UM TOP100 University funding (TOP100PDIOES).</t>
  </si>
  <si>
    <t>0166-445X</t>
  </si>
  <si>
    <t>1879-1514</t>
  </si>
  <si>
    <t>AQUAT TOXICOL</t>
  </si>
  <si>
    <t>Aquat. Toxicol.</t>
  </si>
  <si>
    <t>10.1016/j.aquatox.2019.105349</t>
  </si>
  <si>
    <t>Marine &amp; Freshwater Biology; Toxicology</t>
  </si>
  <si>
    <t>JU1BU</t>
  </si>
  <si>
    <t>WOS:000501413700020</t>
  </si>
  <si>
    <t>Sadooni, FN; Alsharhan, AS</t>
  </si>
  <si>
    <t>Sadooni, Fadhil N.; Alsharhan, A. S.</t>
  </si>
  <si>
    <t>Regional stratigraphy, facies distribution, and hydrocarbons potential of the Oligocene strata across the Arabian Plate and Western Iran</t>
  </si>
  <si>
    <t>CARBONATES AND EVAPORITES</t>
  </si>
  <si>
    <t>Arabian Plate; Iran; Oligocene; Tertiary; Coral reefs; Hydrocarbons</t>
  </si>
  <si>
    <t>EOCENE/OLIGOCENE BOUNDARY; BENTHIC FORAMINIFERA; CARBONATE PLATFORM; ZAGROS BASIN; EOCENE; SW; GEOCHEMISTRY; DIAGENESIS; TRANSITION</t>
  </si>
  <si>
    <t>Major global events during the Oligocene epoch included a climatic change from warm greenhouse to a cooler icehouse that was accompanied by the onset of Antarctic glaciation. These events led to decline in water temperature, salinity, nutrient supply and oxygen levels, and the extinction of some major fauna and flora. Within the study area, during this epoch, the shrinkage of the Neotethys and the development of the Paratethys, the collision of Arabia with Eurasia and the development of the Zagros mountains and opening of the Red Sea which led eventually to the separation of Arabia from Africa were witnessed. Oligocene sediments are absent from most parts of the Arabian Plate but are well-preserved in western and southwestern Iran. The most well-developed strata are the coral reefs of the Kirkuk Group in northern Iraq and the shallow water carbonates of the Asmari Formation in southwestern Iran. The study area also represents the birthplace of commercial hydrocarbons production in the Middle East from these sediments in Masjid-i-Sulaiman Field in Iran and Kirkuk Field in Iraq at the first decade of the last century. Future exploration for hydrocarbons potential should focus on identifying subsurface coral buildups or clastic strata that are equivalent to the Asmari Formation in Iran.</t>
  </si>
  <si>
    <t>[Sadooni, Fadhil N.] Qatar Univ, Ctr Environm Sci, POB 2713, Doha, Qatar; [Alsharhan, A. S.] Middle East Geol &amp; Environm Estab, POB 78830, Dubai, U Arab Emirates</t>
  </si>
  <si>
    <t>Qatar University</t>
  </si>
  <si>
    <t>Sadooni, FN (corresponding author), Qatar Univ, Ctr Environm Sci, POB 2713, Doha, Qatar.</t>
  </si>
  <si>
    <t>fsadooni@qu.edu.qa</t>
  </si>
  <si>
    <t>Sadooni, Fadhil/K-9236-2018</t>
  </si>
  <si>
    <t>Sadooni, Fadhil/0000-0001-5027-0648</t>
  </si>
  <si>
    <t>0891-2556</t>
  </si>
  <si>
    <t>1878-5212</t>
  </si>
  <si>
    <t>CARBONATE EVAPORITE</t>
  </si>
  <si>
    <t>Carbonates Evaporites</t>
  </si>
  <si>
    <t>10.1007/s13146-019-00521-3</t>
  </si>
  <si>
    <t>JN0UY</t>
  </si>
  <si>
    <t>hybrid, Green Published</t>
  </si>
  <si>
    <t>WOS:000496621400037</t>
  </si>
  <si>
    <t>Kovalev, SM; Smirnov, VN; Borodkin, VA; Shushlebin, AI; Kolabutin, NV; Kornishin, KA; Efimov, YO; Tarasov, PA; Volodin, DA</t>
  </si>
  <si>
    <t>Kovalev, Sergey M.; Smirnov, Victor N.; Borodkin, Vladimir A.; Shushlebin, Aleksandr, I; Kolabutin, Nikolay, V; Kornishin, Konstantin Alexandrovich; Efimov, Yaroslav Olegovich; Tarasov, Petr Alexandrovich; Volodin, Dmitry Alexandrovich</t>
  </si>
  <si>
    <t>Physical and Mechanical Characteristics of Sea Ice in the Kara and Laptev Seas</t>
  </si>
  <si>
    <t>INTERNATIONAL JOURNAL OF OFFSHORE AND POLAR ENGINEERING</t>
  </si>
  <si>
    <t>Borehole jack; comparison coefficient; local strength; physical properties; structure; uniaxial compression</t>
  </si>
  <si>
    <t>In the spring period of 2013-2017, the Russian Arctic and Antarctic Research Institute, in cooperation with the Rosneft Oil Company and the Arctic Research Centre, organized four complex expeditions in the Kara and Laptev Seas to study the physical and mechanical properties of sea ice (Fig. 1). Obtained data shows that for level ice with an increase in thickness, its mean temperature, salinity, and density decrease, but mean values of local strength and strength of ice samples at uniaxial compression increase. Failure zones of different intensity developed after the indenter penetration are studied. A range of comparison coefficients for local strength and uniaxial compression strength is updated.</t>
  </si>
  <si>
    <t>[Kovalev, Sergey M.; Smirnov, Victor N.; Borodkin, Vladimir A.; Shushlebin, Aleksandr, I; Kolabutin, Nikolay, V] Arctic &amp; Antarctic Res Inst, St Petersburg, Russia; [Kornishin, Konstantin Alexandrovich] Rosneft Oil Co, Moscow, Russia; [Efimov, Yaroslav Olegovich; Tarasov, Petr Alexandrovich] Arctic Res Ctr, Moscow, Russia; [Volodin, Dmitry Alexandrovich] IK Sibintek LLC, Moscow, Russia</t>
  </si>
  <si>
    <t>Arctic &amp; Antarctic Research Institute; Rosneft Oil</t>
  </si>
  <si>
    <t>Kovalev, SM (corresponding author), Arctic &amp; Antarctic Res Inst, St Petersburg, Russia.</t>
  </si>
  <si>
    <t>Kornishin, Konstantin/AAA-7560-2022; Efimov, Yaroslav/ABA-3471-2021; Kolabutin, Nikolay/G-7252-2015</t>
  </si>
  <si>
    <t>Kovalev, Sergey/0000-0002-2908-2674; Kolabutin, Nikolay/0000-0002-4107-5223</t>
  </si>
  <si>
    <t>INT SOC OFFSHORE POLAR ENGINEERS</t>
  </si>
  <si>
    <t>CUPERTINO</t>
  </si>
  <si>
    <t>PO BOX 189, CUPERTINO, CA 95015-0189 USA</t>
  </si>
  <si>
    <t>1053-5381</t>
  </si>
  <si>
    <t>INT J OFFSHORE POLAR</t>
  </si>
  <si>
    <t>Int. J. Offshore Polar Eng.</t>
  </si>
  <si>
    <t>10.17736/ijope.2019.jc767</t>
  </si>
  <si>
    <t>Engineering, Civil; Engineering, Ocean; Engineering, Mechanical</t>
  </si>
  <si>
    <t>Engineering</t>
  </si>
  <si>
    <t>JU2GY</t>
  </si>
  <si>
    <t>WOS:000501495500001</t>
  </si>
  <si>
    <t>May, RI; Guzenko, RB; Mironov, YU; Naumov, AK; Skutin, AA; Skutina, EA; Sobotuk, DI; Zamarin, GA; Kornishin, KA; Efimov, YO; Mamedov, TE</t>
  </si>
  <si>
    <t>May, Ruslan, I; Guzenko, Roman B.; Mironov, Yevgeniy U.; Naumov, Aleksey K.; Skutin, Andrey A.; Skutina, Elena A.; Sobotuk, Dmitriy, I; Zamarin, Georgy A.; Kornishin, Konstantin A.; Efimov, Yaroslav O.; Mamedov, Teymur E.</t>
  </si>
  <si>
    <t>Morphometry and Mass of Icebergs in the Russian Arctic Seas</t>
  </si>
  <si>
    <t>Iceberg forecasting; iceberg geometry; iceberg draft; iceberg length; iceberg cross-section area; iceberg mass</t>
  </si>
  <si>
    <t>In this paper, empirical relationships are derived to determine the mass and geometry of icebergs based on instrumental measurements and airborne data in the Barents, Kara and Laptev Seas. The authors give regression dependencies between 1D parameters of icebergs (length, width, height, draft); linear and area parameters of icebergs (cross-section area of the above and underwater parts of icebergs); linear iceberg parameters and its volume and mass. One can use the obtained empirical relations for the iceberg geometry and mass to simulate the drift of icebergs and to estimate their impact on offshore structures and vessels.</t>
  </si>
  <si>
    <t>[May, Ruslan, I; Guzenko, Roman B.; Mironov, Yevgeniy U.; Naumov, Aleksey K.; Skutin, Andrey A.; Skutina, Elena A.; Sobotuk, Dmitriy, I; Zamarin, Georgy A.] Arctic &amp; Antarctic Res Inst, Dept Sea Ice &amp; Ice Forecasts, St Petersburg, Russia; [Kornishin, Konstantin A.] Rosneft Oil Co, R&amp;D &amp; Tech Regulat Dept, Moscow, Russia; [Efimov, Yaroslav O.; Mamedov, Teymur E.] Arctic Res Ctr, Dept Marine Operat, Moscow, Russia</t>
  </si>
  <si>
    <t>May, RI (corresponding author), Arctic &amp; Antarctic Res Inst, Dept Sea Ice &amp; Ice Forecasts, St Petersburg, Russia.</t>
  </si>
  <si>
    <t>Naumov, Alexander Kondratevich/A-1581-2014; Efimov, Yaroslav/ABA-3471-2021; Guzenko, Roman/J-3942-2014; Kornishin, Konstantin/AAA-7560-2022; May, Ruslan I./J-5316-2013</t>
  </si>
  <si>
    <t>May, Ruslan I./0000-0002-5602-1391</t>
  </si>
  <si>
    <t>RFBR [18-05-60109/18]</t>
  </si>
  <si>
    <t>RFBR(Russian Foundation for Basic Research (RFBR))</t>
  </si>
  <si>
    <t>The research was developed with the financial support of RFBR in the framework of research project No. 18-05-60109/18.</t>
  </si>
  <si>
    <t>10.17736/ijope.2019.jc770</t>
  </si>
  <si>
    <t>WOS:000501495500002</t>
  </si>
  <si>
    <t>Huneke, WGC; Klocker, A; Galton-Fenzi, BK</t>
  </si>
  <si>
    <t>Huneke, Wilma Gertrud Charlotte; Klocker, Andreas; Galton-Fenzi, Benjamin Keith</t>
  </si>
  <si>
    <t>Deep Bottom Mixed Layer Drives Intrinsic Variability of the Antarctic Slope Front</t>
  </si>
  <si>
    <t>Coastal flows; Currents; Fronts; Ocean dynamics; Ocean models</t>
  </si>
  <si>
    <t>WATER MASSES; MELT RATES; BASAL MELT; CIRCULATION; TOPOGRAPHY; TRANSPORT; TURBULENCE; IMPACT; MODEL</t>
  </si>
  <si>
    <t>The Antarctic Slope Front (ASF) is located along much of the Antarctic continental shelf break and helps to maintain a barrier to the movement of Circumpolar Deep Water (CDW) onto the continental shelf. The stability of the ASF has a major control on cross-shelf heat transport and ocean-driven basal melting of Antarctic ice shelves. Here, the ASF dynamics are investigated for continental shelves with weak dense shelf water (DSW) formation, which are thought to have a stable ASF, common for regions in East Antarctica. Using an ocean process model, this study demonstrates how offshore bottom Ekman transport of shelf waters leads to the development of a deep bottom mixed layer at the lower continental slope, and subsequently determines an intrinsic variability of the ASF. The ASF variability is characterized by instability events that affect the entire water column and occur every 5-10 years and last for approximately half a year. During these instability events, the cross-shelf density gradient weakens and CDW moves closer to the continent. Stronger winds increase the formation rate of the bottom mixed layer, which causes a subsequent increase of instability events. If the observed freshening trend of continental shelf waters leads to weaker DSW formation, more regions might be vulnerable for the ASF variability to develop in the future.</t>
  </si>
  <si>
    <t>[Huneke, Wilma Gertrud Charlotte] Univ Tasmania, Inst Marine &amp; Antarctic Studies, Hobart, Tas, Australia; [Huneke, Wilma Gertrud Charlotte; Klocker, Andreas] Univ Tasmania, ARC Ctr Excellence Climate Syst Sci, Hobart, Tas, Australia; [Klocker, Andreas; Galton-Fenzi, Benjamin Keith] Univ Tasmania, Antarctic Climate &amp; Ecosyst Cooperat Res Ctr, Hobart, Tas, Australia; [Galton-Fenzi, Benjamin Keith] Australian Antarctic Div, Kingston, Tas, Australia</t>
  </si>
  <si>
    <t>University of Tasmania; ARC Centre of Excellence for Climate System Science; University of Tasmania; Antarctic Climate &amp; Ecosystems Cooperative Research Centre (ACE CRC); University of Tasmania; Australian Antarctic Division</t>
  </si>
  <si>
    <t>Huneke, WGC (corresponding author), Univ Tasmania, Inst Marine &amp; Antarctic Studies, Hobart, Tas, Australia.;Huneke, WGC (corresponding author), Univ Tasmania, ARC Ctr Excellence Climate Syst Sci, Hobart, Tas, Australia.</t>
  </si>
  <si>
    <t>wilma.huneke@utas.edu.au</t>
  </si>
  <si>
    <t>Huneke, Wilma/GSE-1332-2022; Klocker, Andreas/E-4632-2011</t>
  </si>
  <si>
    <t>Huneke, Wilma/0000-0001-8624-365X; Klocker, Andreas/0000-0002-2038-7922</t>
  </si>
  <si>
    <t>Australian Research Council Special Research Initiative Antarctic Gateway Partnership [SR140300001]; Australian Antarctic Division project [4287]; Australian Government</t>
  </si>
  <si>
    <t>Australian Research Council Special Research Initiative Antarctic Gateway Partnership(Australian Research Council); Australian Antarctic Division project; Australian Government(Australian Government)</t>
  </si>
  <si>
    <t>The authors thank Andrew L. Stewart for useful discussions which helped to improve this work. The insightful comments by Pal Erik Isachsen and an anonymous reviewer were very much appreciated. WH is supported under the Australian Research Council Special Research Initiative Antarctic Gateway Partnership (SR140300001). The study contributed to the Australian Antarctic Division project 4287. The simulations presented here were conducted using resources from the National Computational Infrastructure (NCI), which is supported by the Australian Government.</t>
  </si>
  <si>
    <t>10.1175/JPO-D-19-0044.1</t>
  </si>
  <si>
    <t>JU6TR</t>
  </si>
  <si>
    <t>Bronze, Green Submitted</t>
  </si>
  <si>
    <t>WOS:000501807300002</t>
  </si>
  <si>
    <t>Dahl, JE; Bertrand, M; Pierre, A; Curtit, B; Pillard, C; Tasiemski, A; Convey, P; Renault, D</t>
  </si>
  <si>
    <t>Dahl, Julie Engell; Bertrand, Mathilde; Pierre, Aurelien; Curtit, Berengere; Pillard, Clemence; Tasiemski, Aurelie; Convey, Peter; Renault, David</t>
  </si>
  <si>
    <t>Thermal tolerance patterns of a carabid beetle sampled along invasion and altitudinal gradients at a sub-Antarctic island</t>
  </si>
  <si>
    <t>JOURNAL OF THERMAL BIOLOGY</t>
  </si>
  <si>
    <t>CHILL-COMA RECOVERY; MERIZODUS-SOLEDADINUS; TEMPERATURE EXTREMES; KERGUELEN ISLANDS; STRESS RESPONSES; CROSS-TOLERANCE; DROSOPHILA; EVOLUTION; COLEOPTERA; DISPERSAL</t>
  </si>
  <si>
    <t>[Dahl, Julie Engell; Bertrand, Mathilde; Pierre, Aurelien; Curtit, Berengere; Pillard, Clemence; Renault, David] Univ Rennes, UMR 6553, ECOBIO Ecosyst Biodiversite Evolut, CNRS, F-35000 Rennes, France; [Tasiemski, Aurelie] Univ Lille, CNRS, Inserrn, CHU Lille,Inst Pasteur Lille,U1019,UMR 8204,CIIL, F-59000 Lille, France; [Tasiemski, Aurelie] Univ Lille, CNRS, UMR 8198, Evo Ecopaleo, F-59000 Lille, France; [Convey, Peter] British Antarctic Survey, Nat Environm Res Council, Madingley Rd, Cambridge CB3 0ET, England; [Renault, David] Inst Univ France, 1 Rue Descartes, F-75231 Paris 05, France</t>
  </si>
  <si>
    <t>Universite de Rennes; Centre National de la Recherche Scientifique (CNRS); CNRS - Institute of Ecology &amp; Environment (INEE); Universite de Lille; CHU Lille; Pasteur Network; Institut Pasteur Lille; Centre National de la Recherche Scientifique (CNRS); CNRS - National Institute for Biology (INSB); Centre National de la Recherche Scientifique (CNRS); CNRS - Institute of Ecology &amp; Environment (INEE); Universite de Lille; UK Research &amp; Innovation (UKRI); Natural Environment Research Council (NERC); NERC British Antarctic Survey; Institut Universitaire de France</t>
  </si>
  <si>
    <t>Dahl, JE (corresponding author), Univ Rennes, UMR 6553, ECOBIO Ecosyst Biodiversite Evolut, CNRS, F-35000 Rennes, France.</t>
  </si>
  <si>
    <t>julie.bjorge@univ-rennes1.fr</t>
  </si>
  <si>
    <t>Convey, Peter/AAV-5728-2020; Tasiemski, Aurélie/IAO-1556-2023</t>
  </si>
  <si>
    <t>Convey, Peter/0000-0001-8497-9903; Tasiemski, Aurélie/0000-0003-3559-5115; RENAULT, David/0000-0003-3644-1759</t>
  </si>
  <si>
    <t>InEE-CNRS (Zone Atelier CNRS Antarctique et Subantarctique); French Polar Institute Paul-Emile Victor (IPEV, program 136 'SUBANTECO'); NERC; NERC [bas0100036] Funding Source: UKRI</t>
  </si>
  <si>
    <t>InEE-CNRS (Zone Atelier CNRS Antarctique et Subantarctique); French Polar Institute Paul-Emile Victor (IPEV, program 136 'SUBANTECO'); NERC(UK Research &amp; Innovation (UKRI)Natural Environment Research Council (NERC)); NERC(UK Research &amp; Innovation (UKRI)Natural Environment Research Council (NERC))</t>
  </si>
  <si>
    <t>This research was supported by InEE-CNRS (Zone Atelier CNRS Antarctique et Subantarctique), and the French Polar Institute Paul-Emile Victor (IPEV, program 136 'SUBANTECO'). Peter Convey is supported by NERC core funding to the British Antarctic Survey's 'Biodiversity, Evolution and Adaptation' Team.</t>
  </si>
  <si>
    <t>0306-4565</t>
  </si>
  <si>
    <t>J THERM BIOL</t>
  </si>
  <si>
    <t>J. Therm. Biol.</t>
  </si>
  <si>
    <t>10.1016/j.jtherbio.2019.102447</t>
  </si>
  <si>
    <t>Biology; Zoology</t>
  </si>
  <si>
    <t>Life Sciences &amp; Biomedicine - Other Topics; Zoology</t>
  </si>
  <si>
    <t>JU4MR</t>
  </si>
  <si>
    <t>hybrid, Green Submitted</t>
  </si>
  <si>
    <t>WOS:000501652200016</t>
  </si>
  <si>
    <t>Drennan, R; Wiklund, H; Rouse, GW; Georgieva, MN; Wu, XW; Kobayashi, G; Yoshino, K; Glover, AG</t>
  </si>
  <si>
    <t>Drennan, Regan; Wiklund, Helena; Rouse, Greg W.; Georgieva, Magdalena N.; Wu, Xuwen; Kobayashi, Genki; Yoshino, Kenji; Glover, Adrian G.</t>
  </si>
  <si>
    <t>Taxonomy and phylogeny of mud owls (Annelida: Sternaspidae), including a new synonymy and new records from the Southern Ocean, North East Atlantic Ocean and Pacific Ocean: challenges in morphological delimitation</t>
  </si>
  <si>
    <t>MARINE BIODIVERSITY</t>
  </si>
  <si>
    <t>Polychaeta; Sternaspis; Morphological characters; 18S; 16S; COI</t>
  </si>
  <si>
    <t>MULTIPLE SEQUENCE ALIGNMENT; MOLECULAR PHYLOGENY; SOFT-BOTTOM; SCUTATA POLYCHAETA; CAPITELLA-TELETA; WHALE-FALL; DIVERSITY; SEA; MITOCHONDRIAL; COSMOPOLITAN</t>
  </si>
  <si>
    <t>Species delimitation in sternaspid polychaetes is currently based on the morphology of a limited suite of characters, namely characters of the ventro-caudal shield-a unique feature of the family. Sternaspid species description has increased rapidly in recent years; however, the validity of the shield as a diagnostic character has not been assessed through molecular means. This study performs the largest molecular taxonomy of Sternaspidae to date, using the nuclear gene 18S, and the mitochondrial genes 16S and cytochrome oxidase subunit I (COI) to assess phylogenetic relationships within the family, to reassess the placement of Sternaspidae within the wider polychaete tree and to investigate the effectiveness of the shield as a diagnostic morphological character. This study includes many new records and reports Sternaspis affinis Stimpson, 1864 from USA Pacific coastline and genetic connectivity between specimens identified as Sternaspis cf. annenkovae Salazar-Vallejo &amp; Buzhinskaja, 2013 from off southeastern Australia and specimens identified as Sternaspis cf. williamsae Salazar-Vallejo &amp; Buzhinskaja, 2013 from the northwestern Pacific. In addition, we investigate material identified as Sternaspis cf. scutata (Ranzani, 1817) in the English Channel and compare with S. scutata through both molecular and morphological means. We further perform a detailed morphological and molecular investigation of new sternaspid material collected from the Southern Ocean and Antarctic Peninsula and regard Sternaspis monroi Salazar-Vallejo, 2014 syn. n. as a junior synonym of Sternaspis sendalli Salazar-Vallejo, 2014, two species recently described from the region, raising questions concerning the validity of current morphological delimitation.</t>
  </si>
  <si>
    <t>[Drennan, Regan; Wiklund, Helena; Georgieva, Magdalena N.; Glover, Adrian G.] Nat Hist Museum, Life Sci Dept, London SW7 5BD, England; [Rouse, Greg W.] Univ Calif San Diego, Scripps Inst Oceanog, 9500 Gilman Dr 0202, La Jolla, CA 92093 USA; [Wu, Xuwen] Chinese Acad Sci, Inst Oceanol, Lab Marine Organism Taxon &amp; Phylogeny, Qingdao 266071, Shandong, Peoples R China; [Kobayashi, Genki] Kyoto Univ, Field Sci Educ &amp; Res Ctr, Seto Marine Biol Lab, 459 Shirahama, Nishimura, Wakayama 6492211, Japan; [Yoshino, Kenji] Natl Inst Minamata Dis, 4058-18 Hama, Minamata, Kumamoto 8760008, Japan</t>
  </si>
  <si>
    <t>Natural History Museum London; University of California System; University of California San Diego; Scripps Institution of Oceanography; Chinese Academy of Sciences; Institute of Oceanology, CAS; Kyoto University</t>
  </si>
  <si>
    <t>Drennan, R (corresponding author), Nat Hist Museum, Life Sci Dept, London SW7 5BD, England.</t>
  </si>
  <si>
    <t>regan.drennan5@gmail.com</t>
  </si>
  <si>
    <t>Wu, Xuwen/AAH-4783-2020; Drennan, Regan/AAS-5913-2020; Rouse, Gregory/AAW-1494-2021</t>
  </si>
  <si>
    <t>Drennan, Regan/0000-0003-0137-5464; Rouse, Gregory/0000-0001-9036-9263; Wiklund, Helena/0000-0002-8252-3504; Kobayashi, Genki/0000-0002-5938-0824; Georgieva, Magdalena/0000-0002-1129-0571</t>
  </si>
  <si>
    <t>1867-1616</t>
  </si>
  <si>
    <t>1867-1624</t>
  </si>
  <si>
    <t>MAR BIODIVERS</t>
  </si>
  <si>
    <t>Mar. Biodivers.</t>
  </si>
  <si>
    <t>10.1007/s12526-019-00998-0</t>
  </si>
  <si>
    <t>Biodiversity Conservation; Marine &amp; Freshwater Biology</t>
  </si>
  <si>
    <t>Biodiversity &amp; Conservation; Marine &amp; Freshwater Biology</t>
  </si>
  <si>
    <t>JT8OM</t>
  </si>
  <si>
    <t>WOS:000501242900015</t>
  </si>
  <si>
    <t>Chen, C; Linse, K</t>
  </si>
  <si>
    <t>Chen, Chong; Linse, Katrin</t>
  </si>
  <si>
    <t>A new trochoidean gastropod (Vetigastropoda: Skeneidae) discovered from deep-sea hydrothermal vents in the Southern Ocean</t>
  </si>
  <si>
    <t>Antarctica; Bruceiella; East Scotia Ridge; Mollusc; New species; Trochoidea</t>
  </si>
  <si>
    <t>RIFTIA-PACHYPTILA JONES; MOLECULAR SYSTEMATICS; COLD SEEPS; SCOTIA SEA; TUBE WORM; PHYLOGENY; BIVALVIA</t>
  </si>
  <si>
    <t>Hydrothermal vents at the East Scotia Ridge (ESR) were the first vents to be visually confirmed and surveyed in the Southern Ocean. A trochoid snail was recovered from low diffuse flow venting sites of both E2 and E9 segments of the ESR. Taxonomic and systematic investigations revealed it to be a species hitherto unknown to science in the skeneid genus Bruceiella, which is apparently endemic to the chemosynthetic ecosystems. The new species is characterised by a large size for the genus (up to 5 mm shell width), a very broad central tooth with moderately raised horizontal basal ridge, inner marginal teeth with one single prominent protrusion on the shaft, and is described herein as Bruceiella indurata sp. nov. Described members of the genus are known from the Indian and Pacific oceans, drawing interest to the biogeographic origins of the present new species. Closest relative of the present species is Bruceiella wareni Okutani, Hashimoto &amp; Sasaki, 2004 from Kairei vent field, Central Indian Ridge, further indicating the close relationship between East Scotia Ridge and Indian Ocean vent fauna as has been previously suggested.</t>
  </si>
  <si>
    <t>[Chen, Chong] Japan Agcy Marine Earth Sci &amp; Technol JAMSTEC, X Star, 2-15 Natsushima Cho, Yokosuka, Kanagawa 2370061, Japan; [Linse, Katrin] British Antarctic Survey, Cambridge CB3 0ET, England</t>
  </si>
  <si>
    <t>Japan Agency for Marine-Earth Science &amp; Technology (JAMSTEC); UK Research &amp; Innovation (UKRI); Natural Environment Research Council (NERC); NERC British Antarctic Survey</t>
  </si>
  <si>
    <t>Chen, C (corresponding author), Japan Agcy Marine Earth Sci &amp; Technol JAMSTEC, X Star, 2-15 Natsushima Cho, Yokosuka, Kanagawa 2370061, Japan.</t>
  </si>
  <si>
    <t>cchen@jamstec.go.jp</t>
  </si>
  <si>
    <t>Chen, Chong/F-7489-2019</t>
  </si>
  <si>
    <t>Chen, Chong/0000-0002-5035-4021</t>
  </si>
  <si>
    <t>NERC [bas0100036] Funding Source: UKRI</t>
  </si>
  <si>
    <t>10.1007/s12526-019-01005-2</t>
  </si>
  <si>
    <t>WOS:000501242900021</t>
  </si>
  <si>
    <t>French, RP; Lyle, JM; Twardek, WM; Cooke, SJ; Semmens, JM</t>
  </si>
  <si>
    <t>French, R. P.; Lyle, J. M.; Twardek, W. M.; Cooke, S. J.; Semmens, J. M.</t>
  </si>
  <si>
    <t>A characterization of Australian shortfin mako shark anglers</t>
  </si>
  <si>
    <t>Angling; Perceptions; Shortfin mako; Catch-and-release; Australia</t>
  </si>
  <si>
    <t>CATCH-AND-RELEASE; CONFIRMATORY FACTOR-ANALYSIS; J-HOOK PERFORMANCE; RECREATIONAL FISHERIES; CIRCLE HOOKS; MANAGEMENT; CONSERVATION; ATTITUDES; SURVIVAL; MARINE</t>
  </si>
  <si>
    <t>Understanding the human dimensions of recreational fisheries is critical to the development of effective fisheries management regulations. This study aimed to characterize Australian shortfin mako shark (Isurus oxyrinchus) anglers in terms of their gear use, perceptions on circle hooks, perceptions on sharks and shark conservation, and attitudes towards fisheries management. A targeted web survey was completed by 272 shortfin mako anglers distributed across southeastern Australia. Responses were compared across angler subgroups in relation to their state of residence, membership to an angling club, and tendency to release or keep captured sharks. Overall, anglers' perceptions about how their fishing behaviours and gear choices may affect the survival of released shortfin mako sharks were quite in line with existing scientific knowledge though anglers believed their behaviours have less of an impact on shark stocks than other threats such as commercial fisheries. Gear selection was determined largely by fishing preference (harvest or catch-and-release) of the angler, with those practicing catch-and-release more frequently using circle hooks. State of residence also influenced the perceptions of anglers towards sharks and shark survival as well as their attitudes towards fisheries management. Angler support for precautionary management suggests that a better understanding of the potential impacts of recreational fishing on shark stocks may assist in promoting greater accountability and responsible fishing practices amongst these resource users; however, improved communication between recreational fishers, management authorities, and fisheries scientists is a necessary precursor to this step.</t>
  </si>
  <si>
    <t>[French, R. P.; Lyle, J. M.; Semmens, J. M.] Univ Tasmania, Inst Marine &amp; Antarctic Studies, Fisheries &amp; Aquaculture Ctr, 15-21 Nubeena Crescent, Taroona, Tas, Australia; [Twardek, W. M.; Cooke, S. J.] Carleton Univ, Dept Biol, Fish Ecol &amp; Conservat Physiol Lab, 1125 Colonel By Dr, Ottawa, ON, Canada; [Twardek, W. M.; Cooke, S. J.] Carleton Univ, Inst Environm Sci, 1125 Colonel By Dr, Ottawa, ON, Canada</t>
  </si>
  <si>
    <t>University of Tasmania; Carleton University; Carleton University</t>
  </si>
  <si>
    <t>Lyle, JM (corresponding author), Univ Tasmania, Inst Marine &amp; Antarctic Studies, Fisheries &amp; Aquaculture Ctr, 15-21 Nubeena Crescent, Taroona, Tas, Australia.;Twardek, WM (corresponding author), Carleton Univ, Dept Biol, Fish Ecol &amp; Conservat Physiol Lab, 1125 Colonel By Dr, Ottawa, ON, Canada.;Twardek, WM (corresponding author), Carleton Univ, Inst Environm Sci, 1125 Colonel By Dr, Ottawa, ON, Canada.</t>
  </si>
  <si>
    <t>Jeremy.lyle@utas.edu.au; william.twardek@gmail.com</t>
  </si>
  <si>
    <t>Lyle, Jeremy M/J-7170-2014; Cooke, Steven J/F-4193-2010</t>
  </si>
  <si>
    <t>Cooke, Steven J/0000-0002-5407-0659; Semmens, Jayson/0000-0003-1742-6692</t>
  </si>
  <si>
    <t>Tasmanian Department of Primary Industries, Parks, Water and Environment -Fishwise Community Grant; Holsworth Wildlife Research Endowment; Natural Sciences and Engineering Research Council of Canada; NSERC-CGS-D; NSERC; Canada Research Chairs Program</t>
  </si>
  <si>
    <t>Tasmanian Department of Primary Industries, Parks, Water and Environment -Fishwise Community Grant; Holsworth Wildlife Research Endowment; Natural Sciences and Engineering Research Council of Canada(Natural Sciences and Engineering Research Council of Canada (NSERC)CGIAR); NSERC-CGS-D(Natural Sciences and Engineering Research Council of Canada (NSERC)); NSERC(Natural Sciences and Engineering Research Council of Canada (NSERC)); Canada Research Chairs Program(Canada Research Chairs)</t>
  </si>
  <si>
    <t>This work was supported by the Tasmanian Department of Primary Industries, Parks, Water and Environment -Fishwise Community Grant, Holsworth Wildlife Research Endowment and the Natural Sciences and Engineering Research Council of Canada. We would like to thank Charlie Huveneers and Matt Heard for their cooperation during questionnaire development. We would also like to extend our gratitude to all of the game fishing clubs and organisations that assisted with the distribution of the questionnaire. WMT was funded by an NSERC-CGS-D, SJC is further supported by NSERC and the Canada Research Chairs Program. This research was conducted with the approval of the Social Sciences Human Research Ethics Committee (Tasmania) Network (H13984).</t>
  </si>
  <si>
    <t>10.1016/j.marpol.2019.103550</t>
  </si>
  <si>
    <t>JU0XD</t>
  </si>
  <si>
    <t>WOS:000501401600004</t>
  </si>
  <si>
    <t>Cipro, CVZ; Bustamante, P; Montone, RC; Oliveira, LC; Petry, MV</t>
  </si>
  <si>
    <t>Cipro, Caio V. Z.; Bustamante, Paco; Montone, Rosalinda C.; Oliveira, Lucas C.; Petry, Maria, V</t>
  </si>
  <si>
    <t>Do population parameters influence the role of seabird colonies as secondary pollutants source? A case study for Antarctic ecosystems</t>
  </si>
  <si>
    <t>MARINE POLLUTION BULLETIN</t>
  </si>
  <si>
    <t>Pollutants; Secondary sources; Antarctica; Seabird; Colonies; Population</t>
  </si>
  <si>
    <t>KING-GEORGE-ISLAND; PERSISTENT ORGANIC POLLUTANTS; PYGOSCELIS-ANTARCTICA; SOUTH-SHETLAND; ADMIRALTY BAY; PENGUIN; MERCURY; NITROGEN; MARITIME; TRANSPORT</t>
  </si>
  <si>
    <t>Pollutants in Antarctic ecosystems are largely attributed to long range atmospheric transport. However, previous studies confirmed seabird colonies as relevant secondary sources of organic and inorganic pollutants. When comparing these data, higher trophic level seabird colonies, small and sparse, did not influence results as strongly as lower trophic level birds large dense colonies. Thus, we cross examined results of stable isotopes and pollutants from lichens, moss and soil samples from Antarctic seabird colonies with their data for population parameters to understand how these variables influence each other. Results showed colonies clearly supplying As, Cd, Hg, Se, Zn, HCB and PCBs and corroborated other local sources. Penguin colonies were the most important pollutants sources hereby studied due to their sheer size and also their recent relative growth. Finally, results suggest climate change should likely increase the concentration of contaminants and the overall burden trapped in Antarctic terrestrial ecosystems.</t>
  </si>
  <si>
    <t>[Cipro, Caio V. Z.; Montone, Rosalinda C.; Oliveira, Lucas C.] Univ Sao Paulo, Inst Oceanog LabQOM, Lab Quim Organ Marinha, Praca Oceanog 191, BR-05508120 Sao Paulo, SP, Brazil; [Cipro, Caio V. Z.; Bustamante, Paco] La Rochelle Univ, Littoral Environm &amp; Soc LIENSs, UMR 7266, CNRS, 2 Rue Olympe de Gouges, F-17000 La Rochelle, France; [Petry, Maria, V] Univ Vale Rio dos Sinos, Lab Ornitol &amp; Anim Marinhos, Av Unisinos 950, BR-93022750 Sao Leopoldo, RS, Brazil</t>
  </si>
  <si>
    <t>Universidade de Sao Paulo; Centre National de la Recherche Scientifique (CNRS); CNRS - Institute of Ecology &amp; Environment (INEE); Universidade do Vale do Rio dos Sinos (Unisinos)</t>
  </si>
  <si>
    <t>Cipro, CVZ (corresponding author), Univ Sao Paulo, Inst Oceanog LabQOM, Lab Quim Organ Marinha, Praca Oceanog 191, BR-05508120 Sao Paulo, SP, Brazil.</t>
  </si>
  <si>
    <t>caiovzc@usp.br</t>
  </si>
  <si>
    <t>Petry, Maria Virginia/AAG-5333-2021; Bustamante, Paco/G-5833-2011; Cipro, Caio Vinícius Zecchin/C-6338-2014; Montone, Rosalinda C/J-9110-2012; petry, maria/K-8410-2013</t>
  </si>
  <si>
    <t>Bustamante, Paco/0000-0003-3877-9390; petry, maria/0000-0002-7870-7394</t>
  </si>
  <si>
    <t>CPER (Contrat de Projet Etat-Region); FEDER (Fonds Europeen de Developpement Regional); FASEP (Fonds d'etude et d'aide au secteur prive); IUF (Institut Universitaire de France); FAPESP (Sao Paulo Research Foundation, Brazil) [2014/15989-0, 2015/07209-8]; FAPESP [2016/18348-1]; INCT-APA (Institute Nacional de Ciencia e Tecnologia Antartico de Pesquisas Ambientais; CNPq) [574018/2008-5]; FAPERJ [E-26/170.023/2008]; SECIRM; MMA; MCTI</t>
  </si>
  <si>
    <t>CPER (Contrat de Projet Etat-Region); FEDER (Fonds Europeen de Developpement Regional)(European Union (EU)); FASEP (Fonds d'etude et d'aide au secteur prive); IUF (Institut Universitaire de France); FAPESP (Sao Paulo Research Foundation, Brazil)(Fundacao de Amparo a Pesquisa do Estado de Sao Paulo (FAPESP)); FAPESP(Fundacao de Amparo a Pesquisa do Estado de Sao Paulo (FAPESP)); INCT-APA (Institute Nacional de Ciencia e Tecnologia Antartico de Pesquisas Ambientais; CNPq); FAPERJ(Fundacao Carlos Chagas Filho de Amparo a Pesquisa do Estado do Rio De Janeiro (FAPERJ)); SECIRM; MMA; MCTI</t>
  </si>
  <si>
    <t>The authors would like to acknowledge all funding institutions comprised in the present work. We acknowledge the funding from CPER (Contrat de Projet Etat-Region), FEDER (Fonds Europeen de Developpement Regional), and FASEP (Fonds d'etude et d'aide au secteur prive). The IUF (Institut Universitaire de France) is acknowledged for its support to P. Bustamante as a senior member. C.V.Z. Cipro received scholarships from FAPESP (Sao Paulo Research Foundation, Brazil; Grants #2014/15989-0 and #2015/07209-8). FAPESP is also to be thanked for the new multi-user triple quadrupole chromatograph used in this work (grant#2016/18348-1). M.V. Petry and R. C. Montone received funding from INCT-APA (Institute Nacional de Ciencia e Tecnologia Antartico de Pesquisas Ambientais; CNPq Process no. 574018/2008-5) and FAPERJ (E-26/170.023/2008) and were supported by the SECIRM, MMA and MCTI. G. Guillou from the `Plateforme Analyses Isotopiques' of LIENSs is also acknowledged for his assistance during stable isotope analyses. C. Churlaud and M. Brault-Favrou from the 'Plateforme Analyses Elementaires' of LIENSs are acknowledged for the assistance during trace element analyses. Finally, every single person involved in the fieldwork is deeply thanked.</t>
  </si>
  <si>
    <t>0025-326X</t>
  </si>
  <si>
    <t>1879-3363</t>
  </si>
  <si>
    <t>MAR POLLUT BULL</t>
  </si>
  <si>
    <t>Mar. Pollut. Bull.</t>
  </si>
  <si>
    <t>10.1016/j.marpolbul.2019.110534</t>
  </si>
  <si>
    <t>JU0RQ</t>
  </si>
  <si>
    <t>Green Submitted, hybrid</t>
  </si>
  <si>
    <t>WOS:000501387300069</t>
  </si>
  <si>
    <t>Kuklinski, P; Wicikowski, L; Koper, M; Grala, T; Leniec-Koper, H; Barasinski, M; Talar, M; Kaminski, I; Kibart, R; Malecki, W</t>
  </si>
  <si>
    <t>Kuklinski, Piotr; Wicikowski, Leszek; Koper, Mariusz; Grala, Tomasz; Leniec-Koper, Hanna; Barasinski, Michal; Talar, Magdalena; Kaminski, Ireneusz; Kibart, Robert; Malecki, Wojciech</t>
  </si>
  <si>
    <t>Offshore surface waters of Antarctica are free of microplastics, as revealed by a circum-Antarctic study</t>
  </si>
  <si>
    <t>Antarctic; Southern Ocean; Pollution; Microplastic; Surface waters</t>
  </si>
  <si>
    <t>MONITORING MICROPLASTICS; ROSS SEA; MARINE; ORGANISMS; SEDIMENTS</t>
  </si>
  <si>
    <t>In 2018, during a circumnavigation of Antarctica below 62 degrees S by the sailing boat Katharsis II, the presence of plastics was investigated with surface sampling nets at ten evenly spaced locations (every 36 degrees of longitude). Although fibres that appeared to be plastic (particles up to 2 cm) were found in numbers ranging from 1 particle (0.002 particles per m(3)) to 171 particles (1.366 particles per m(3)) per station, a Fourier-transform infrared spectroscopy (FT-IR) analysis indicated that these particles were not composed of plastic. The fibres which superficially reminded plastic were composed of silica and are of biological origin most likely generated by phytoplankton (diatoms). Therefore, the offshore Antarctic locations were proven to be free of floating micro-plastics.</t>
  </si>
  <si>
    <t>[Kuklinski, Piotr] Polish Acad Sci, Inst Oceanol, Warssawy 55, PL-81712 Sopot, Poland; [Kuklinski, Piotr] Nat Hist Museum, Dept Life Sci, London SW7 5BD, England; [Kuklinski, Piotr; Koper, Mariusz; Grala, Tomasz; Leniec-Koper, Hanna; Barasinski, Michal; Talar, Magdalena; Kaminski, Ireneusz; Kibart, Robert; Malecki, Wojciech] World Ocean, Szczecin, Poland; [Wicikowski, Leszek] Gdansk Univ Technol, Fac Appl Phys &amp; Math, Narutowicza 11-12, PL-80233 Gdansk, Poland; [Kaminski, Ireneusz] Polish Naval Acad, Ul Inz Smidowicza 69, PL-81127 Gdynia, Poland</t>
  </si>
  <si>
    <t>Polish Academy of Sciences; Institute of Oceanology of the Polish Academy of Sciences; Natural History Museum London; Fahrenheit Universities; Gdansk University of Technology</t>
  </si>
  <si>
    <t>Kuklinski, P (corresponding author), Polish Acad Sci, Inst Oceanol, Warssawy 55, PL-81712 Sopot, Poland.</t>
  </si>
  <si>
    <t>kuki@iopan.pl</t>
  </si>
  <si>
    <t>Wicikowski, Leszek/0000-0003-3949-0919; Kuklinski, Piotr/0000-0002-1507-215X</t>
  </si>
  <si>
    <t>National Science Centre, Poland [2016/23/B/ST10/01936]</t>
  </si>
  <si>
    <t>National Science Centre, Poland(National Science Centre, Poland)</t>
  </si>
  <si>
    <t>This study was commenced during the PANIC project (grant no. 2016/23/B/ST10/01936) funded by the National Science Centre, Poland.</t>
  </si>
  <si>
    <t>10.1016/j.marpolbul.2019.110573</t>
  </si>
  <si>
    <t>WOS:000501387300059</t>
  </si>
  <si>
    <t>Ooi, CK; Ware, M; Lewis, T; Lyle, J; Nowak, BF</t>
  </si>
  <si>
    <t>Ooi, Chun Kit; Ware, Michael; Lewis, Trevor; Lyle, Jeremy; Nowak, Barbara F.</t>
  </si>
  <si>
    <t>Muscle melanisation in sand flathead (Platycephalus bassensis) and links to elevated zinc levels</t>
  </si>
  <si>
    <t>Muscle melanisation; Heavy metal; Zinc; Fish; Sand flathead; Platycephalus bassensis</t>
  </si>
  <si>
    <t>N. SP MYXOSPOREA; ATLANTIC SALMON; MELANIN; MULTIVALVULIDA; TYROSINASE; AUSTRALIA; TELEOSTEI; TISSUES; METALS; FISH</t>
  </si>
  <si>
    <t>Melanisation of muscle, observed as black pigmentation of the normally white flesh, has been reported in sand flathead from Tasmania and investigated in this study. There was a significant difference in the presence of melanised muscle in sand flathead from two sites within the Tamar Estuary (northern Tasmania), with higher proportion of sand flathead from Deceitful Cove with this condition. Presence of melanisation was not related to length or weight of the fish. No parasitic infections were detected in the muscles of the affected sand flathead. However, concentration of zinc in melanised regions of muscle in the affected fish was significantly higher, about 1.7 to 1.8 times, than non-melanised regions of muscle in the same fish. Furthermore, the concentration of zinc in melanised regions of affected fish was on average about 2.0 times higher when compared to muscle of unaffected fish that had no melanised spots.</t>
  </si>
  <si>
    <t>[Ooi, Chun Kit; Lewis, Trevor] Univ Tasmania, Sch Nat Sci Chem, Locked Bag 1370, Launceston, Tas 7250, Australia; [Ware, Michael; Nowak, Barbara F.] Univ Tasmania, Fisheries &amp; Aquaculture Ctr, Inst Marine &amp; Antarctic Studies, Locked Bag 1370, Launceston, Tas 7250, Australia; [Lyle, Jeremy] Inst Marine &amp; Antarctic Studies, Fisheries &amp; Aquaculture Ctr, 15-21 Nubeena Crescent, Taroona, Tas 7053, Australia</t>
  </si>
  <si>
    <t>University of Tasmania; University of Tasmania; University of Tasmania</t>
  </si>
  <si>
    <t>Nowak, BF (corresponding author), Univ Tasmania, IMAS, Locked Bag 1370, Launceston, Tas 7250, Australia.</t>
  </si>
  <si>
    <t>B.Nowak@utas.edu.au</t>
  </si>
  <si>
    <t>Lyle, Jeremy M/J-7170-2014; Nowak, Barbara/J-7261-2014; Lewis, Trevor/I-6219-2012</t>
  </si>
  <si>
    <t>Nowak, Barbara/0000-0002-0347-643X; Lewis, Trevor/0000-0001-6891-3840; Ooi, Chun Kit/0000-0002-3670-9252</t>
  </si>
  <si>
    <t>Fishwise</t>
  </si>
  <si>
    <t>This research did not receive any specific grant from funding agencies in the public, commercial, or not-for-profit sectors. Preliminary sample collection and processing was supported by Fishwise.</t>
  </si>
  <si>
    <t>10.1016/j.marpolbul.2019.110493</t>
  </si>
  <si>
    <t>WOS:000501387300023</t>
  </si>
  <si>
    <t>Xu, JJ; Wang, ZS; Wang, SP; Wei, DP</t>
  </si>
  <si>
    <t>Xu JiaJing; Wang ZhenShan; Wang ShaoPo; Wei DongPing</t>
  </si>
  <si>
    <t>Numerical simulation of the lithospheric thermal structure in the subduction zone of the Southern Chile triple junction</t>
  </si>
  <si>
    <t>CHINESE JOURNAL OF GEOPHYSICS-CHINESE EDITION</t>
  </si>
  <si>
    <t>Chinese</t>
  </si>
  <si>
    <t>Spreading-ridge subduction; Chile Triple Junction; Thermal structure; Slab window; Numerical modeling</t>
  </si>
  <si>
    <t>SPREADING-RIDGE; SLAB; PATAGONIA; MAGMATISM; COLLISION; AMERICA</t>
  </si>
  <si>
    <t>The Chile Triple Junction (CTJ) is located at the junction of the Nazca Plate, the Antarctic Plate and the South American Plate, formed by the Chile spreading ridge between the Antarctic-Nazka plate subducting into the Chile trench. The development of the Patagonia slab window on the South American plate is one of the results of the long-term expansion and subduction of the Chile ridge. As the Nazca plate continues to be subducted eastward, the Nazca plate becomes smaller. At the same time, the Chile Triple Junction moves north. In this paper, a simple two-dimensional numerical model of ridge-trench collision was established by numerical simulation, to study the lithospheric thermal structure in the subduction zone of the southern extension of the CTJ. The simulation results showed that the location of ridge, the relative convergence velocities of the plate and the existence of the overlying continental plate had a strong impact on the temperature structure of the oceanic plate in the subduction zone. We find that the horizontal distance from the ridge to the location where the temperature of the oceanic plate below the continental plate was up to the maximum and the horizontal distance from the ridge to the slab window have good consistency. At the same time, when there is a relative convergence between these two plates, the temperature of the lower surface of the right continental plate of the oceanic ridge increases while the temperature of the oceanic plate in the subduction zone was close to the mantle temperature. The Nazca plate was rapidly subducted beneath the South American plate at a rate of 7. 8 cm . a(-1), accompanied by the continuous expansion of the Chile Ridge. In the southern part of the Chile Triple Junction, the temperature of the Nazca plate under the South American plate can thus quickly reached the temperature of the mantle plume at about 1300 degrees C and eventually disappeared into the mantle.</t>
  </si>
  <si>
    <t>[Xu JiaJing; Wang ZhenShan; Wang ShaoPo; Wei DongPing] Chinese Acad Sci, Key Lab Computat Geodynam, Beijing 100049, Peoples R China; [Xu JiaJing; Wang ZhenShan; Wang ShaoPo; Wei DongPing] Univ Chinese Acad Sci, Coll Earth &amp; Planetary Sci, Beijing 100049, Peoples R China</t>
  </si>
  <si>
    <t>Chinese Academy of Sciences; Chinese Academy of Sciences; University of Chinese Academy of Sciences, CAS</t>
  </si>
  <si>
    <t>Wei, DP (corresponding author), Chinese Acad Sci, Key Lab Computat Geodynam, Beijing 100049, Peoples R China.;Wei, DP (corresponding author), Univ Chinese Acad Sci, Coll Earth &amp; Planetary Sci, Beijing 100049, Peoples R China.</t>
  </si>
  <si>
    <t>xujiajing16@mails.ucas.ac.cn; dongping@ucas.ac.cn</t>
  </si>
  <si>
    <t>WEI, Dongping/J-3297-2012; Sun, Peng/KDO-4243-2024</t>
  </si>
  <si>
    <t>SCIENCE PRESS</t>
  </si>
  <si>
    <t>16 DONGHUANGCHENGGEN NORTH ST, BEIJING 100717, PEOPLES R CHINA</t>
  </si>
  <si>
    <t>0001-5733</t>
  </si>
  <si>
    <t>CHINESE J GEOPHYS-CH</t>
  </si>
  <si>
    <t>Chinese J. Geophys.-Chinese Ed.</t>
  </si>
  <si>
    <t>10.6038/cjg2019M0592</t>
  </si>
  <si>
    <t>JT4DA</t>
  </si>
  <si>
    <t>WOS:000500940600019</t>
  </si>
  <si>
    <t>Patmore, RD; Holland, PR; Munday, DR; Garabato, ACN; Stevens, DP; Meredith, MP</t>
  </si>
  <si>
    <t>Patmore, Ryan D.; Holland, Paul R.; Munday, David R.; Garabato, Alberto C. Naveira; Stevens, David P.; Meredith, Michael P.</t>
  </si>
  <si>
    <t>Topographic Control of Southern Ocean Gyres and the Antarctic Circumpolar Current: A Barotropic Perspective</t>
  </si>
  <si>
    <t>Ocean; Southern Ocean; Barotropic flows; Large-scale motions; Topographic effects; Gyres</t>
  </si>
  <si>
    <t>WIND-DRIVEN CIRCULATION; BETA-PLANE CHANNEL; DYNAMIC TOPOGRAPHY; MOMENTUM BALANCE; FORM STRESS; MODEL; TRANSPORT; FLOW</t>
  </si>
  <si>
    <t>In the Southern Ocean the Antarctic Circumpolar Current is significantly steered by large topographic features, and subpolar gyres form in their lee. The geometry of topographic features in the Southern Ocean is highly variable, but the influence of this variation on the large-scale flow is poorly understood. Using idealized barotropic simulations of a zonal channel with a meridional ridge, it is found that the ridge geometry is important for determining the net zonal volume transport. A relationship is observed between ridge width and volume transport that is determined by the form stress generated by the ridge. Gyre formation is also highly reliant on the ridge geometry. A steep ridge allows gyres to form within regions of unblocked geostrophic (f/H) contours, with an increase in gyre strength as the ridge width is reduced. These relationships among ridge width, gyre strength, and net zonal volume transport emerge to simultaneously satisfy the conservation of momentum and vorticity.</t>
  </si>
  <si>
    <t>[Patmore, Ryan D.; Holland, Paul R.; Munday, David R.; Meredith, Michael P.] British Antarctic Survey, Cambridge, England; [Garabato, Alberto C. Naveira] Univ Southampton, Southampton, Hants, England; [Stevens, David P.] Univ East Anglia, Norwich, Norfolk, England</t>
  </si>
  <si>
    <t>UK Research &amp; Innovation (UKRI); Natural Environment Research Council (NERC); NERC British Antarctic Survey; University of Southampton; University of East Anglia</t>
  </si>
  <si>
    <t>Patmore, RD (corresponding author), British Antarctic Survey, Cambridge, England.</t>
  </si>
  <si>
    <t>ryapat30@bas.ac.uk</t>
  </si>
  <si>
    <t>Munday, David R/R-1986-2016; Garabato, Alberto Naveira/AAQ-1114-2020; Holland, Paul R/G-2796-2012; Munday, David/Y-7052-2019; Stevens, David/F-2509-2010</t>
  </si>
  <si>
    <t>Munday, David R/0000-0003-1920-708X; Garabato, Alberto Naveira/0000-0001-6071-605X; Meredith, Michael/0000-0002-7342-7756; Stevens, David/0000-0002-7283-4405; Patmore, Ryan/0000-0002-5571-9229</t>
  </si>
  <si>
    <t>Natural Environmental Research Council [NE/L002531/1]; NERC [bas0100033, NE/K013181/1] Funding Source: UKRI</t>
  </si>
  <si>
    <t>Natural Environmental Research Council(UK Research &amp; Innovation (UKRI)Natural Environment Research Council (NERC)); NERC(UK Research &amp; Innovation (UKRI)Natural Environment Research Council (NERC))</t>
  </si>
  <si>
    <t>We acknowledge insightful comments from Chris Hughes and George Nurser. This work was supported by the Natural Environmental Research Council (Grant NE/L002531/1).</t>
  </si>
  <si>
    <t>10.1175/JPO-D-19-0083.1</t>
  </si>
  <si>
    <t>JU6RQ</t>
  </si>
  <si>
    <t>hybrid, Green Accepted</t>
  </si>
  <si>
    <t>WOS:000501802000001</t>
  </si>
  <si>
    <t>Barrier, A; Nicol, A; Browne, GH; Bassett, K</t>
  </si>
  <si>
    <t>Barrier, Andrea; Nicol, Andrew; Browne, Greg H.; Bassett, Kari</t>
  </si>
  <si>
    <t>Early Oligocene marine canyon-channel systems: Implications for regional paleogeography in the Canterbury Basin, New Zealand</t>
  </si>
  <si>
    <t>MARINE GEOLOGY</t>
  </si>
  <si>
    <t>Oligocene; Channel; Canyon; Shelf; Slope; Limestone; New Zealand</t>
  </si>
  <si>
    <t>ANTARCTIC CIRCUMPOLAR CURRENT; MID-TERTIARY UNCONFORMITIES; SEQUENCE STRATIGRAPHY; NORTH-CANTERBURY; TARANAKI BASIN; SOUTH ISLAND; MARSHALL PARACONFORMITY; SEDIMENTARY CYCLES; AMURI LIMESTONE; EARLY MIOCENE</t>
  </si>
  <si>
    <t>The Oligocene is a time of maximum submersion of the Zealandia landmass; it coincides with changes in oceanographic currents as well as with the inception of the Cenozoic plate boundary through New Zealand. Our analysis of offshore wells and seismic reflection lines in the Canterbury Basin reveals condensed Oligocene strata (&lt; 150 m thick), which were eroded by mid-Oligocene (similar to 32-29 Ma) channels 1-10 km wide, 15-90 km long and up to similar to 200 milliseconds two-way-time deep. Onshore, we mapped corridors of complete erosion of the early Oligocene Amuri Limestone, overlain by younger Oligocene and Miocene strata using measured sections from the published literature. The synchronicity, similar trends, and comparable morphology of onshore and offshore channels suggest that they may have formed part of the same erosive system. We propose that a sea-level fall at similar to 32 Ma initiated the development of this drainage system with erosive channels converging towards canyons in the deeper water offshore. The drainage was active for up to 17 Ma, flowing primarily towards the south-east into the present-day Bounty Trough. The temporal (millions of years) and the spatial (hundreds of metres) scales of the sea-level fall are larger than would be expected for eustatic processes and we suggest that regional tectonic uplift played an important role in channel formation. The channel orientations and their eastward gradients, together with the Oligocene sedimentary facies observed in outcrop, suggest that the axis of uplift (and maximum topography) was primarily west of the Canterbury Basin. Tectonic shortening that collectively affected the western North Island - Marlborough Sounds - western Canterbury - western Otago regions may have produced uplift and eastward flowing early Oligocene channels in the Canterbury Basin. We observe that the orientations, geometries, and locations of early Oligocene drainage are similar to present day systems, suggesting they persisted as physiographic entities for at least 30 Myr, throughout Late Cenozoic plate tectonic deformation.</t>
  </si>
  <si>
    <t>[Barrier, Andrea; Nicol, Andrew; Bassett, Kari] Univ Canterbury, Dept Geol Sci, Christchurch, New Zealand; [Browne, Greg H.] GNS Sci, POB 30368, Lower Hutt, New Zealand</t>
  </si>
  <si>
    <t>University of Canterbury; GNS Science - New Zealand</t>
  </si>
  <si>
    <t>Barrier, A (corresponding author), Univ Canterbury, Dept Geol Sci, Christchurch, New Zealand.</t>
  </si>
  <si>
    <t>barrierandrea@gmail.com</t>
  </si>
  <si>
    <t>Barrier, Andrea/0000-0002-9005-9975</t>
  </si>
  <si>
    <t>Department of Geological Sciences, University of Canterbury; Mason Trust Fund; NZ government (MBIE); Sedimentary Basin Research programme</t>
  </si>
  <si>
    <t>We acknowledge the funding support from the Department of Geological Sciences, University of Canterbury, and the Mason Trust Fund. GHB acknowledges funding from the NZ government (MBIE) through Strategic Funding to GNS Science and the Sedimentary Basin Research programme.</t>
  </si>
  <si>
    <t>0025-3227</t>
  </si>
  <si>
    <t>1872-6151</t>
  </si>
  <si>
    <t>MAR GEOL</t>
  </si>
  <si>
    <t>Mar. Geol.</t>
  </si>
  <si>
    <t>10.1016/j.margeo.2019.106037</t>
  </si>
  <si>
    <t>Geosciences, Multidisciplinary; Oceanography</t>
  </si>
  <si>
    <t>Geology; Oceanography</t>
  </si>
  <si>
    <t>JU0ZX</t>
  </si>
  <si>
    <t>WOS:000501408800001</t>
  </si>
  <si>
    <t>Bones, DL; Carrillo-Sánchez, JD; Kulak, AN; Plane, JMC</t>
  </si>
  <si>
    <t>Bones, David L.; Carrillo-Sanchez, Juan Diego; Kulak, Alexander N.; Plane, John M. C.</t>
  </si>
  <si>
    <t>Ablation of Ni from micrometeoroids in the upper atmosphere: Experimental and computer simulations and implications for Fe ablation</t>
  </si>
  <si>
    <t>PLANETARY AND SPACE SCIENCE</t>
  </si>
  <si>
    <t>Micrometeoroid; Mesosphere; Ablation; Nickel; Iron; Cosmic dust</t>
  </si>
  <si>
    <t>ANTARCTIC MICROMETEORITES; ELECTRON-MICROSCOPY; VAPORIZATION MODEL; AQUEOUS ACTIVITY; OXYGEN FUGACITY; NICKEL; CHEMISTRY; METEORITE; IRON; FRACTIONATION</t>
  </si>
  <si>
    <t>Modelling the ablation of Ni from micrometeoroids upon their entry to the Earth's atmosphere enables us to better understand not just the Ni layers in the upper atmosphere but also the differential ablation of Fe. A new version of our meteoroid ablation model has been developed that includes a metal phase in addition to the existing silicate phase. The validity of this new model has been verified via laboratory experiments of Ni ablation. Meteoritic particles (powdered terrestrial meteorites) and mineral proxies were flash heated to temperatures as high as 2700 K to simulate atmospheric entry. Slower linear heating ramps were also conducted to allow a more precise study of ablation as a function of temperature. Ni ablates rapidly, shortly after Na, which was used here as a reference. The model reproduces the experimental results generally within experimental error. Disagreement between the model and the data can be explained by the distribution of Ni in small grains in the meteorite samples, in contrast to the model assumptions of one molten metal phase. Small grain sizes are consistent with the Fe-Ni grain size observed in SEM-EDX mapping of the meteorite particles used for this study.</t>
  </si>
  <si>
    <t>[Bones, David L.; Carrillo-Sanchez, Juan Diego; Kulak, Alexander N.; Plane, John M. C.] Univ Leeds, Sch Chem, Leeds, W Yorkshire, England</t>
  </si>
  <si>
    <t>University of Leeds</t>
  </si>
  <si>
    <t>Bones, DL; Plane, JMC (corresponding author), Univ Leeds, Sch Chem, Leeds, W Yorkshire, England.</t>
  </si>
  <si>
    <t>D.L.Bones@leeds.ac.uk; J.M.C.Plane@leeds.ac.uk</t>
  </si>
  <si>
    <t>Plane, John M C/C-7444-2015</t>
  </si>
  <si>
    <t>Carrillo Sanchez, Juan Diego/0000-0001-8230-4048</t>
  </si>
  <si>
    <t>UK Natural Environment Research Council [NE/P001815/1]; NERC [NE/P001815/1, NE/R011222/1] Funding Source: UKRI</t>
  </si>
  <si>
    <t>UK Natural Environment Research Council(UK Research &amp; Innovation (UKRI)Natural Environment Research Council (NERC)); NERC(UK Research &amp; Innovation (UKRI)Natural Environment Research Council (NERC))</t>
  </si>
  <si>
    <t>This work was supported by the UK Natural Environment Research Council (grant number NE/P001815/1). The raw MASI ablation data and CABMOD output are available from the Centre for Environmental Data Analysis (CEDA) archive (doi for MASI data:10.5285/8120f50827564 bd7ae22ee3ac50e6c8f; doi for CABMOD data:10.5285/5f7 c65c06317418f8ff0b6881c929153). SEM images and analysis scripts and Excel spreadsheets are archived at the University of Leeds, doi:10.5518/714.</t>
  </si>
  <si>
    <t>0032-0633</t>
  </si>
  <si>
    <t>PLANET SPACE SCI</t>
  </si>
  <si>
    <t>Planet Space Sci.</t>
  </si>
  <si>
    <t>10.1016/j.pss.2019.104725</t>
  </si>
  <si>
    <t>JU0YA</t>
  </si>
  <si>
    <t>WOS:000501403900018</t>
  </si>
  <si>
    <t>Kam, H; Kim, YH; Mitchell, NJ; Kim, JH; Lee, C</t>
  </si>
  <si>
    <t>Kam, Hosik; Kim, Yong Ha; Mitchell, Nicholas J.; Kim, Jeong-Han; Lee, Changsup</t>
  </si>
  <si>
    <t>Evaluation of estimated mesospheric temperatures from 11-year meteor radar datasets of King Sejong Station (62°S, 59°W) and Esrange (68°N, 21°E)</t>
  </si>
  <si>
    <t>JOURNAL OF ATMOSPHERIC AND SOLAR-TERRESTRIAL PHYSICS</t>
  </si>
  <si>
    <t>Mesospheric temperatures; Meteor radar; Ambipolar diffusion; King Sejong Station; Esrange</t>
  </si>
  <si>
    <t>DECAY TIMES; DIFFUSION-COEFFICIENTS; ATMOSPHERE; VARIABILITY; LATITUDES; MIDDLE; TRAINS</t>
  </si>
  <si>
    <t>We have evaluated the reliability of two methods for estimating mesospheric temperatures from all-sky VHF meteor radar data. The first method utilizes the decay time of meteor trails, and the other method takes advantage of the linear relation between temperatures and the full width at half maximum (FWHM) of the observed meteor echoes height distribution. We estimated the temperatures from two meteor radar datasets of King Sejong Station (62.22 degrees S, 58.78 degrees W), Antarctic and Esrange, Sweden (67.90 degrees N, 21.10 degrees E) during a period of 2007-2017 and 2003 to 2013, respectively. We devised an improved decay time method of temperature estimation that utilizes careful selection of detected echoes by reflecting seasonal change in height range where ambipolar diffusion is dominant in meteor decay. Applying the improved method, we achieved temperature estimation on average within 6.2 and 5.4% from Aura/MLS temperatures around 90 km at Esrange and KSS, respectively. In comparison, temperatures estimated by the FWHM method have mean differences of 5.1 and 3.6% from the MLS temperatures at Esrange and KSS, respectively. The FWHM temperatures show significantly less discrepancy from MLS temperatures and temporal fluctuations than the temperatures estimated by the decay time for both sites. This may indicate that the FWHM method is more robust to estimate mesospheric temperatures from meteor radar data.</t>
  </si>
  <si>
    <t>[Kam, Hosik; Kim, Yong Ha] Chungnam Natl Univ, Dept Astron Space Sci &amp; Geol, Daejeon, South Korea; [Mitchell, Nicholas J.] Univ Bath, Dept Elect &amp; Elect Engn, Bath, Avon, England; [Kam, Hosik; Kim, Jeong-Han; Lee, Changsup] Korea Polar Res Inst, Div Polar Climate Sci, Incheon, South Korea</t>
  </si>
  <si>
    <t>Chungnam National University; University of Bath; Korea Polar Research Institute (KOPRI)</t>
  </si>
  <si>
    <t>Kim, YH (corresponding author), Chungnam Natl Univ, Dept Astron Space Sci &amp; Geol, Daejeon, South Korea.</t>
  </si>
  <si>
    <t>yhkim@cnu.ac.kr</t>
  </si>
  <si>
    <t>Kim, Yong Ha/AAS-9908-2021; Kim, Jeong Han/J-6244-2016</t>
  </si>
  <si>
    <t>Kam, Hosik/0000-0002-3554-0053</t>
  </si>
  <si>
    <t>Korea Polar Research Institute [PE19020]; NERC [NE/E007384/1] Funding Source: UKRI</t>
  </si>
  <si>
    <t>Korea Polar Research Institute(Korea Polar Research Institute of Marine Research Placement (KOPRI)); NERC(UK Research &amp; Innovation (UKRI)Natural Environment Research Council (NERC))</t>
  </si>
  <si>
    <t>This work was supported by Korea Polar Research Institute (PE19020). The authors appreciate to department of Electronic &amp; Electrical Engineering, University of Bath, U.K. who provide us Esrange meteor radar data and to MLS data supporting team for providing temperature data.</t>
  </si>
  <si>
    <t>1364-6826</t>
  </si>
  <si>
    <t>1879-1824</t>
  </si>
  <si>
    <t>J ATMOS SOL-TERR PHY</t>
  </si>
  <si>
    <t>J. Atmos. Sol.-Terr. Phys.</t>
  </si>
  <si>
    <t>10.1016/j.jastp.2019.105148</t>
  </si>
  <si>
    <t>Geochemistry &amp; Geophysics; Meteorology &amp; Atmospheric Sciences</t>
  </si>
  <si>
    <t>JU0YJ</t>
  </si>
  <si>
    <t>WOS:000501404800008</t>
  </si>
  <si>
    <t>Troshichev, OA; Sormakov, DA</t>
  </si>
  <si>
    <t>Troshichev, O. A.; Sormakov, D. A.</t>
  </si>
  <si>
    <t>PC index as a proxy of the solar wind energy that entered into the magnetosphere: (5) verification of the solar wind parameters presented at OMNI website</t>
  </si>
  <si>
    <t>Solar wind parameters fixed in the Lagrange point; OMNI dataset; Interplanetary electric field En; PC index; Magnetic substorms; Correlation and inconsistency</t>
  </si>
  <si>
    <t>FIELD-ALIGNED CURRENTS; INTERPLANETARY MAGNETIC-FIELD; HIGH-LATITUDE; SUBSTORMS; QUANTITIES; CUSP</t>
  </si>
  <si>
    <t>The polar cap magnetic activity (PC) index is regarded as a proxy for energy that input into the magnetosphere during the solar wind-magnetosphere coupling (Resolutions of XXII LAGA Assembly, 2013). The PC index variations usually follow the changes of the interplanetary electric field EKL, which is estimated by the solar wind parameters fixed in the Lagrange point and published in the OMNI database. However, the correspondence between En and PC is often violated under disturbed conditions. To reveal the regularity of violations, the correlation between the PC index and estimated EKL field was examined in course of magnetic disturbances, the magnetic substorms occurrence being regarded as independent evidence of the geoeffective solar wind affecting the magnetosphere. Analysis, carried out separately for PCN and PCS indices, showed that magnetic activity in the winter polar cap (PCwinter) ensures statistically more correct results than that in the summer polar cap (PCsummer). Correlation between the PCwinter index and estimated EKL field proved to be good (R &gt; 0.5) in about 80% of the examined substorm events. In other 20% of events the correlation was poor or negative, even though the magnetic substorms occurred in evident association with the preceding PC growth. It implies that estimated EKL field did not impact on the Earth's magnetosphere in these cases. Thus, the PC index makes it possible to verify the actual EKL field affecting the magnetosphere, and to check, in such manner, whether or not the solar wind fixed in the Lagrange point (presented at the OMNI database) encountered the magnetosphere in actuality.</t>
  </si>
  <si>
    <t>[Troshichev, O. A.; Sormakov, D. A.] Arctic &amp; Antarctic Res Inst, St Petersburg 199397, Russia</t>
  </si>
  <si>
    <t>Troshichev, OA (corresponding author), Arctic &amp; Antarctic Res Inst, St Petersburg 199397, Russia.</t>
  </si>
  <si>
    <t>olegtro@aari.ru</t>
  </si>
  <si>
    <t>Sormakov, Dmitry A/K-1695-2014</t>
  </si>
  <si>
    <t>Russian Foundation for Basic Research [N 18-05-80004]</t>
  </si>
  <si>
    <t>The work was supported by grant N 18-05-80004 from the Russian Foundation for Basic Research. The solar wind and IMF data were obtained from the GSFC/SPDF OMNI/Web interface at http://omniweb.gsfc.nasa.gov. The AL indices were provided by WDC-C2 Kyoto (http ://wdc.kugi.kyoto-u.ac.jp/wdc). The PC indices produced by data from northern (PCN) and southern (PCS) polar caps. The 1-min PCS and PCN indices calculated by the unified method in AARI and in the Space Institute of the Danish Technical University (DTU) are published on-line at site: http://pcindex.org.</t>
  </si>
  <si>
    <t>10.1016/j.jastp.2019.105147</t>
  </si>
  <si>
    <t>WOS:000501404800005</t>
  </si>
  <si>
    <t>White, PA; Reese, CS; Christensen, WF; Rupper, S</t>
  </si>
  <si>
    <t>White, Philip A.; Reese, C. Shane; Christensen, William F.; Rupper, Summer</t>
  </si>
  <si>
    <t>A model for Antarctic surface mass balance and ice core site selection</t>
  </si>
  <si>
    <t>ENVIRONMETRICS</t>
  </si>
  <si>
    <t>Bayesian statistics; climate change; heteroscedasticity; ice sheet; model-based design; spatial statistics</t>
  </si>
  <si>
    <t>SPATIOTEMPORAL COVARIANCE; COMPUTER-SIMULATIONS; CALIBRATION; PREDICTION; DISTANCE</t>
  </si>
  <si>
    <t>In this study, we develop a model for Antarctic surface mass balance (SMB), which allows us to assess regional and global uncertainty in SMB estimation and carry out a model-based design to propose new measurement sites. For this analysis, we use a quality-controlled aggregate data set of SMB field measurements with significantly more observations than previous analyses; however, many of the measurements in this data set lack quality ratings. In addition, these data demonstrate spatial autocorrelation, heteroscedasticity, and non-Gaussianity. To account for these data attributes, we pose a Bayesian Gaussian process generalized linear model for SMB. To address missing reliability ratings, we use a mixture model with different variances to add robustness to our model. In addition, we present a novel approach for modeling the variance as a function of the mean to account for the heteroscedasticity in the data. Using this model, we predict Antarctic SMB and compare our estimates with previous estimates. In addition, we create prediction maps with uncertainty to visualize spatial patterns in SMB and to identify regions of high SMB uncertainty. Our model estimates the total SMB to be 2,156 Gton/yr over the range of our data, with 95% credible interval (2,081, 2,234) Gton/yr. Overall, our results suggest lower Antarctic SMB than previously reported. This lower SMB estimate may be indicative of a more dire diagnosis of the long-term health of the Antarctic ice sheets. Lastly, we use our model to propose 25 new measurement sites for the field study utilizing a sequential design, minimizing the integrated mean squared error.</t>
  </si>
  <si>
    <t>[White, Philip A.; Reese, C. Shane; Christensen, William F.] Brigham Young Univ, Dept Stat, Provo, UT 84602 USA; [Rupper, Summer] Univ Utah, Dept Geog, Salt Lake City, UT USA</t>
  </si>
  <si>
    <t>Brigham Young University; Utah System of Higher Education; University of Utah</t>
  </si>
  <si>
    <t>White, PA (corresponding author), Brigham Young Univ, Dept Stat, Provo, UT 84602 USA.</t>
  </si>
  <si>
    <t>pwhite@stat.byu.edu</t>
  </si>
  <si>
    <t>Rupper, Summer/KHD-4492-2024; Christensen, William F/F-7216-2013</t>
  </si>
  <si>
    <t>Rupper, Summer/0000-0001-8655-5282; White, Philip/0000-0003-0907-9221; Christensen, William/0000-0002-8068-1031</t>
  </si>
  <si>
    <t>1180-4009</t>
  </si>
  <si>
    <t>1099-095X</t>
  </si>
  <si>
    <t>Environmetrics</t>
  </si>
  <si>
    <t>e2579</t>
  </si>
  <si>
    <t>10.1002/env.2579</t>
  </si>
  <si>
    <t>Environmental Sciences; Mathematics, Interdisciplinary Applications; Statistics &amp; Probability</t>
  </si>
  <si>
    <t>Environmental Sciences &amp; Ecology; Mathematics</t>
  </si>
  <si>
    <t>JT8BP</t>
  </si>
  <si>
    <t>WOS:000501209400005</t>
  </si>
  <si>
    <t>Ross, AJ; Downes, H; Herrin, JS; Mittlefehldt, DW; Humayun, M; Smith, C</t>
  </si>
  <si>
    <t>Ross, Aidan J.; Downes, Hilary; Herrin, Jason S.; Mittlefehldt, David W.; Humayun, Munir; Smith, Caroline</t>
  </si>
  <si>
    <t>The origin of iron silicides in ureilite meteorites</t>
  </si>
  <si>
    <t>GEOCHEMISTRY</t>
  </si>
  <si>
    <t>Ureilites; Achondrites; Meteorites; Silicides; Metals</t>
  </si>
  <si>
    <t>PRESSURE-TEMPERATURE RELATIONSHIPS; CHEMICAL CLASSIFICATION; SIDEROPHILE ELEMENTS; OXYGEN FUGACITY; TRACE-ELEMENT; METAL; BULLETIN; IMPACT; CLUES; CONSTRAINTS</t>
  </si>
  <si>
    <t>Ureilite meteorites contain iron silicide minerals including suessite (Fe,Ni)(3)Si, hapkeite (Fe2Si) and xifengite (Fe5Si3). Despite occurring mostly in brecciated varieties presumed to be derived from the regolith of the ureilite parent asteroid, suessite has also been confirmed in one lithology of a dimict ureilite (NWA 1241). In contrast, Si-bearing Fe-metals occur in both brecciated and unbrecciated ureilites, implying that they were formed throughout the ureilite parent asteroid. We examined major, minor and trace element data of Fe-metals in seven brecciated ureilites (DaG 319, DaG 999, DaG 1000, DaG 1023, DaG 1047, EET 83309, and EET 87720) in addition to the dimict ureilite NWA 1241. In this study we show that the silicides and Si-bearing metals in ureilites have similar siderophile trace element patterns; therefore, the precursors to the silicides were indigenous to the ureilite parent body. Si-free kamacite grains in brecciated ureilites show flatter, more chondritic siderophile element patterns. They may also be derived from the interior of the ureilite parent body, but some may be of exogenous origin (impactor debris), as are rare taenite grains. On Earth, iron silicides are often formed under high-temperature and strongly reducing conditions (e.g. blast furnaces, lightning strikes). On the Moon, hapkeite (Fe2Si) and other silicides have been found in the regolith where they were formed by impact-induced space weathering. In the Stardust aerogel, iron silicides derived from comet Wild2 were also formed by an impact-related reduction process. Silicides in ureilite regolith breccias may have formed by similar processes but ureilites additionally contain abundant elemental carbon which probably acted as a reducing agent, thus larger and more abundant silicide grains were formed than in the lunar regolith or cometary material. The origin of suessite in NWA 1241 may be analogous to that of reduced lithologies in the terrestrial mantle, although a regolith origin may also be possible since this sample is shown here to be a dimict breccia.</t>
  </si>
  <si>
    <t>[Ross, Aidan J.; Downes, Hilary] UCL, Birkbeck Ctr Planetary Sci, Gower St, London WC1E 6BT, England; [Ross, Aidan J.; Downes, Hilary; Smith, Caroline] Nat Hist Museum, Dept Earth Sci, Cromwell Rd, London SW7 5BD, England; [Downes, Hilary] Birkbeck Univ London, Dept Earth &amp; Planetary Sci, Malet St, London WC1E 7HX, England; [Downes, Hilary] USRA, Lunar &amp; Planetary Inst, 3600 Bay Area Blvd, Houston, TX 77058 USA; [Herrin, Jason S.] Nanyang Technol Univ, Earth Observ Singapore, Singapore 639798, Singapore; [Herrin, Jason S.] Nanyang Technol Univ, Facil Anal Characterisat Testing &amp; Simulat, Singapore 639798, Singapore; [Mittlefehldt, David W.] NASA, Astromat Res Off, Johnson Space Ctr, 2101 NASA Pkwy, Houston, TX 77058 USA; [Humayun, Munir] Florida State Univ, Dept Earth Ocean &amp; Atmospher Sci, 1800 E Paul Dirac Dr, Tallahassee, FL 32310 USA; [Humayun, Munir] Florida State Univ, Natl High Magnet Field Lab, 1800 E Paul Dirac Dr, Tallahassee, FL 32310 USA; [Herrin, Jason S.] Johnson Space Ctr, ESC Astromat Res Grp, 2101 NASA Pkwy, Houston, TX 77058 USA</t>
  </si>
  <si>
    <t>University of London; University College London; Natural History Museum London; University of London; Birkbeck University London; Nanyang Technological University; Nanyang Technological University; National Aeronautics &amp; Space Administration (NASA); NASA Johnson Space Center; State University System of Florida; Florida State University; State University System of Florida; Florida State University; National Aeronautics &amp; Space Administration (NASA); NASA Johnson Space Center</t>
  </si>
  <si>
    <t>Downes, H (corresponding author), Birkbeck Univ London, Dept Earth &amp; Planetary Sci, Malet St, London WC1E 7HX, England.</t>
  </si>
  <si>
    <t>h.downes@ucl.ac.uk</t>
  </si>
  <si>
    <t>Mittlefehldt, David/JUV-2877-2023; Smith, Caroline/AAO-3652-2020</t>
  </si>
  <si>
    <t>Smith, Caroline/0000-0001-7005-6470</t>
  </si>
  <si>
    <t>NASA; NERC; Leverhulme Trust</t>
  </si>
  <si>
    <t>NASA(National Aeronautics &amp; Space Administration (NASA)); NERC(UK Research &amp; Innovation (UKRI)Natural Environment Research Council (NERC)); Leverhulme Trust(Leverhulme Trust)</t>
  </si>
  <si>
    <t>We would like to thank the reviewers F. Langenhorst and Anonymous for their comments and suggestions for improving this manuscript, and F. Langenhorst and A. Krot for handling this submission. We thank the ANSMET program and the U.S. Antarctic Meteorite Program for recovery and allocation of the Elephant Moraine ureilites examined as part of this study. This work was supported in part by grants from the NASA Cosmochemistry and Planetary Science Research Programs to DWM and MH. We acknowledge NERC funding for a CASE studentship with the NHM to AJR; and a Leverhulme Trust grant to HD. AJR would like to thank J. Spratt, A. Ball and A. Kearsley for analytical assistance at the NHM. The DaG and NWA 1241 samples were purchased from Erich Haiderer.</t>
  </si>
  <si>
    <t>ELSEVIER GMBH</t>
  </si>
  <si>
    <t>MUNICH</t>
  </si>
  <si>
    <t>HACKERBRUCKE 6, 80335 MUNICH, GERMANY</t>
  </si>
  <si>
    <t>0009-2819</t>
  </si>
  <si>
    <t>1611-5864</t>
  </si>
  <si>
    <t>GEOCHEMISTRY-GERMANY</t>
  </si>
  <si>
    <t>Geochemistry</t>
  </si>
  <si>
    <t>10.1016/j.chemer.2019.125539</t>
  </si>
  <si>
    <t>JS7EB</t>
  </si>
  <si>
    <t>WOS:000500465000019</t>
  </si>
  <si>
    <t>Da, XY; Zhao, YM; Zheng, RC; Wang, LQ; Chang, XL; Zhang, YM; Yang, J; Peng, F</t>
  </si>
  <si>
    <t>Da, Xuyang; Zhao, Yiming; Zheng, Ruichen; Wang, Liqiu; Chang, Xulu; Zhang, Yumin; Yang, Jian; Peng, Fang</t>
  </si>
  <si>
    <t>Nakamurella antarctica sp. nov., isolated from Antarctica South Shetland Islands soil</t>
  </si>
  <si>
    <t>INTERNATIONAL JOURNAL OF SYSTEMATIC AND EVOLUTIONARY MICROBIOLOGY</t>
  </si>
  <si>
    <t>Nakamurella antarctica sp. nov</t>
  </si>
  <si>
    <t>GEN. NOV.; ET-AL.; PROPOSAL; RECLASSIFICATION; SEQUENCE; DNA</t>
  </si>
  <si>
    <t>A pale-yellow bacterial strain, designated S14-144(T), was isolated from tundra soil sampled near the Antarctic Peninsula, South Shetland Islands (62 degrees 22' 34 '' S, 59 degrees 42' 34 '' W). The cells were strictly aerobic, Gram-stain-positive, non-motile and coccoid-shaped. Growth occurred at 4-28 degrees C, at pH 5.0-9.0 and in the presence of 0-5 % (w/v) NaCl. Phylogenetic analysis based on 16S rRNA gene sequences indicated that strain S14-144(T) formed a lineage within the genus Nakamurella and shared the highest 16S rRNA gene sequence similarity with Nakamurella deserti 125c4-1(T) (96.5 %) and Nakamurella silvestris S20-107(T) (96.4 %). The average nucleotide identity value between the genomes of strain 14-144(T) and the type strain of the species, N. deserti, was 72.0 % . The DNA G+C content of strain S14-144(T) was 61.6 mol% . The major cellular fatty acids of strain S14-144(T) were summed feature 3 (C-16(:1)omega 7c and/or C-16:(1)omega 6c) and C-16(:0). The strain contained MK-8(H4) as the predominant respiratory quinone, phosphatidylethanolamine and diphosphatidylglycerol as the major polar lipids, rhamnose, ribose and glucose as the major whole-cell sugars, and meso-diaminopimelic acid as the diagnostic diamino acid in the cell-wall peptidoglycan. On the basis of the phylogenetic, phenotypic and chemotaxonomic analysis, strain S14-144(T) is considered to represent a novel species of the genus Nakamurella, for which the name Nakamurella antarctica sp. nov is proposed. The type strain is S14-144(T) (=CCTCC AB 2015345T=KCTC 39796(T)).</t>
  </si>
  <si>
    <t>[Da, Xuyang; Zhao, Yiming; Zheng, Ruichen; Wang, Liqiu; Chang, Xulu; Zhang, Yumin; Peng, Fang] Wuhan Univ, Coll Life Sci, China Ctr Type Culture Collect, Wuhan 430072, Hubei, Peoples R China; [Yang, Jian] Chinese Acad Sci, Inst Bot, State Key Lab Systemat &amp; Evolutionary Bot, Beijing 100093, Peoples R China</t>
  </si>
  <si>
    <t>Wuhan University; Chinese Academy of Sciences; Institute of Botany, CAS</t>
  </si>
  <si>
    <t>Peng, F (corresponding author), Wuhan Univ, Coll Life Sci, China Ctr Type Culture Collect, Wuhan 430072, Hubei, Peoples R China.</t>
  </si>
  <si>
    <t>fangpeng2@aliyun.com</t>
  </si>
  <si>
    <t>da, xu/KFS-5133-2024; Zhang, Han/JMR-0670-2023; yuan, lin/JDW-7387-2023; Zhao, Yiming/C-9783-2015</t>
  </si>
  <si>
    <t>National Key R and D Program of China [2018YFC1406701]; R&amp;D Infrastructure and Facility Development Program of the Ministry of Science and Technology of the People's Republic of China [NIMR-2017-8]; National Natural Science Foundation of China [31270538]; Chinese Polar Scientific Strategy Research Fund [IC201706]</t>
  </si>
  <si>
    <t>National Key R and D Program of China; R&amp;D Infrastructure and Facility Development Program of the Ministry of Science and Technology of the People's Republic of China; National Natural Science Foundation of China(National Natural Science Foundation of China (NSFC)); Chinese Polar Scientific Strategy Research Fund</t>
  </si>
  <si>
    <t>This work was supported by the National Key R and D Program of China (2018YFC1406701), the R&amp;D Infrastructure and Facility Development Program of the Ministry of Science and Technology of the People's Republic of China (Grant No. NIMR-2017-8), the National Natural Science Foundation of China (Grant No. 31270538), and the Chinese Polar Scientific Strategy Research Fund IC201706.</t>
  </si>
  <si>
    <t>MICROBIOLOGY SOC</t>
  </si>
  <si>
    <t>CHARLES DARWIN HOUSE, 12 ROGER ST, LONDON WC1N 2JU, ERKS, ENGLAND</t>
  </si>
  <si>
    <t>1466-5026</t>
  </si>
  <si>
    <t>1466-5034</t>
  </si>
  <si>
    <t>INT J SYST EVOL MICR</t>
  </si>
  <si>
    <t>Int. J. Syst. Evol. Microbiol.</t>
  </si>
  <si>
    <t>10.1099/ijsem.0.003507</t>
  </si>
  <si>
    <t>JT3WR</t>
  </si>
  <si>
    <t>WOS:000500924000008</t>
  </si>
  <si>
    <t>Noh, HJ; Baek, K; Hwang, CY; Shin, SC; Hong, SG; Lee, YM</t>
  </si>
  <si>
    <t>Noh, Hyun-Ju; Baek, Kiwoon; Hwang, Chung Yeon; Shin, Seung Chul; Hong, Soon Gyu; Lee, Yung Mi</t>
  </si>
  <si>
    <t>Lichenihabitans psoromatis gen. nov., sp. nov., a member of a novel lineage (Lichenihabitantaceae fam. nov.) within the order of Rhizobiales isolated from Antarctic lichen</t>
  </si>
  <si>
    <t>Lichenihabitans psoromatis; polyphasic taxonomy; lichen; Antarctica; new species</t>
  </si>
  <si>
    <t>BACTERIAL COMMUNITIES; GEOGRAPHY; DATABASE; DNA</t>
  </si>
  <si>
    <t>Two Gram-stain-negative, facultative anaerobic chemoheterotrophic, pink-coloured, rod-shaped and non-motile bacterial strains, PAMC 29128 and PAMC 29148(T), were isolated from lichen. Phylogenetic analysis based on the 16S rRNA gene sequences revealed that strains PAMC 29128 and PAMC 29148(T) belong to lichen-associated Rhizobiales-1 (LAR1), an uncultured phylogenetic lineage of the order Rhizobiales and the most closely related genera were Methylocapsa (&lt;93.9 %) and Methylosinus (&lt;93.8 %). The results of phylogenomic and genomic relatedness analyses also showed that strains PAMC 29128 and PAMC 29148(T) were clearly distinguished from other species in the order Rhizobiales with average nucleotide identity values of &lt;71.4% and genome-to-genome distance values of &lt;22.7 %. Genomic analysis revealed that strains PAMC 29128 and PAMC 29148(T) did not contain genes involved in atmospheric nitrogen fixation or utilization of carbon compounds such as methane and methanol. Strains PAMC 29128 and PAMC 29148(T) were able to utilize certain monosaccharides, disaccharides, sugar alcohols and other organic compounds as a sole carbon source. The major fatty acids (&gt;10%) were summed feature 8 (C-18:1 omega 7c and/or C-18:1 omega 6c; 33.7-39.7 %), summed feature 3 (C-16:1 omega 7c and/or C-16(:1) omega 6c; 25.2-254%) and C-19:0 cyclo omega 8c (11.9-15.4%). The major respiratory quinone was Q-10. The genomic DNA G+C contents of PAMC 29128 and PAMC 29148(T) were 63.0 and 63.1 mol%, respectively. Their distinct phylogenetic position and some physiological characteristics support the proposal of Lichenihabitans gen. nov., with the type species Lichenihabitans psoromatis sp. nov. (type strain, PAMC 29148(T)=KCCM 43293(T)=JCM 33311(T)). Lichenihabitantaceae fam. nov. is also proposed.</t>
  </si>
  <si>
    <t>[Noh, Hyun-Ju; Hwang, Chung Yeon; Hong, Soon Gyu; Lee, Yung Mi] Korea Polar Res Inst, Div Polar Life Sci, 26 Songdomirae Ro, Incheon 21990, South Korea; [Noh, Hyun-Ju; Baek, Kiwoon] Inha Univ, Dept Biol Sci, Inharo 100, Incheon 22212, South Korea; [Baek, Kiwoon] Nakdonggang Natl Inst Biol Resources, Bioresources Collect &amp; Res Div, 137 Donam 2 Gil, Sangju 37242, South Korea; [Shin, Seung Chul] Korea Polar Res Inst, Unit Polar Genom, 26 Songdomirae Ro, Incheon 21990, South Korea</t>
  </si>
  <si>
    <t>Korea Polar Research Institute (KOPRI); Inha University; Korea Polar Research Institute (KOPRI)</t>
  </si>
  <si>
    <t>Lee, YM (corresponding author), Korea Polar Res Inst, Div Polar Life Sci, 26 Songdomirae Ro, Incheon 21990, South Korea.</t>
  </si>
  <si>
    <t>ymlee@kopri.re.kr</t>
  </si>
  <si>
    <t>Hwang, Chung/0000-0001-9861-0197</t>
  </si>
  <si>
    <t>Korea Polar Research Institute [PE16020, PE19090]</t>
  </si>
  <si>
    <t>This work was supported by the Korea Polar Research Institute (Grants PE16020 and PE19090).</t>
  </si>
  <si>
    <t>14-16 MEREDITH ST, LONDON, ENGLAND</t>
  </si>
  <si>
    <t>10.1099/ijsem.0.003695</t>
  </si>
  <si>
    <t>WOS:000500924000027</t>
  </si>
  <si>
    <t>Yan, YQ; Hao, YX; He, RH; Du, ZJ</t>
  </si>
  <si>
    <t>Yan, Yu-Qi; Hao, Yong-Xin; He, Rui-Han; Du, Zong-Jun</t>
  </si>
  <si>
    <t>Mucilaginibacter gilvus sp. nov., isolated from Antarctic soil</t>
  </si>
  <si>
    <t>Mucilaginibacter; 16S rRNA gene; polyphasic taxonomy</t>
  </si>
  <si>
    <t>SEQUENCES</t>
  </si>
  <si>
    <t>A Gram-stain-negative, aerobic, non-motile, rod-shaped, cold-tolerant bacterium, designated F01003(T), was isolated from soil sampled near Happiness Bay on the west coast of Antarctica. Strain F01003(T) was found to grow at 4-30 degrees C (optimum, 25 degrees C), pH 5.5-8.0 (pH 6.5-7.0) and in the presence of 0-1 % NaCl (0 %, w/v). Cells were oxidase-positive and catalase-positive. Strain F01003(T) contained menaquinone 7 (MK-7) as the predominant respiratory quinone. The main cellular fatty acids included summed feature 3 (C-16:1 omega 6c and/or C-16:1 omega 7c()) and iso-C-15:0. Phosphatidylethanolamine and an unidentified aminolipid were identified as the major polar lipids. The DNA G+C content of strain F01003(T) was 44.8 mol%. Phylogenetic analysis of the nearly full-length 16S rRNA gene sequence revealed that strain F01003(T) was most closely related to the genus Mucilaginibacter and exhibited the highest sequence similarity to Mucilaginibacter phyllosphaerae LMG 29118(T) (97.3 %). On the basis of the evidence presented in this polyphasic taxonomic study, strain F01003(T) is considered to represent a novel species of the genus Mucilaginibacter, for which the name Mucilaginibacter gilvus sp. nov. is proposed. The type strain is F01003(T) (=KCTC 62991(T)=CCTCC AB 2019023(T)).</t>
  </si>
  <si>
    <t>[Yan, Yu-Qi; Hao, Yong-Xin; He, Rui-Han; Du, Zong-Jun] Shandong Univ, Coll Marine Sci, Weihai 264209, Peoples R China; [Yan, Yu-Qi; Hao, Yong-Xin; He, Rui-Han; Du, Zong-Jun] Polar Res Inst China, SOA Key Lab Polar Sci, Shanghai 200136, Peoples R China</t>
  </si>
  <si>
    <t>Shandong University; Polar Research Institute of China</t>
  </si>
  <si>
    <t>Du, ZJ (corresponding author), Shandong Univ, Coll Marine Sci, Weihai 264209, Peoples R China.;Du, ZJ (corresponding author), Polar Res Inst China, SOA Key Lab Polar Sci, Shanghai 200136, Peoples R China.</t>
  </si>
  <si>
    <t>duzongjun@sdu.edu.cn</t>
  </si>
  <si>
    <t>SOA Key Laboratory for Polar Science, Polar Research Institute of China [KP201705]; Science and Technology Basic Resources Investigation Program of China [2017FY100300]</t>
  </si>
  <si>
    <t>SOA Key Laboratory for Polar Science, Polar Research Institute of China; Science and Technology Basic Resources Investigation Program of China</t>
  </si>
  <si>
    <t>This work was supported by funding from the SOA Key Laboratory for Polar Science, Polar Research Institute of China (KP201705) and the Science and Technology Basic Resources Investigation Program of China (2017FY100300).</t>
  </si>
  <si>
    <t>10.1099/ijsem.0.003702</t>
  </si>
  <si>
    <t>WOS:000500924000033</t>
  </si>
  <si>
    <t>Sauermilch, I; Mateo, ZRP; Boaga, J</t>
  </si>
  <si>
    <t>Sauermilch, Isabel; Mateo, Zenon Richard P.; Boaga, Jacopo</t>
  </si>
  <si>
    <t>A comparative analysis of time-depth relationships derived from scientific ocean drilling expeditions</t>
  </si>
  <si>
    <t>MARINE GEOPHYSICAL RESEARCH</t>
  </si>
  <si>
    <t>Time-depth relationship; Scientific ocean drilling; P-wave velocity measurement; Seismic check-shot; Downhole sonic log</t>
  </si>
  <si>
    <t>ELASTIC WAVES; VELOCITY; PROPAGATION; SEDIMENTS</t>
  </si>
  <si>
    <t>Time-depth relationships (TDR) are required for correlating geological information from drill sites with seismic reflection profiles. Conventional time-depth domain conversion is implemented using P-wave velocity data, derived from downhole sonic logs, calibrated with vertical seismic check-shots. During scientific ocean drilling expeditions, immediate seismic correlation is carried out using laboratory velocities measured on recovered core material. As these three velocity measurements vary significantly in signal frequency, resolution and acoustic pathways, they carry potential for substantial TDR differences and consequent miscorrelation to seismic profiles. Our analytical work uses the comprehensive scientific ocean drilling dataset to quantify these differences in core-seismic integration. TDRs are calculated and compared at sites where check-shot, sonic log, and laboratory velocity measurements cover the same depth segments of the drill hole. We find that the maximum differences between the TDRs (TDR diffmax\documentclass[12pt]{minimal} \usepackage{amsmath} \usepackage{wasysym} \usepackage{amsfonts} \usepackage{amssymb} \usepackage{amsbsy} \usepackage{mathrsfs} \usepackage{upgreek} \setlength{\oddsidemargin}{-69pt} \begin{document}$$diff_{max}$$\end{document}) reach up to 55%, which can cause fundamental errors in the seismic correlation. No direct relationship to porosity and bulk density of the cored material is observed. Instead, higher TDR variability is found at sites with carbonate content &gt; 70%, particularly with coarser grain texture. Sites containing primarily igneous and siliciclastic sequences show less than 10% TDR diffmax\documentclass[12pt]{minimal} \usepackage{amsmath} \usepackage{wasysym} \usepackage{amsfonts} \usepackage{amssymb} \usepackage{amsbsy} \usepackage{mathrsfs} \usepackage{upgreek} \setlength{\oddsidemargin}{-69pt} \begin{document}$$diff_{max}$$\end{document}. This semi-quantitative criterion indicates that downhole logging should be conducted during drilling expeditions, especially at sites with carbonate sequences, or low core recovery, to ensure accurate core-seismic integrations.</t>
  </si>
  <si>
    <t>[Sauermilch, Isabel] Univ Tasmania, Inst Marine &amp; Antarctic Studies, Private Bag 129, Hobart, Tas 7001, Australia; [Mateo, Zenon Richard P.] Texas A&amp;M Univ, Int Ocean Discovery Program, 1000 Discovery Dr, College Stn, TX 77845 USA; [Boaga, Jacopo] Univ Padua, Dipartimento Geosci, Via Gradenigo 6, I-35137 Padua, Italy</t>
  </si>
  <si>
    <t>University of Tasmania; Texas A&amp;M University System; Texas A&amp;M University College Station; University of Padua</t>
  </si>
  <si>
    <t>Mateo, ZRP (corresponding author), Texas A&amp;M Univ, Int Ocean Discovery Program, 1000 Discovery Dr, College Stn, TX 77845 USA.</t>
  </si>
  <si>
    <t>Isabel.Sauermilch@utas.edu.au; mateo@iodp.tamu.edu; jacopo.boaga@unipd.it</t>
  </si>
  <si>
    <t>Sauermilch, Dr Isabel/0000-0003-4639-6699</t>
  </si>
  <si>
    <t>0025-3235</t>
  </si>
  <si>
    <t>1573-0581</t>
  </si>
  <si>
    <t>MAR GEOPHYS RES</t>
  </si>
  <si>
    <t>Mar. Geophys. Res.</t>
  </si>
  <si>
    <t>10.1007/s11001-019-09393-7</t>
  </si>
  <si>
    <t>Geochemistry &amp; Geophysics; Oceanography</t>
  </si>
  <si>
    <t>JR6UQ</t>
  </si>
  <si>
    <t>WOS:000499758400016</t>
  </si>
  <si>
    <t>Pecl, GT; Ogier, E; Jennings, S; van Putten, I; Crawford, C; Fogarty, H; Frusher, S; Hobday, AJ; Keane, J; Lee, E; MacLeod, C; Mundy, C; Stuart-Smith, J; Tracey, S</t>
  </si>
  <si>
    <t>Pecl, Gretta T.; Ogier, Emily; Jennings, Sarah; van Putten, Ingrid; Crawford, Christine; Fogarty, Hannah; Frusher, Stewart; Hobday, Alistair J.; Keane, John; Lee, Emma; MacLeod, Catriona; Mundy, Craig; Stuart-Smith, Jemina; Tracey, Sean</t>
  </si>
  <si>
    <t>Autonomous adaptation to climate-driven change in marine biodiversity in a global marine hotspot</t>
  </si>
  <si>
    <t>AMBIO</t>
  </si>
  <si>
    <t>Autonomous adaptation; Climate change; Indigenous knowledge; Local knowledge; Marine biodiversity; Species redistribution</t>
  </si>
  <si>
    <t>AMEBIC GILL DISEASE; OYSTER MORTALITY SYNDROME; SALMO-SALAR L.; ATLANTIC SALMON; GENETIC-VARIATION; RAPID ASSESSMENT; RANGE EXTENSION; ALGAL BLOOMS; FISHERIES; RISK</t>
  </si>
  <si>
    <t>While governments and natural resource managers grapple with how to respond to climatic changes, many marine-dependent individuals, organisations and user-groups in fast-changing regions of the world are already adjusting their behaviour to accommodate these. However, we have little information on the nature of these autonomous adaptations that are being initiated by resource user-groups. The east coast of Tasmania, Australia, is one of the world's fastest warming marine regions with extensive climate-driven changes in biodiversity already observed. We present and compare examples of autonomous adaptations from marine users of the region to provide insights into factors that may have constrained or facilitated the available range of autonomous adaptation options and discuss potential interactions with governmental planned adaptations. We aim to support effective adaptation by identifying the suite of changes that marine users are making largely without government or management intervention, i.e. autonomous adaptations, to better understand these and their potential interactions with formal adaptation strategies.</t>
  </si>
  <si>
    <t>[Pecl, Gretta T.; Ogier, Emily; Crawford, Christine; Fogarty, Hannah; Keane, John; MacLeod, Catriona; Mundy, Craig; Stuart-Smith, Jemina; Tracey, Sean] Univ Tasmania, Inst Marine &amp; Antarctic Studies, POB 49, Hobart, Tas 7001, Australia; [Pecl, Gretta T.; Ogier, Emily; Jennings, Sarah; van Putten, Ingrid; Fogarty, Hannah; Frusher, Stewart; Hobday, Alistair J.; Lee, Emma; MacLeod, Catriona] Univ Tasmania, Ctr Marine Socioecol, Private Bag 49, Hobart, Tas 7001, Australia; [Jennings, Sarah] Univ Tasmania, Tasmanian Sch Business &amp; Econ, Private Bag 84, Hobart, Tas 7001, Australia; [van Putten, Ingrid; Hobday, Alistair J.] CSIRO Oceans &amp; Atmosphere, 3-4 Castray Esplanade, Hobart, Tas 7004, Australia; [Lee, Emma] Swinburne Univ Technol, Ctr Social Impact, Hawthorn, Vic 3122, Australia</t>
  </si>
  <si>
    <t>University of Tasmania; University of Tasmania; University of Tasmania; Commonwealth Scientific &amp; Industrial Research Organisation (CSIRO); Swinburne University of Technology</t>
  </si>
  <si>
    <t>Pecl, GT (corresponding author), Univ Tasmania, Inst Marine &amp; Antarctic Studies, POB 49, Hobart, Tas 7001, Australia.;Pecl, GT (corresponding author), Univ Tasmania, Ctr Marine Socioecol, Private Bag 49, Hobart, Tas 7001, Australia.</t>
  </si>
  <si>
    <t>Gretta.Pecl@utas.edu.au; Emily.Ogier@utas.edu.au; Sarah.Jennings@utas.edu.au; Ingrid.vanputten@csiro.au; Christine.Crawford@utas.edu.au; Hannah.Fogarty@utas.edu.au; stewart.frusher@utas.edu.au; Alistair.Hobday@csiro.au; jpkeane@utas.edu.au; ejlee@swin.edu.au; Catriona.Macleod@utas.edu.au; craig.mundy@utas.edu.au; Jemina.StuartSmith@utas.edu.au; sean.tracey@utas.edu.au</t>
  </si>
  <si>
    <t>Pecl, Gretta/D-7267-2011; Hobday, Alistair/A-1460-2012; van putten, ingrid/AAV-1301-2021; Mundy, Craig/G-3390-2014; Jennings, Sarah M/J-7888-2014; Macleod, Catriona/J-7176-2014; Tracey, Sean/J-7446-2014</t>
  </si>
  <si>
    <t>Pecl, Gretta/0000-0003-0192-4339; van putten, ingrid/0000-0001-8397-9768; Mundy, Craig/0000-0002-1945-3750; Macleod, Catriona/0000-0002-0539-6361; Tracey, Sean/0000-0002-6735-5899; Fogarty, Hannah/0000-0001-7261-2565; Keane, John Patrick/0000-0001-8950-5176; Ogier, Emily/0000-0001-6157-5279</t>
  </si>
  <si>
    <t>project Preparing fisheries for climate change: identifying adaptation options for four key fisheries in South Eastern Australia'', FRDC Project [2011/039]; Australian Research Council Future Fellowship</t>
  </si>
  <si>
    <t>project Preparing fisheries for climate change: identifying adaptation options for four key fisheries in South Eastern Australia'', FRDC Project; Australian Research Council Future Fellowship(Australian Research Council)</t>
  </si>
  <si>
    <t>We thank the recreational and commercial fishers, divers, resource managers, tourism operators and seafood processors that shared their knowledge and information regarding their practices. We are particularly grateful to the Tasmanian Indigenous community that generously shared their experiences and perspectives, especially Dr Aunty Patsy Cameron. Citizen science contributors to the Redmap Australia project (www.redmap.org.au) provided the observations and associated images for Table S1. We are grateful to the resource managers, researchers and fishing industry representatives from the project Preparing fisheries for climate change: identifying adaptation options for four key fisheries in South Eastern Australia'', FRDC Project No 2011/039 that attended the March 2012 workshop and provided the observations in Table S2. GP was supported by an Australian Research Council Future Fellowship. Animate Your Science produced Fig. 1, under our guidance.</t>
  </si>
  <si>
    <t>0044-7447</t>
  </si>
  <si>
    <t>1654-7209</t>
  </si>
  <si>
    <t>Ambio</t>
  </si>
  <si>
    <t>10.1007/s13280-019-01186-x</t>
  </si>
  <si>
    <t>Engineering, Environmental; Environmental Sciences</t>
  </si>
  <si>
    <t>Engineering; Environmental Sciences &amp; Ecology</t>
  </si>
  <si>
    <t>JR5YE</t>
  </si>
  <si>
    <t>WOS:000499699400007</t>
  </si>
  <si>
    <t>Napolitano, DC; da Silveira, ICA; Rocha, CB; Flierl, GR; Calil, PHR; Martins, RP</t>
  </si>
  <si>
    <t>Napolitano, Dante C.; da Silveira, Ilson C. A.; Rocha, Cesar B.; Flierl, Glenn R.; Calil, Paulo H. R.; Martins, Renato P.</t>
  </si>
  <si>
    <t>On the Steadiness and Instability of the Intermediate Western Boundary Current between 24° and 18°S</t>
  </si>
  <si>
    <t>South Atlantic Ocean; Instability; Mesoscale processes; Intermediate waters; In situ oceanic observations; Quasigeostrophic models</t>
  </si>
  <si>
    <t>BRAZIL-CURRENT SYSTEM; BAROCLINIC STRUCTURE; VERTICAL STRUCTURE; SOUTHEAST BRAZIL; VARIABILITY; CIRCULATION; WATER; TRANSPORT; ATLANTIC; ENERGY</t>
  </si>
  <si>
    <t>The Intermediate Western Boundary Current (IWBC) transports Antarctic Intermediate Water across the Vitoria-Trindade Ridge (VTR), a seamount chain at similar to 20 degrees S off Brazil. Recent studies suggest that the IWBC develops a strong cyclonic recirculation in Tubarao Bight, upstream of the VTR, with weak time dependency. We herein use new quasi-synoptic observations, data from the Argo array, and a regional numerical model to describe the structure and variability of the IWBC and to investigate its dynamics. Both shipboard acoustic Doppler current profiler (ADCP) data and trajectories of Argo floats confirm the existence of the IWBC recirculation, which is also captured by our Regional Oceanic Modeling System (ROMS) simulation. An intermediate-layer quasigeostrophic (QG) model indicates that the ROMS time-mean flow is a good proxy for the IWBC steady state, as revealed by largely parallel isolines of streamfunction psi over bar and potential vorticity Q over bar ; a psi over bar -Q over bar scatter diagram also shows that the IWBC is potentially unstable. Further analysis of the ROMS simulation reveals that remotely generated, westward-propagating nonlinear eddies are the main source of variability in the region. These eddies enter the domain through the Tubarao Bight eastern edge and strongly interact with the IWBC. As they are advected downstream and negotiate the local topography, the eddies grow explosively through horizontal shear production.</t>
  </si>
  <si>
    <t>[Napolitano, Dante C.; da Silveira, Ilson C. A.] Univ Sao Paulo, Inst Oceanog, Sao Paulo, SP, Brazil; [Rocha, Cesar B.] Woods Hole Oceanog Inst, Woods Hole, MA 02543 USA; [Flierl, Glenn R.] MIT, 77 Massachusetts Ave, Cambridge, MA 02139 USA; [Calil, Paulo H. R.] Helmholtz Zentrum Geesthacht, Geesthacht, Germany; [Martins, Renato P.] Ctr Pesquisas &amp; Desenvolvimento Leopoldo Amer Mig, Rio De Janeiro, Brazil</t>
  </si>
  <si>
    <t>Universidade de Sao Paulo; Woods Hole Oceanographic Institution; Massachusetts Institute of Technology (MIT); Helmholtz Association; Helmholtz-Zentrum Hereon</t>
  </si>
  <si>
    <t>Napolitano, DC (corresponding author), Univ Sao Paulo, Inst Oceanog, Sao Paulo, SP, Brazil.</t>
  </si>
  <si>
    <t>dante.napolitano@usp.br</t>
  </si>
  <si>
    <t>Rocha, Cesar B/AAH-9720-2019; Parkinson Martins, Renato/KCZ-2552-2024; Silveira, Ilson/AFU-7480-2022</t>
  </si>
  <si>
    <t>Rocha, Cesar B/0000-0003-4063-5468; Silveira, Ilson/0000-0001-9266-6480</t>
  </si>
  <si>
    <t>CoordenacAo de Aperfeicoamento de Pessoal de Nivel Superior-CAPES, Brazil [001]; Projeto REMARSUL [CAPES 88882.158621/2014-01]; Projeto VT-Dyn [FAPESP 2015/21729-4]; Projeto SUBMESO [CNPq 442926/2015-4]; WHOI Postdoctoral Scholarship</t>
  </si>
  <si>
    <t>CoordenacAo de Aperfeicoamento de Pessoal de Nivel Superior-CAPES, Brazil(Coordenacao de Aperfeicoamento de Pessoal de Nivel Superior (CAPES)); Projeto REMARSUL; Projeto VT-Dyn; Projeto SUBMESO; WHOI Postdoctoral Scholarship</t>
  </si>
  <si>
    <t>We thank Frank O. Smith for copy editing and proofreading this manuscript. This study was financed in part by CoordenacAo de Aperfeicoamento de Pessoal de Nivel Superior-CAPES, Brazil-Finance Code 001 and by Projeto REMARSUL (Processo CAPES 88882.158621/2014-01), Projeto VT-Dyn (Processo FAPESP 2015/21729-4) and Projeto SUBMESO (Processo CNPq 442926/2015-4). Rocha was supported by a WHOI Postdoctoral Scholarship.</t>
  </si>
  <si>
    <t>10.1175/JPO-D-19-0011.1</t>
  </si>
  <si>
    <t>JT7PO</t>
  </si>
  <si>
    <t>Green Published, Bronze, Green Submitted</t>
  </si>
  <si>
    <t>WOS:000501178100002</t>
  </si>
  <si>
    <t>Vasadia, DJ; Zippay, ML; Place, SP</t>
  </si>
  <si>
    <t>Vasadia, Dipali J.; Zippay, Mackenzie L.; Place, Sean P.</t>
  </si>
  <si>
    <t>Characterization of thermally sensitive miRNAs reveals a central role of the FoxO signaling pathway in regulating the cellular stress response of an extreme stenotherm, Trematomus bernacchii</t>
  </si>
  <si>
    <t>MARINE GENOMICS</t>
  </si>
  <si>
    <t>MicroRNA; Cellular stress; Stenothermic fish; Antarctica; Notothenioid</t>
  </si>
  <si>
    <t>ANTIOXIDANT DEFENSE SYSTEM; ANTARCTIC FISH; GENE-EXPRESSION; UDP-GLUCURONOSYLTRANSFERASES; TRANSCRIPTION FACTORS; NOTOTHENIA-CORIICEPS; MICRORNA REGULATION; OXIDATIVE DAMAGE; NEW-ZEALAND; HEAT</t>
  </si>
  <si>
    <t>Despite the lack of an inducible heat shock response (HSR), the Antarctic notothenioid fish, Trematomus bernacchii, has retained a level of physiological plasticity that can at least partially compensate for the effects of acute heat stress. Over the last decade, both physiological and transcriptomic studies have signaled these fish can mitigate the effects of acute heat stress by employing other aspects of the cellular stress response (CSR) that help confer thermotolerance as well as drive homeostatic mechanisms during long-term thermal acclimations. However, the regulatory mechanisms that determine temperature-induced changes in gene expression remain largely unexplored in this species. Therefore, this study utilized next generation sequencing coupled with an in silico approach to explore the regulatory role of microRNAs in governing the transcriptomic level response observed in this Antarctic notothenioid with respect to the CSR. Using RNAseq, we characterized the expression of 125 distinct miRNA orthologues in T. bernacchii gill tissue. Additionally, we identified 12 miRNAs that appear to be thermally responsive based on differential expression (DE) analyses performed between fish acclimated to control ((-)1.5 degrees C) and an acute heat stress ((+)4 degrees C). We further characterized the functional role of these DE miRNAs using bioinformatics pipelines to identify putative gene targets of the DE miRNAs and subsequent gene set enrichment analyses, which together suggest these miRNAs are involved in regulating diverse aspects of the CSR in T. bernacchii.</t>
  </si>
  <si>
    <t>[Vasadia, Dipali J.; Zippay, Mackenzie L.; Place, Sean P.] Sonoma State Univ, Dept Biol, Rohnert Pk, CA 94928 USA</t>
  </si>
  <si>
    <t>California State University System; Sonoma State University</t>
  </si>
  <si>
    <t>Place, SP (corresponding author), Sonoma State Univ, Dept Biol, Rohnert Pk, CA 94928 USA.</t>
  </si>
  <si>
    <t>places@sonoma.edu</t>
  </si>
  <si>
    <t>National Science Foundation [PLR1040945, PLR 1447291]</t>
  </si>
  <si>
    <t>This work was supported by the National Science Foundation in the form of research grants (PLR1040945 and PLR 1447291) awarded to S.P.P.</t>
  </si>
  <si>
    <t>1874-7787</t>
  </si>
  <si>
    <t>1876-7478</t>
  </si>
  <si>
    <t>MAR GENOM</t>
  </si>
  <si>
    <t>Mar. Genom.</t>
  </si>
  <si>
    <t>10.1016/j.margen.2019.100698</t>
  </si>
  <si>
    <t>Genetics &amp; Heredity; Marine &amp; Freshwater Biology</t>
  </si>
  <si>
    <t>JS5XS</t>
  </si>
  <si>
    <t>WOS:000500380200001</t>
  </si>
  <si>
    <t>Su, SY; Liao, L; Yu, Y; Zhang, J; Chen, B</t>
  </si>
  <si>
    <t>Su, Shiyuan; Liao, Li; Yu, Yong; Zhang, Jin; Chen, Bo</t>
  </si>
  <si>
    <t>Genomic data mining of an Antarctic deep-sea actinobacterium, Janibacter limosus P3-3-X1</t>
  </si>
  <si>
    <t>Janibacter; Genome; Antarctica; Marine sediments; Phenol degradation</t>
  </si>
  <si>
    <t>SP NOV.; DEGRADING BACTERIUM; BIODEGRADATION; DEGRADATION; RESOURCE; GENETICS; LIPASE; MEMBER</t>
  </si>
  <si>
    <t>Janibacter limosus P3-3-X1, a psychrotolerant deep-sea actinobacterium isolated from the Southern Ocean, was completely sequenced and analyzed for its biotechnological potential in bioremediation and natural product biosynthesis. The circular genome contained 3.5 Mb with a high GC content of 70.44 mol%. Genomic data mining revealed a gene cluster for degrading phenol and its derivatives, including a multi-component phenol hydroxylase and a meta-cleavage pathway. The strain was shown to grow on phenol as its sole carbon source, supporting the findings of genomic analysis. Many more genes encoding for monooxygenases, dioxygenases and other aromatic compound degradation proteins involved in xenobiotics degradation were detected. Multiple natural product biosynthesis gene clusters were predicted as well. The genome sequencing and data mining provide insights into the bioremediation ability and biosynthetic potential of the Antarctic actinobacterium, and promote further experimental verification and exploration.</t>
  </si>
  <si>
    <t>[Su, Shiyuan] Shanghai Ocean Univ, Coll Marine Sci, Shanghai 201306, Peoples R China; [Su, Shiyuan; Liao, Li; Yu, Yong; Zhang, Jin; Chen, Bo] Polar Res Inst China, 451 Jinqiao Rd, Shanghai 200136, Peoples R China</t>
  </si>
  <si>
    <t>Shanghai Ocean University; Polar Research Institute of China</t>
  </si>
  <si>
    <t>Liao, L; Chen, B (corresponding author), Polar Res Inst China, 451 Jinqiao Rd, Shanghai 200136, Peoples R China.</t>
  </si>
  <si>
    <t>liaoli@pric.org.cn; chenbo@pric.org.cn</t>
  </si>
  <si>
    <t>Liao, Li/0000-0002-8548-1928</t>
  </si>
  <si>
    <t>National Key R&amp;D Program of China [2018YFC1406702, 2018YFC1406701]; State Key Laboratory of Microbial Technology Open Projects Fund</t>
  </si>
  <si>
    <t>National Key R&amp;D Program of China; State Key Laboratory of Microbial Technology Open Projects Fund</t>
  </si>
  <si>
    <t>This work was supported by the National Key R&amp;D Program of China (2018YFC1406702 and 2018YFC1406701), and the State Key Laboratory of Microbial Technology Open Projects Fund (Project NO. M2017-03).</t>
  </si>
  <si>
    <t>10.1016/j.margen.2019.04.009</t>
  </si>
  <si>
    <t>WOS:000500380200005</t>
  </si>
  <si>
    <t>Chen, X; Liu, XD; Wei, YY; Huang, YS</t>
  </si>
  <si>
    <t>Chen, Xin; Liu, Xiaodong; Wei, Yangyang; Huang, Yongsong</t>
  </si>
  <si>
    <t>Production of long-chain n-alkyl lipids by heterotrophic microbes: New evidence from Antarctic lakes</t>
  </si>
  <si>
    <t>ORGANIC GEOCHEMISTRY</t>
  </si>
  <si>
    <t>Antarctica; Lacustrine sediments; n-Alkanes; n-Alkanoic acids; Carbon isotopic ratios; Vascular plant leaf waxes; Microbial origin; Long chain</t>
  </si>
  <si>
    <t>HYDROGEN ISOTOPIC FRACTIONATION; MCMURDO DRY VALLEYS; KING GEORGE ISLAND; ORGANIC-MATTER; FATTY-ACIDS; STABLE CARBON; ROSS SEA; ENVIRONMENTAL IMPLICATIONS; INEXPRESSIBLE ISLAND; ALKANE DISTRIBUTIONS</t>
  </si>
  <si>
    <t>Long-chain n-alkyl lipids are traditionally ascribed to an origin from terrestrial vascular plants because these compounds are major constituents of higher plant leaf waxes. Over the past half century, numerous studies have taken advantage of these sedimentary biomarkers and their isotopic ratios to reconstruct paleo-environmental and paleo-climatological changes at a variety of time scales. However, it is uncertain and extremely difficult to determine if these compounds can also derive from microbes because of the prevalence of higher plants in most environments around the globe. Here we show, for the first time from natural sediment samples, that long-chain n-alkyl lipids can predominantly originate from aquatic microbial sources at three high-latitude (&gt;69 degrees S latitude) Antarctic lakes, where no vascular plants are present in the surrounding land mass. The high carbon isotopic values (up to -12 parts per thousand) of these long-chain n-alkyl lipids exclude the possibility that these compounds are transported by wind from adjacent vegetated land masses. Instead, these isotope values are similar to lipids produced by aquatic microbial mats with an average bulk delta C-13 value of -14.2 +/- 1.7 parts per thousand, indicating heterotrophic microbes are the likely source of these long-chain n-alkyl lipids. For comparison, we also show that when even small amount of vascular plants and mosses are present in the study region, for instance at Long Lake (similar to 62 degrees S latitude) in the Antarctic Peninsula, the carbon isotopic values of sedimentary long-chain n-alkyl lipids decline dramatically, suggesting a rapid proportional increase in the relative contribution of leaf wax sources to total long-chain n-alkyl lipid inventory in lake sediments. (C) 2019 Published by Elsevier Ltd.</t>
  </si>
  <si>
    <t>[Chen, Xin; Liu, Xiaodong; Wei, Yangyang] Univ Sci &amp; Technol China, Sch Earth &amp; Space Sci, Anhui Prov Key Lab Polar Environm &amp; Global Change, Hefei 230026, Anhui, Peoples R China; [Chen, Xin; Liu, Xiaodong; Huang, Yongsong] Brown Univ, Dept Earth Environm &amp; Planetary Sci, Providence, RI 02912 USA</t>
  </si>
  <si>
    <t>Chinese Academy of Sciences; University of Science &amp; Technology of China, CAS; Brown University</t>
  </si>
  <si>
    <t>Liu, XD (corresponding author), Univ Sci &amp; Technol China, Sch Earth &amp; Space Sci, Anhui Prov Key Lab Polar Environm &amp; Global Change, Hefei 230026, Anhui, Peoples R China.;Huang, YS (corresponding author), Brown Univ, Dept Earth Environm &amp; Planetary Sci, Providence, RI 02912 USA.</t>
  </si>
  <si>
    <t>ycx@ustc.edu.cn; Yongsong_Huang@brown.edu</t>
  </si>
  <si>
    <t>National Natural Science Foundation of China [41576183, 41776188]; United States National Science Foundation [OPP-1503846, EAR-1762431]; Chinese Arctic and Antarctic Administration of the State Oceanic Administration</t>
  </si>
  <si>
    <t>National Natural Science Foundation of China(National Natural Science Foundation of China (NSFC)); United States National Science Foundation(National Science Foundation (NSF)); Chinese Arctic and Antarctic Administration of the State Oceanic Administration</t>
  </si>
  <si>
    <t>This work was jointly supported by a National Natural Science Foundation of China (grant numbers: 41576183 and 41776188), and United States National Science Foundation (grant numbers: OPP-1503846; EAR-1762431). We would like to thank the Chinese Arctic and Antarctic Administration of the State Oceanic Administration for project support. We also thank the United States Antarctic Program (USAP), Antarctic Support Contract and Italian Mario Zucchelli Station for logistical support. We also thank Prof. Steven D. Emslie who made great efforts improving our preliminary manuscript and Dr. Jiaju Zhao for his kind help in experimental analysis and Libin Wu, Jing Jin and Xueying Wang for preparing samples. Prof. Pengcheng Wu, Dr. Jian Yang and Haiying Wang are acknowledged for their help in moss and lichen species identification. Steven D. Emslie, R. Murray, and A. McKenzie provided valuable field assistance. Dr. Tao Huang and Fubin Liu are also thanked for collecting sediment samples in the field. We are grateful to Dr. Elizabeth Canuel, Dr. Phil Meyers and three anonymous reviewers whose comments significantly improved the quality of the manuscript.</t>
  </si>
  <si>
    <t>0146-6380</t>
  </si>
  <si>
    <t>1873-5290</t>
  </si>
  <si>
    <t>ORG GEOCHEM</t>
  </si>
  <si>
    <t>Org. Geochem.</t>
  </si>
  <si>
    <t>10.1016/j.orggeochem.2019.103909</t>
  </si>
  <si>
    <t>JS8JZ</t>
  </si>
  <si>
    <t>WOS:000500549500013</t>
  </si>
  <si>
    <t>Ai, ST; Yan, BY; Wang, ZM; Yan, M</t>
  </si>
  <si>
    <t>Ai, Songtao; Yan, Boya; Wang, Zemin; Yan, Ming</t>
  </si>
  <si>
    <t>A decadal record of inter-annual surface ice flow from Pedersenbreen, Svalbard (2005-15)</t>
  </si>
  <si>
    <t>POLAR SCIENCE</t>
  </si>
  <si>
    <t>Ice-flow velocity; GPS; Ice pond; Water source; Glacier section</t>
  </si>
  <si>
    <t>MIDRE-LOVENBREEN; GLACIERS; GEOMETRY</t>
  </si>
  <si>
    <t>This study presents the fundamental surface-ice-flow features of Pedersenbreen, a Svalbard valley glacier, from yearly high-precision GPS observations during 2005-2015. Data analysis shows that surface horizontal velocities ranged from 6.45 to 7.98 m a(-1) and that inter-annual velocity changes reached 12.37%; vertical velocities ranged from -0.65 to 0.26 m a(-1) during the study period. The strain-rate results indicate that the glacier can be divided. into three sections. Flow variation was greatest in the highest section and very likely the source of winter runoff, which accumulated as an ice pond in front of the Pedersenbreen glacier tongue in 2014 and 2015.</t>
  </si>
  <si>
    <t>[Ai, Songtao; Yan, Boya; Wang, Zemin] Wuhan Univ, Chinese Antarctic Ctr Surveying &amp; Mapping, Wuhan, Hubei, Peoples R China; [Yan, Ming] Polar Res Inst China, Shanghai, Peoples R China</t>
  </si>
  <si>
    <t>Wuhan University; Polar Research Institute of China</t>
  </si>
  <si>
    <t>Ai, ST (corresponding author), Wuhan Univ, Chinese Antarctic Ctr Surveying &amp; Mapping, Wuhan, Hubei, Peoples R China.</t>
  </si>
  <si>
    <t>National Key R&amp;D Program of China [2016YFC1402701]; National Natural Science Foundation of China [41531069, 41476162]</t>
  </si>
  <si>
    <t>National Key R&amp;D Program of China; National Natural Science Foundation of China(National Natural Science Foundation of China (NSFC))</t>
  </si>
  <si>
    <t>The authors are very grateful for the support of the National Key R&amp;D Program of China (2016YFC1402701) and the National Natural Science Foundation of China (41531069 and 41476162). We greatly appreciate the sustained support from the Chinese Arctic and Antarctic Administration, State Oceanic Administration, China. We are grateful to the team members who supported our in situ observations.</t>
  </si>
  <si>
    <t>1873-9652</t>
  </si>
  <si>
    <t>1876-4428</t>
  </si>
  <si>
    <t>POLAR SCI</t>
  </si>
  <si>
    <t>Polar Sci.</t>
  </si>
  <si>
    <t>10.1016/j.polar.2019.100485</t>
  </si>
  <si>
    <t>JS7YH</t>
  </si>
  <si>
    <t>WOS:000500519000004</t>
  </si>
  <si>
    <t>Jaksic, C; Steel, G; Stewart, E; Moore, K</t>
  </si>
  <si>
    <t>Jaksic, Cyril; Steel, Gary; Stewart, Emma; Moore, Kevin</t>
  </si>
  <si>
    <t>Antarctic stations as workplaces: Adjustment of winter-over crew members</t>
  </si>
  <si>
    <t>Antarctica; Isolated and confined environments; Extreme environment; Psychological; Adaptation; Person-environment fit; Polar psychology</t>
  </si>
  <si>
    <t>CULTURAL-ADAPTATION; PERFORMANCE; LONELINESS; EXPERIENCE; TRAITS; STRESS; SLEEP; SELF; EXPLORATION; DIMENSIONS</t>
  </si>
  <si>
    <t>The living conditions at Antarctic stations can be challenging for support personnel. It has been; suggested that the experience of isolation and confinement can contribute to the emergence of the; winter-over syndrome. The present study adopts a Person-Environment fit approach to investigate; individual adjustment to the social constraints of an Isolated and Confined Environment (ICE). The; study gathered monthly data from 14 participants from five different stations, run by different National Antarctic Programmes. Results revealed that a lack of privacy generated by the confinement is associated with sleep disturbance. In addition, a high level of loneliness, experienced as a result of the; isolation, is positively related to cognitive impairment and negatively related to job satisfaction and; positive/negative mood ratio. The results further suggest that loneliness can be predicted by a predeployment; measure of need for affiliation, as well as levels of the personality traits of agreeableness; and extraversion.</t>
  </si>
  <si>
    <t>[Jaksic, Cyril; Steel, Gary; Stewart, Emma; Moore, Kevin] Lincoln Univ, Dept Tourism Sport &amp; Soc, Fac Environm Soc &amp; Design, POB 85084, Christchurch 7647, New Zealand</t>
  </si>
  <si>
    <t>Lincoln University - New Zealand</t>
  </si>
  <si>
    <t>Steel, G (corresponding author), Lincoln Univ, Dept Tourism Sport &amp; Soc, Fac Environm Soc &amp; Design, POB 85084, Christchurch 7647, New Zealand.</t>
  </si>
  <si>
    <t>gary.steel@lincoln.ac.nz</t>
  </si>
  <si>
    <t>Moore, Kevin/H-4931-2013; Jaksic, Cyril/GXI-0084-2022; Stewart, Emma/P-7189-2018</t>
  </si>
  <si>
    <t>Moore, Kevin/0000-0001-5913-9953; Jaksic, Cyril/0000-0001-5835-3480; Stewart, Emma/0000-0002-1573-9444</t>
  </si>
  <si>
    <t>10.1016/j.polar.2019.100484</t>
  </si>
  <si>
    <t>WOS:000500519000010</t>
  </si>
  <si>
    <t>Londoñe-Bailon, P; Sánchez-Robinet, C; Alvarez-Guzman, G</t>
  </si>
  <si>
    <t>Londone-Bailon, Pablo; Sanchez-Robinet, Claudia; Alvarez-Guzman, Gary</t>
  </si>
  <si>
    <t>In vitro antibacterial, antioxidant and cytotoxic activity of methanol-acetone extracts from Antarctic lichens (Usnea antarctica and Usnea aurantiaco-atra)</t>
  </si>
  <si>
    <t>Antarctic lichen extract; Antibacterial; Antioxidant; Cytotoxic activity; Usnea antarctica; Usnea aurantiaco-atra</t>
  </si>
  <si>
    <t>USNIC ACID; ANTIMICROBIAL ACTIVITY; SECONDARY METABOLITES; BIOLOGICAL-ACTIVITIES; VIBRIO-ALGINOLYTICUS; NATURAL-PRODUCTS; TOTAL PHENOLS; INFECTIONS</t>
  </si>
  <si>
    <t>The lichens are symbiotic organisms, synthesize a great variety of chemically complex. Natural and potential source of bioactive compounds. U. antarctica and U. aurantiaco-atra were collected during 23rd Peruvian Scientific Expedition (ANTAR XXIII-2015) from the Antarctic Scientific Station Machu Picchu and were transferred to the ITP for processing. The samples were dried and grounded, after that, an extraction with acetone (1:10 w/v) also with methanol (1:10 w/v) was performed. Both extracts were mixed and vacuumed dried (30 degrees C). A methanol-acetone extract (MAE) from each lichen was obtained. MAE from U. antarctica showed a major concentration of total phenols (22.80 +/- 0.08 mg GA/g MAE) than U. aurantiaco-atra (19.42 +/- 0.32 mg GA/g MAE). Besides, U. antarctica exhibited a superior value of inhibition of ABTS(center dot+) radical (89.05 +/- 0.01 mu mol TE/g MAE) than U. aurantiaco-atra (79.84 +/- 0.09 mu mol TE/g MAE). The antibacterial activity of MAEs against Staphylococcus aureus ATCC 14775, Pseudomonas aeruginosa ATCC 27853 and Vibrio alginolyticus ATCC 17749 was performed however was only demonstrated against S. aureus. The minimum inhibitory concentration (MIC) was evaluated, U. antarctica and U. aurantiaco-atra exhibited 94.76% and 98.43%, respectively of inhibition bacterial growth at 31.25 mu g/mL of MIC value. MAE of U. antarctica (IC50 = 169.64 mu g/mL) and U. aurantiaco-atra (IC50 = 270.82 mu g/mL).</t>
  </si>
  <si>
    <t>[Londone-Bailon, Pablo; Sanchez-Robinet, Claudia] Inst Tecnol Prod, Lab Biotecnol, DIDITT, Callao 07046, Peru; [Alvarez-Guzman, Gary] Inst Tecnol Prod, Lab Fis Quim, DIDITT, Callao 07046, Peru</t>
  </si>
  <si>
    <t>Londoñe-Bailon, P (corresponding author), Inst Tecnol Prod, Lab Biotecnol, DIDITT, Callao 07046, Peru.</t>
  </si>
  <si>
    <t>plondone@itp.gob.pe</t>
  </si>
  <si>
    <t>Londone-Bailon, Pablo/0000-0003-0483-1699; Sanchez-Robinet, Claudia/0000-0001-8619-6216</t>
  </si>
  <si>
    <t>10.1016/j.polar.2019.08.003</t>
  </si>
  <si>
    <t>WOS:000500519000005</t>
  </si>
  <si>
    <t>Markov, A; Polyakov, S; Sun, B; Lukin, V; Popov, S; Yang, HG; Zhang, TJ; Cui, XB; Guo, JX; Cui, PH; Zhang, LA; Greenbaum, J; Mirakin, A; Voyevodin, A; Boronina, A; Sukhanova, A; Deshovykh, G; Krekhov, A; Zarin, S; Semyonov, A; Soshchenko, V; Mel'nik, A</t>
  </si>
  <si>
    <t>Markov, Aleksey; Polyakov, Sergey; Sun, Bo; Lukin, Valeriy; Popov, Sergey; Yang, Huigen; Zhang, Tijun; Cui, Xiangbin; Guo, Jingxue; Cui, Penghui; Zhang, Li'an; Greenbaum, Jamin; Mirakin, Andrey; Voyevodin, Andrey; Boronina, Alina; Sukhanova, Anastasiya; Deshovykh, Gennadiy; Krekhov, Aleksey; Zarin, Sergey; Semyonov, Aleksey; Soshchenko, Vladimir; Mel'nik, Aleksey</t>
  </si>
  <si>
    <t>The conditions of the formation and existence of Blue Ice Areas in the ice flow transition region from the Antarctic ice sheet to the Amery Ice Shelf in the Larsemann Hills area</t>
  </si>
  <si>
    <t>Antarctica; Blue Ice Areas; Ice sheet dynamics; Runway in Antarctica</t>
  </si>
  <si>
    <t>AGE</t>
  </si>
  <si>
    <t>Understanding the trend and main causes of the formation and distribution of Blue ice areas (BIAs) in Antarctica may help the search for areas (BIAs) suitable for ice runways for heavy aircraft. Two districts were explored on the glacier within a 50 km radius around the Larsemann Hills. They were isolated as blue ice areas based on the analysis of satellite images. According to the results of surface studies, one of the areas (about 500x5,000 m in size), though initially identified as a BIA based on the analysis of satellite images, has a high density firn covered with sun crust. The second area is indeed a blue ice area of significant size (about 5,000x5,000 m). Similarities and differences have been determined in the formation conditions of the glacier surface in the two areas of assumed BIAs, and an analysis was carried out to identify dominant, necessary and sufficient reasons for the sustained existence of BIAs. An obvious link has been found between the distribution of BIAs and the morphology of the subglacial mountain relief and the ice dynamics.</t>
  </si>
  <si>
    <t>[Markov, Aleksey] Jilin Univ, Polar Res Ctr, 938 Ximinzhu Str, Changchun 130021, Peoples R China; [Polyakov, Sergey; Lukin, Valeriy; Mirakin, Andrey; Voyevodin, Andrey; Deshovykh, Gennadiy; Zarin, Sergey; Semyonov, Aleksey; Soshchenko, Vladimir; Mel'nik, Aleksey] Russian Antarctic Expedit Arctic &amp; Antarctic Res, 38 Bering Str, St Petersburg 119397, Russia; [Sun, Bo; Yang, Huigen; Zhang, Tijun; Cui, Xiangbin; Guo, Jingxue; Cui, Penghui] Polar Res Inst China, 451 Jinqiao Rd, Shanghai 200136, Peoples R China; [Popov, Sergey] Polar Marine Geosurvey Expedit PMGE, 24 Pobeda Str, St Petersburg 198412, Russia; [Popov, Sergey; Boronina, Alina; Sukhanova, Anastasiya; Krekhov, Aleksey] St Petersburg Univ, 7-9 Univ Skaya Emb, St Petersburg 199034, Russia; [Zhang, Li'an] China Airport Construct Grp Corp, 111 Beisihuan East Str, Beijing 100101, Peoples R China; [Greenbaum, Jamin] Univ Texas Austin, Inst Geophys, 1 Univ Stn, Austin, TX 78712 USA</t>
  </si>
  <si>
    <t>Jilin University; Polar Research Institute of China; Saint Petersburg State University; University of Texas System; University of Texas Austin</t>
  </si>
  <si>
    <t>Markov, A (corresponding author), Jilin Univ, Polar Res Ctr, 938 Ximinzhu Str, Changchun 130021, Peoples R China.</t>
  </si>
  <si>
    <t>am100@inbox.ru</t>
  </si>
  <si>
    <t>Popov, Sergey V./I-2319-2013; sun, bo/JFA-9978-2023; Popov, Sergey/IYJ-2371-2023</t>
  </si>
  <si>
    <t>Popov, Sergey V./0000-0002-1830-8658; Popov, Sergey/0000-0002-1830-8658; Boronina, Alina/0000-0002-3486-5243; Krekhov, Aleksei/0009-0004-6184-0414</t>
  </si>
  <si>
    <t>RFBR [16-05-00579_a]</t>
  </si>
  <si>
    <t>This study was partly funded by RFBR according to the research project No 16-05-00579_a.</t>
  </si>
  <si>
    <t>10.1016/j.polar.2019.08.004</t>
  </si>
  <si>
    <t>WOS:000500519000008</t>
  </si>
  <si>
    <t>Schram, JB; Amsler, CD; McClintock, JB</t>
  </si>
  <si>
    <t>Schram, Julie B.; Amsler, Charles D.; McClintock, James B.</t>
  </si>
  <si>
    <t>Contrasting chemotactic escape responses of the common Antarctic gastropod Margarella antarctica to four species of sympatric sea stars</t>
  </si>
  <si>
    <t>Escape response; Gastropod; Sea star; Marine benthic ecology; Antarctic Peninsula</t>
  </si>
  <si>
    <t>FEEDING-BEHAVIOR; AVOIDANCE; ECHINODERMATA; MACROALGAE; COMMUNITY; ABUNDANCE; BIOLOGY; SOUND; PREY</t>
  </si>
  <si>
    <t>Escape responses of marine gastropods from sea star predators have long been established in laboratory studies. The degree of the response, which may include shell elevation and rotation and/or rapid flight, can vary with sea star taxa, providing insights into the degree to which a particular sea star species represents an in situ predatory threat. Little is known of such predator-prey interactions among benthic macroinvertebrates along the western Antarctic Peninsula. The present laboratory study employed video analysis to measure chemotactic escape responses (mean speed of flight following contact with the tip of a sea star's arm) in the common Antarctic top shell snail Margarella antarctica to the sea stars Neosmilaster georgianus, Remaster sp., Granaster nutrex, and Odontaster validus. Identical assays in response to contact with the thalli of the macroalga Gigartina skottsbergii provided a control. Significant flight responses to contact with two of the four sea star taxa were detected [N. georgianus (6.2 cm min(-1)), Remaster spp. (4.4 cm min(-1))]. There was no significant difference between gastropod speed in response to contact with the control macroalga (1.9 cm min(-1)) and to the sea stars G. nutrex (3.1 cm min(-1)) and O. validus (1.1 cm min(-1)). Measured patterns of sea star-induced gastropod flight responses are discussed in the context of natural diets and feeding modes of the sea stars.</t>
  </si>
  <si>
    <t>[Schram, Julie B.; Amsler, Charles D.; McClintock, James B.] Univ Alabama Birmingham, Dept Biol, Birmingham, AL 35294 USA; [Schram, Julie B.] Univ Oregon, Oregon Inst Marine Biol, Charleston, OR 97420 USA</t>
  </si>
  <si>
    <t>University of Alabama System; University of Alabama Birmingham; University of Oregon</t>
  </si>
  <si>
    <t>Schram, JB (corresponding author), Univ Alabama Birmingham, Dept Biol, Birmingham, AL 35294 USA.;Schram, JB (corresponding author), Univ Oregon, Oregon Inst Marine Biol, Charleston, OR 97420 USA.</t>
  </si>
  <si>
    <t>National Science Foundation (NSF) from the Antarctic Organisms and Ecosystems program [ANT-1041022]</t>
  </si>
  <si>
    <t>National Science Foundation (NSF) from the Antarctic Organisms and Ecosystems program(National Science Foundation (NSF))</t>
  </si>
  <si>
    <t>The authors gratefully acknowledge the exemplary logistical and science support of the staff of Antarctic Support Contract. Dr. Kathryn Schoenrock, Margaret Amsler and Kevin Scriber of the Department of Biology at UAB provided valuable field assistance. The present study was supported by National Science Foundation (NSF) award ANT-1041022 (JBM, CDA, and Dr. Robert A. Angus) from the Antarctic Organisms and Ecosystems program. An Endowed Professorship in Polar and Marine Biology administered by UAB provided additional support to JBM.</t>
  </si>
  <si>
    <t>10.1016/j.polar.2019.100486</t>
  </si>
  <si>
    <t>WOS:000500519000006</t>
  </si>
  <si>
    <t>Yavasoglu, HH; Karaman, H; Özsoy, B; Bilgi, S; Tutak, B; Gengeç, AGG; Oktar, Ö; Yirmibesoglu, S</t>
  </si>
  <si>
    <t>Yavasoglu, H. H.; Karaman, H.; Ozsoy, B.; Bilgi, S.; Tutak, B.; Gengec, A. G. Gulnerman; Oktar, O.; Yirmibesoglu, S.</t>
  </si>
  <si>
    <t>Site selection of the Turkish Antarctic Research station using Analytic Hierarchy Process</t>
  </si>
  <si>
    <t>SUITABLE SITES; GIS; LOCATION; FARMS</t>
  </si>
  <si>
    <t>Determination of the location of a research station in Antarctica is a very important issue, and necessary for countries to have sustainable Antarctic Scientific Program and expeditions. The suitable site selection is affected by long-term scientific work plan, its realization costs, and field experience on the continent. For this purpose, using a well-structured evaluation method is indispensable to handle decision uncertainties. This study focuses on the Analytic Hierarchy Process (AHP) method with using Geographical Information Systems (GIS) to detect the optimum probable location for an Antarctic research station. During the study, three main criteria groups and their sub-criteria were taken into account: spatial condition, accessibility, and international legal regime. The comparisons obtained from AHP method including GIS and surveys were used to find potentially suitable areas to demonstrate fitness-for-use of the allocation results. Finally, the suitability map was produced to identify the potential locations for the future Turkish Research Station by considering the climatic effects, environmental constraints, enabling logistics, cost and scientific interest. This study would help the decision-makers to take final steps for determining the potential Turkish Antarctic Station.</t>
  </si>
  <si>
    <t>[Yavasoglu, H. H.; Karaman, H.; Bilgi, S.; Gengec, A. G. Gulnerman] Istanbul Tech Univ, Dept Geomat Engn, Istanbul, Turkey; [Ozsoy, B.; Oktar, O.; Yirmibesoglu, S.] Istanbul Tech Univ, Fac Maritime, Polar Res Ctr PolReC, Istanbul, Turkey; [Tutak, B.] Istanbul Tech Univ, Dept Shipbldg &amp; Ocean Engn, Istanbul, Turkey; [Yavasoglu, H. H.; Ozsoy, B.; Tutak, B.; Oktar, O.; Yirmibesoglu, S.] Istanbul Tech Univ, Polar Res Ctr PolReC, Istanbul, Turkey</t>
  </si>
  <si>
    <t>Istanbul Technical University; Istanbul Technical University; Istanbul Technical University; Istanbul Technical University</t>
  </si>
  <si>
    <t>Yavasoglu, HH (corresponding author), Istanbul Tech Univ, Dept Geomat Engn, Istanbul, Turkey.</t>
  </si>
  <si>
    <t>yavasoglu@itu.edu.tr</t>
  </si>
  <si>
    <t>Bilgi, Serdar/A-1955-2017; Yirmibesoglu, Sinan/IQX-1187-2023; Tutak, Bilge/P-9314-2015; Yavaşoğlu, Hasan Hakan/ABB-2377-2020; Ozsoy, Burcu/AAH-5348-2020; Karaman, Himmet/E-9796-2013; Gulnerman, Ayse Giz/AAL-8292-2020</t>
  </si>
  <si>
    <t>Bilgi, Serdar/0000-0002-8396-3202; Yirmibesoglu, Sinan/0000-0002-2328-5243; Tutak, Bilge/0000-0003-2885-9338; Yavaşoğlu, Hasan Hakan/0000-0002-3139-4327; Ozsoy, Burcu/0000-0003-4320-1796; Karaman, Himmet/0000-0003-4923-3561; Gulnerman, Ayse Giz/0000-0002-9163-6068</t>
  </si>
  <si>
    <t>Ministry of Industry and Technology</t>
  </si>
  <si>
    <t>This study was carried under the auspices of the Presidency of Turkish Republic, supported by the Ministry of Industry and Technology, and coordinated by Istanbul Technical University (ITU) Polar Research Center (PolReC).</t>
  </si>
  <si>
    <t>10.1016/j.polar.2019.07.003</t>
  </si>
  <si>
    <t>WOS:000500519000011</t>
  </si>
  <si>
    <t>Nocentini, A; Osman, SM; Del Prete, S; Capasso, C; Alothman, ZA; Supuran, CT</t>
  </si>
  <si>
    <t>Nocentini, Alessio; Osman, Sameh M.; Del Prete, Sonia; Capasso, Clemente; ALOthman, Zeid A.; Supuran, Claudiu T.</t>
  </si>
  <si>
    <t>Extending the γ-class carbonic anhydrases inhibition profiles with phenolic compounds</t>
  </si>
  <si>
    <t>BIOORGANIC CHEMISTRY</t>
  </si>
  <si>
    <t>Bacteria; Resistance; Antarctic bacteria; Metalloenzyme; gamma-Class; Phenol; Inhibition; Selectivity</t>
  </si>
  <si>
    <t>SULFONAMIDE INHIBITION; SECONDARY SULFONAMIDES; BETA; BACTERIAL; DISCOVERY; ALPHA; LIGHT; DELTA; IX</t>
  </si>
  <si>
    <t>gamma-Class carbonic anhydrases (CAs; EC 4.2.1.1) lack of extended inhibition characterization in comparison to alpha- and beta-class isozymes. For this reason, a panel of 22 phenols was investigated here for the inhibition of the gamma-CAs from the pathogenic bacteria Burkholderia pseudomallei (BpsCA gamma), Porphyromonas gingivalis (PgiCA), Vibrio cholerae (VchCA gamma) and from the antarctic bacteria Pseudoalteromonas haloplanktis (PhaCA gamma) and Colwellia psychrerythraea (CpsCA gamma). The exploration of the chemical space around the main phenolic group led to the discovery of a number of such derivatives showing effective, sometimes sub-micromolar inhibition against BpsCA gamma (K(I)s 0.45-8.6 mu M), PgiCA (K(I)s 0.36-9.8 mu M) and VchCA gamma (K(I)s 0.47-9.6 mu M). A subset of compounds even demonstrated a significant selectivity for the target gamma-CAs over the human physiologically most relevant isoform CA II. This study enriches the inhibitory profiles database for gamma-class CAs and promotes the identification of new potent and selective inhibitors against bacterial isoforms over human off-target ones. These agents are of remarkable interest and importance in the search of novel, worldwide required, antibiotic agents possessing alternative mechanisms of action as a strategy to overcome the spread to antimicrobic resistance.</t>
  </si>
  <si>
    <t>[Nocentini, Alessio; Supuran, Claudiu T.] Univ Firenze, NEUROFARBA Dept, Sez Sci Farmaceut &amp; Nutraceut, Florence, Italy; [Osman, Sameh M.; ALOthman, Zeid A.; Supuran, Claudiu T.] King Saud Univ, Dept Chem, Coll Sci, POB 2455, Riyadh 11451, Saudi Arabia; [Del Prete, Sonia; Capasso, Clemente] CNR, Ist Biosci &amp; Biorisorse, Via Pietro Castellino 111, I-80131 Naples, Italy</t>
  </si>
  <si>
    <t>University of Florence; King Saud University; Consiglio Nazionale delle Ricerche (CNR); Istituto di Bioscienze e Biorisorse (IBBR-CNR)</t>
  </si>
  <si>
    <t>Nocentini, A; Supuran, CT (corresponding author), Univ Florence, Dept Neurofarba, Via Ugo Schiff 6, I-50019 Sesto Fiorentino, Italy.</t>
  </si>
  <si>
    <t>alessio.nocentini@unifi.it; claudiu.supuran@unifi.it</t>
  </si>
  <si>
    <t>ALOthman, Zeid A./E-7333-2014; Nocentini, Alessio/AAL-4926-2021; Osman, Sameh/O-1800-2013; CAPASSO, CLEMENTE/P-3522-2016</t>
  </si>
  <si>
    <t>ALOthman, Zeid A./0000-0001-9970-2480; Osman, Sameh/0000-0003-1564-7301; CAPASSO, CLEMENTE/0000-0003-3314-2411; Supuran, Claudiu/0000-0003-4262-0323</t>
  </si>
  <si>
    <t>King Saud University, Riyadh, Saudi Arabia [RSP-2019/1]</t>
  </si>
  <si>
    <t>King Saud University, Riyadh, Saudi Arabia(King Saud University)</t>
  </si>
  <si>
    <t>This work was funded by the Researchers Supporting Project No. (RSP-2019/1) King Saud University, Riyadh, Saudi Arabia.</t>
  </si>
  <si>
    <t>ACADEMIC PRESS INC ELSEVIER SCIENCE</t>
  </si>
  <si>
    <t>SAN DIEGO</t>
  </si>
  <si>
    <t>525 B ST, STE 1900, SAN DIEGO, CA 92101-4495 USA</t>
  </si>
  <si>
    <t>0045-2068</t>
  </si>
  <si>
    <t>1090-2120</t>
  </si>
  <si>
    <t>BIOORG CHEM</t>
  </si>
  <si>
    <t>Bioorganic Chem.</t>
  </si>
  <si>
    <t>10.1016/j.bioorg.2019.103336</t>
  </si>
  <si>
    <t>Biochemistry &amp; Molecular Biology; Chemistry, Organic</t>
  </si>
  <si>
    <t>Biochemistry &amp; Molecular Biology; Chemistry</t>
  </si>
  <si>
    <t>JR6EU</t>
  </si>
  <si>
    <t>WOS:000499717000057</t>
  </si>
  <si>
    <t>Ji, XW; Abakumov, E; Polyako, V; Xie, XC; Wei, DY</t>
  </si>
  <si>
    <t>Ji, Xiaowen; Abakumov, Evgeny; Polyako, Vyacheslav; Xie, Xianchuan; Wei Dongyang</t>
  </si>
  <si>
    <t>The ecological impact of mineral exploitation in the Russian Arctic: A field-scale study of polycyclic aromatic hydrocarbons (PAHs) in permafrost-affected soils and lichens of the Yamal-Nenets autonomous region</t>
  </si>
  <si>
    <t>ENVIRONMENTAL POLLUTION</t>
  </si>
  <si>
    <t>Permafrost-affected soil; Russian Arctic; Lichen; PAHs; Distribution; Mining activities</t>
  </si>
  <si>
    <t>PERSISTENT ORGANIC POLLUTANTS; ACCELERATED SOLVENT-EXTRACTION; SOURCE APPORTIONMENT; TIBETAN PLATEAU; THERMAL STATE; PETROLEUM-HYDROCARBONS; PARTICULATE MATTER; DIAGNOSTIC RATIOS; SURFACE SEDIMENTS; BLACK CARBON</t>
  </si>
  <si>
    <t>Forty soil and lichen samples and sixteen soil horizon samples were collected in the mining and surrounding areas of the Yamal-Nenets autonomous region (Russian Arctic). The positive matrix factorization (PMF) model was used for the source identification of PAHs. The results of the source identification showed that the mining activity was the major source of PAHs in the area, and that the mining influenced the surrounding natural area. The 5+6-ring PAHs were most abundant in the mining area. The lichen/soil (LAS) results showed that 2+3-ring and 4-ring PAHs could be transported by air and accumulated more in lichens than in the soil, while 5+6-ring PAHs accumulated more in the soil. Strong relationships between the quotient of soil/lichen (Q(SL)) and Log K-OA and Log P-L and between the quotient of lichen/histic horizon soil and K-OW were observed. In addition, hydrogeological conditions influenced the downward transport of PAHs. Particularly surprising is the discovery of the high levels of 5 + 6 rings in the permafrost table (the bottom of the active layer). One hypothesis is given that the global climate change may lead to further depth of active layer so that PAHs may migrate to the deeper permafrost. In the impact area of mining activities, the soil inventory for 5+6-ring PAHs was estimated at 0.14 +/- 0.017 tons on average. (C) 2019 Elsevier Ltd. All rights reserved.</t>
  </si>
  <si>
    <t>[Ji, Xiaowen; Xie, Xianchuan] Nanjing Univ, Sch Environm, State Key Lab Pollut Control &amp; Resource Reuse, Nanjing 210093, Jiangsu, Peoples R China; [Ji, Xiaowen; Abakumov, Evgeny; Polyako, Vyacheslav] St Petersburg State Univ, Dept Appl Ecol, St Petersburg 199178, Russia; [Polyako, Vyacheslav] Arctic &amp; Antarctic Res Inst, St Petersburg 199397, Russia; [Polyako, Vyacheslav] St Petersburg State Agr Univ, Dept Soil Sci &amp; Agrochem, St Petersburg 19660, Russia; [Wei Dongyang] Minist Environm Protect, South China Inst Environm Sci, Guangzhou 510530, Guangdong, Peoples R China</t>
  </si>
  <si>
    <t>Nanjing University; Saint Petersburg State University; Arctic &amp; Antarctic Research Institute</t>
  </si>
  <si>
    <t>Xie, XC (corresponding author), Nanjing Univ, Sch Environm, State Key Lab Pollut Control &amp; Resource Reuse, Nanjing 210093, Jiangsu, Peoples R China.</t>
  </si>
  <si>
    <t>xchxie@nju.edu.cn</t>
  </si>
  <si>
    <t>Abakumov, e_abakumov@mail.ru/ADJ-1297-2022; Abakumov, Evgeny/AAO-8580-2020; Xie, Xianchuan/AAK-2934-2020; Polyakov, Vyacheslav/H-5483-2016</t>
  </si>
  <si>
    <t>Abakumov, e_abakumov@mail.ru/0000-0002-5248-9018; Abakumov, Evgeny/0000-0002-5248-9018; Ji, Xiaowen/0000-0002-0507-7520; Polyakov, Vyacheslav/0000-0001-6171-3221</t>
  </si>
  <si>
    <t>Russian Foundation for Basic Research [18-44-890003, 16-34-60010]; SaintPetersburg State University Urbanized ecosystems of the Russian Arctic: dynamics; state and sustainable development; Jiangsu Nature Science Fund [BK20151378]; Major Science and Technology Program for Water Pollution Control and Treatment of China [2015ZX07204-007, 2017ZX07602]; Fundamental Research Funds for the Central Universities [090514380001]; Natural Science Foundation of Guangdong Province [2016A030313021]; Guangzhou Science and Technology Plan Scientific Research Project [201607010259]</t>
  </si>
  <si>
    <t>Russian Foundation for Basic Research(Russian Foundation for Basic Research (RFBR)Spanish Government); SaintPetersburg State University Urbanized ecosystems of the Russian Arctic: dynamics; state and sustainable development; Jiangsu Nature Science Fund; Major Science and Technology Program for Water Pollution Control and Treatment of China; Fundamental Research Funds for the Central Universities(Fundamental Research Funds for the Central Universities); Natural Science Foundation of Guangdong Province(National Natural Science Foundation of Guangdong Province); Guangzhou Science and Technology Plan Scientific Research Project</t>
  </si>
  <si>
    <t>This work was supported by grant of Russian Foundation for Basic Research (18-44-890003, 16-34-60010); by a grant of SaintPetersburg State University Urbanized ecosystems of the Russian Arctic: dynamics; state and sustainable development, the local government of the Yamal region (logistic support), Jiangsu Nature Science Fund (BK20151378), Major Science and Technology Program for Water Pollution Control and Treatment of China (2015ZX07204-007 and 2017ZX07602), and the Fundamental Research Funds for the Central Universities (090514380001), Natural Science Foundation of Guangdong Province (No. 2016A030313021), Guangzhou Science and Technology Plan Scientific Research Project (No. 201607010259).</t>
  </si>
  <si>
    <t>0269-7491</t>
  </si>
  <si>
    <t>1873-6424</t>
  </si>
  <si>
    <t>ENVIRON POLLUT</t>
  </si>
  <si>
    <t>Environ. Pollut.</t>
  </si>
  <si>
    <t>10.1016/j.envpol.2019.113239</t>
  </si>
  <si>
    <t>JR6LC</t>
  </si>
  <si>
    <t>WOS:000499733500086</t>
  </si>
  <si>
    <t>Kakareka, S; Kukharchyk, T; Kurman, P</t>
  </si>
  <si>
    <t>Kakareka, Sergey; Kukharchyk, Tamara; Kurman, Peter</t>
  </si>
  <si>
    <t>Major and trace elements content in freshwater lakes of Vecherny Oasis, Enderby Land, East Antarctica</t>
  </si>
  <si>
    <t>Antarctic lakes; Trace elements; Heavy metals; Human activity; Enderby land</t>
  </si>
  <si>
    <t>TERRA-NOVA BAY; KING GEORGE ISLAND; SURFACE WATERS; METAL CONTAMINATION; LARSEMANN HILLS; ADMIRALTY BAY; WRIGHT VALLEY; SALINE LAKES; VANDA; SOILS</t>
  </si>
  <si>
    <t>In the article the results of major and trace elements investigation in freshwater lakes of Vecherny Oasis (Enderby Land, East Antarctica) are considered. Water sampling was carried out during seasonal Belarusian Antarctic expeditions in 2011-2017. Totally 22 water samples from four lakes, three temporal ponds and one water course were collected for major and trace elements determination. The total concentrations of Ag, Al, As, Ba, Be, Ca, Cd, Co, Cr, Cu, Fe, K, Na, Mg, Mn, Mo, Ni, Pb, Sb, Se, Th, Tl, V, W, Zn in all samples as well as more than 40 additional trace elements in 3 samples from lakes were determined using ICP-MS method. It is shown that increase of heavy metals concentration (Cd, Pb, Zn, Sb, Co, Ni, Se, Mn) and As in the lakes compared to temporary ponds can be explained by anthropogenic impact including previous human activity in the oasis in late 1970th - early 1990th. The maximum concentrations of a number of technophilic elements (Pb, Mo, Mn, V, Sb, Zn) in Lake Nizhneye are possibly connected with the its lowest hypsometric location in catchment and the drainage of the territory impacted by past and present human activity. (C) 2019 Elsevier Ltd. All rights reserved.</t>
  </si>
  <si>
    <t>[Kakareka, Sergey; Kukharchyk, Tamara] Natl Acad Sci Belarus, Lab Transboundary Pollut, Inst Nat Management, Skoriny St 10, Minsk 220114, BELARUS; [Kurman, Peter] Natl Acad Sci Belarus, Lab Phys &amp; Chem Methods, Inst Bioorgan Chem, Akad Kuprevicha St 2, Minsk 220141, BELARUS</t>
  </si>
  <si>
    <t>National Academy of Sciences of Belarus (NASB); Institute for Nature Management of the National Academy of Sciences of Belarus; National Academy of Sciences of Belarus (NASB); Institute of Bioorganic Chemistry of the National Academy of Sciences of Belarus</t>
  </si>
  <si>
    <t>Kukharchyk, T (corresponding author), Natl Acad Sci Belarus, Lab Transboundary Pollut, Inst Nat Management, Skoriny St 10, Minsk 220114, BELARUS.</t>
  </si>
  <si>
    <t>tkukharchyk@gmail.com</t>
  </si>
  <si>
    <t>Kukharchyk, Tamara/0000-0003-3434-1244</t>
  </si>
  <si>
    <t>State Program 'Monitoring of the Earth Polar Regions, Creation of the Belarusian Antarctic Station and Support of the Polar Expeditions for 2016-2020'</t>
  </si>
  <si>
    <t>This study has been funded in the framework of the State Program 'Monitoring of the Earth Polar Regions, Creation of the Belarusian Antarctic Station and Support of the Polar Expeditions for 2016-2020'.</t>
  </si>
  <si>
    <t>10.1016/j.envpol.2019.113126</t>
  </si>
  <si>
    <t>WOS:000499733500090</t>
  </si>
  <si>
    <t>O'Hanlon, NJ; Bond, AL; Lavers, JL; Masden, EA; James, NA</t>
  </si>
  <si>
    <t>O'Hanlon, Nina J.; Bond, Alexander L.; Lavers, Jennifer L.; Masden, Elizabeth A.; James, Neil A.</t>
  </si>
  <si>
    <t>Monitoring nest incorporation of anthropogenic debris by Northern Gannets across their range</t>
  </si>
  <si>
    <t>Marine; Nesting material; Plastics; Pollution; Seabird; Sentinel species; Sulidae</t>
  </si>
  <si>
    <t>BOOBY SULA-LEUCOGASTER; MARINE DEBRIS; PLASTIC DEBRIS; MORUS-BASSANUS; ACCUMULATION; SEABIRDS; ISLAND; POPULATION; PREVALENCE; POLLUTION</t>
  </si>
  <si>
    <t>Anthropogenic marine debris is a recognised global issue, which can impact a wide range of organisms. This has led to a rise in research focused on plastic ingestion, but quantitative data on entanglement are still limited, especially regarding seabirds, due to challenges associated with monitoring entanglement in the marine environment. However, for seabird species that build substantial surface nests there is the opportunity to monitor nest incorporation of debris that individuals collect as nesting material. Here, we monitored nest incorporation of anthropogenic marine debris by Northern Gannets (Mores bassanus) from 29 colonies across the species' range to determine a) the frequency of occurrence of incorporated debris and b) whether the Northern Gannet is a suitable indicator species for monitoring anthropogenic debris in the marine environment within their range. Using data obtained from visual observations, digital photography and published literature, we recorded incorporated debris in 46% of 7280 Northern Gannet nests, from all but one of 29 colonies monitored. Significant spatial variation was observed in the frequency of occurrence of debris incorporated into nests among colonies, partly attributed to when the colony was established and local fishing intensity. Threadlike plastics, most likely from fishing activities, was most frequently recorded in nests, being present in 45% of 5842 nests, in colonies where debris type was identified. Comparisons with local beach debris indicate a preference for threadlike plastics by Northern Gannets. Recording debris in gannet nests provides an efficient and non-invasive method for monitoring the effectiveness of actions introduced to reduce debris pollution from fishing activities in the marine environment. (C) 2019 Elsevier Ltd. All rights reserved.</t>
  </si>
  <si>
    <t>[O'Hanlon, Nina J.; Bond, Alexander L.; Masden, Elizabeth A.; James, Neil A.] Univ Highlands &amp; Isl, North Highland Coll UHI, Ctr Energy &amp; Environm, Environm Res Inst, Ormlie Rd, Thurso KW14 7EE, Scotland; [Bond, Alexander L.] Nat Hist Museum, Dept Life Sci, Bird Grp, Akeman St, Tring HP23 6AP, Herts, England; [Bond, Alexander L.; Lavers, Jennifer L.] Univ Tasmania, Inst Marine &amp; Antarctic Studies, Battery Point, Tas 7004, Australia</t>
  </si>
  <si>
    <t>UHI Millennium Institute; Natural History Museum London; University of Tasmania</t>
  </si>
  <si>
    <t>O'Hanlon, NJ (corresponding author), Univ Highlands &amp; Isl, North Highland Coll UHI, Ctr Energy &amp; Environm, Environm Res Inst, Ormlie Rd, Thurso KW14 7EE, Scotland.</t>
  </si>
  <si>
    <t>nina.ohanlon@uhi.ac.uk</t>
  </si>
  <si>
    <t>Bond, Alexander L/A-3786-2010; Masden, Elizabeth A/F-2858-2010; Lavers, Jennifer/IWM-5417-2023; O'Hanlon, Nina J/N-9810-2014; Lavers, Jennifer/O-4831-2017</t>
  </si>
  <si>
    <t>Lavers, Jennifer/0000-0001-7596-6588; James, Neil/0000-0003-3369-3387; Masden, Elizabeth/0000-0002-1995-3712</t>
  </si>
  <si>
    <t>ERDF Interreg VB Northern Periphery and Arctic (NPA) Programme through the Circular Ocean project; ERDF Interreg VB Northern Periphery and Arctic (NPA) Programme through Blue Circular Economy project</t>
  </si>
  <si>
    <t>This work was funded by the ERDF Interreg VB Northern Periphery and Arctic (NPA) Programme through the Circular Ocean and Blue Circular Economy projects. We thank all who provided data and digital images on nest incorporation in Northern Gannets: SMRU and Maggie Sheddan (Bass Rock); RPSB International Research Team and Mike Babcock (Bempton Cliffs); David Pelletier (Bonaventure Island); Sunna Bjork Ragnarsdottir (Eldey); Beth Clarke, Lisa Morgan and Greg Morgan (Grassholm); Winnie Courtene-Jones (Helgoland); Andrew Power (Lambay and Great Saltee); Yann Kolbeinsson (Karlinn); Alderney Rangers (Les Etac and Ortac); Vincent Hyland (Little Skellig); Angelika Aleksieva (Machias Seal Island); Arild Hareide and Nils Roar Hareide (Runde); Michael Chalmers (Boreray, St. Kilda) and Rob Barrett (Syltefjord). We also thank all who provided access permissions and assistance in the field: Fair Isle Bird Observatory, RSPB (Noup Head, Troup Head); Johannis Danielsen (Mykinesholmur); Shelia Gear (Foula); Scottish Natural Heritage especially Andy Denton, Jennifer Clark and Mike Pennington (Noss and Hermaness); and Sule Skerry Ringing Group. We thank Rob Hughes for help with fieldwork on Shetland and Orkney, and Anika Grosse for help with the digital images. Comments from Davi Castro Tavares and an anonymous reviewer improved this manuscript.</t>
  </si>
  <si>
    <t>10.1016/j.envpol.2019.113152</t>
  </si>
  <si>
    <t>WOS:000499733500028</t>
  </si>
  <si>
    <t>Hernandez, EA; Lopez, JL; Piquet, AMT; Mac Cormack, WP; Buma, AGJ</t>
  </si>
  <si>
    <t>Hernandez, Edgardo A.; Lopez, Jose L.; Piquet, Anouk M. -T.; Mac Cormack, Walter P.; Buma, Anita G. J.</t>
  </si>
  <si>
    <t>Changes in salinity and temperature drive marine bacterial communities' structure at Potter Cove, Antarctica</t>
  </si>
  <si>
    <t>Bacterioplankton; Salinity; Temperature; Clone libraries; Potter Cove; Antarctica</t>
  </si>
  <si>
    <t>16S RIBOSOMAL-RNA; SOUTHERN-OCEAN; COASTAL WATERS; DIVERSITY; ARCHAEAL; SUMMER; BACTERIOPLANKTON; ASSEMBLAGES; ROSEOBACTER; VARIABILITY</t>
  </si>
  <si>
    <t>Coastal areas of the West Antarctic Peninsula (WAP) constitute a rich and biodiverse marine zone. Despite these ecosystems being supported by the microorganism's activity, the structure of microbial communities is insufficiently studied. As WAP is the area most affected by global warming worldwide, the increased glacier melting caused by the global warming and the consequent increase of the water runoff could be deeply affecting these microbial communities. To advance knowledge about the structure of microbial communities and its response to the environmental factors, a full-year study of marine bacterioplankton was conducted at Potter Cove, Antarctica. Multivariate analysis based on denaturing gradient gel electrophoresis (DGGE) and environmental data revealed a seasonal pattern in the structure of the bacterioplankton community, with spring-summer clustering separately from autumn-winter samples. Salinity, temperature and particulated matter were the main environmental driving forces. Based on the seasonal patterns, five bacterial clone libraries were performed from three sampling sites (E1, inner cove; E2, outer cove; and E3, mouth of a creek). Phylogenetic analysis of libraries generated 301 operational taxonomic units (OTUs), revealing the enormous richness and high diversity of these communities. Proteobacteria (68%), Bacteroidetes (20%) and Actinobacteria (8%) were the most represented phyla. During summer, bacterial community from E1 resembled that observed in E3, whereas during winter it resembled the E2 community. Results evidenced the influence of glacial meltwater input and showed the high variability of the bacterioplankton from inner cove. This study contributes to the better understanding of the structure of the Potter Cove marine ecosystems and could be reflecting the behavior of other similar ecosystems from WAP.</t>
  </si>
  <si>
    <t>[Hernandez, Edgardo A.; Mac Cormack, Walter P.] Inst Antartico Argentino, Dept Microbiol Ambiental, 25 Mayo 1143,B1650HMK, San Martin, Buenos Aires, Argentina; [Piquet, Anouk M. -T.; Buma, Anita G. J.] Univ Groningen, Dept Ocean Ecosyst, Energy &amp; Sustainabil Res Inst, Nijenborgh 7, NL-9747 AG Groningen, Netherlands; [Lopez, Jose L.] Univ Buenos Aires, Fac Farm &amp; Bioquim, Catedra Virol, Junin 956 4to Piso,C1113AAD, Buenos Aires, DF, Argentina; [Hernandez, Edgardo A.; Mac Cormack, Walter P.] UBA, CONICET, Inst NANOBIOTEC, Fac Farm &amp; Bioquim, Junin 956 6to Piso, Buenos Aires, DF, Argentina</t>
  </si>
  <si>
    <t>Instituto Antartico Argentino; University of Groningen; University of Buenos Aires; Consejo Nacional de Investigaciones Cientificas y Tecnicas (CONICET); University of Buenos Aires</t>
  </si>
  <si>
    <t>Lopez, JL (corresponding author), Univ Buenos Aires, Fac Farm &amp; Bioquim, Catedra Virol, Junin 956 4to Piso,C1113AAD, Buenos Aires, DF, Argentina.</t>
  </si>
  <si>
    <t>jlopez@ffyb.uba.ar</t>
  </si>
  <si>
    <t>Buma, Anita GJ/E-8372-2015</t>
  </si>
  <si>
    <t>Mac Cormack, Walter/0000-0002-5280-5463</t>
  </si>
  <si>
    <t>10.1007/s00300-019-02590-5</t>
  </si>
  <si>
    <t>JS1NL</t>
  </si>
  <si>
    <t>WOS:000500079300001</t>
  </si>
  <si>
    <t>Clark, GF; Pastorino, S; Marzinelli, EM; Turney, CSM; Fogwill, CJ; Johnston, EL</t>
  </si>
  <si>
    <t>Clark, Graeme F.; Pastorino, Sara; Marzinelli, Ezequiel M.; Turney, Chris S. M.; Fogwill, Chris J.; Johnston, Emma L.</t>
  </si>
  <si>
    <t>Nearshore marine communities at three New Zealand sub-Antarctic islands</t>
  </si>
  <si>
    <t>Biodiversity; Climate change; Conservation; Baited remote underwater video; Southern Ocean</t>
  </si>
  <si>
    <t>SNARES-ISLANDS; AUCKLAND ISLANDS; INTERTIDAL LIMPETS; CLIMATE-CHANGE; CONNECTIVITY; COLONIZATION; BIOGEOGRAPHY; VARIABILITY; CHATHAM; FISH</t>
  </si>
  <si>
    <t>The sub-Antarctic islands of New Zealand are biodiversity hotspots in the Southern Ocean, containing numerous endemic species and providing breeding grounds for seabirds and marine mammals. However, due to their remoteness and harsh environments, many of their marine ecosystems are relatively unexplored and potentially at risk from alien invasive species. To better understand nearshore marine ecosystems at three New Zealand sub-Antarctic islands (Snares Islands, Auckland Islands and Campbell Island), we sampled nektobenthic fish and mobile macroinvertebrates at 40 sites (15-20 m depth) using baited remote underwater videos (BRUVs). MaxN of each species in the videos was recorded in 5-min intervals for 45 min, allowing analyses of MaxN over the whole deployment, as well as change through time during the deployment. Species distributions appeared to reflect both the geomorphological and biogeographic traits of the islands. The Auckland Islands and Campbell Island contain large inlets dominated by mobile crustaceans, and biological trends followed gradients in marine exposure along inlets. In contrast, the Snares Islands are mostly exposed coast and contained a higher diversity of fish species common with mainland New Zealand. We suggest that differences in nearshore marine communities between these islands are likely due to the combined effects of habitat availability, biogeography, and ocean temperature.</t>
  </si>
  <si>
    <t>[Clark, Graeme F.; Pastorino, Sara; Marzinelli, Ezequiel M.; Johnston, Emma L.] Univ New South Wales, Sch Biol Earth &amp; Environm Sci, Evolut &amp; Ecol Res Ctr, Sydney, NSW 2052, Australia; [Marzinelli, Ezequiel M.] Nanyang Technol Univ, Singapore Ctr Environm Life Sci Engn, Singapore, Singapore; [Marzinelli, Ezequiel M.] Univ Sydney, Sch Life &amp; Environm Sci, Camperdown, NSW 2006, Australia; [Fogwill, Chris J.] Keele Univ, Sch Geog Geol &amp; Environm, Keele ST5 5BG, Staffs, England; [Turney, Chris S. M.] Univ New South Wales, Sch Biol Earth &amp; Environm Sci, Palaeontol Geobiol &amp; Earth Arch Res Ctr, Sydney, NSW 2052, Australia</t>
  </si>
  <si>
    <t>University of New South Wales Sydney; Nanyang Technological University; University of Sydney; Keele University; University of New South Wales Sydney</t>
  </si>
  <si>
    <t>Clark, GF (corresponding author), Univ New South Wales, Sch Biol Earth &amp; Environm Sci, Evolut &amp; Ecol Res Ctr, Sydney, NSW 2052, Australia.</t>
  </si>
  <si>
    <t>g.clark@unsw.edu.au</t>
  </si>
  <si>
    <t>Fogwill, Chris/AAW-3502-2021; Fogwill, Christopher/HPF-1150-2023; Marzinelli, Ezequiel/AAH-2906-2019; Johnston, Emma/AAC-2878-2022; Turney, Chris S M/P-8701-2018; Clark, Graeme/M-6448-2017</t>
  </si>
  <si>
    <t>Fogwill, Chris/0000-0002-6471-1106; Marzinelli, Ezequiel/0000-0002-3762-3389; Johnston, Emma/0000-0002-2117-366X; Clark, Graeme/0000-0002-0230-6631</t>
  </si>
  <si>
    <t>10.1007/s00300-019-02591-4</t>
  </si>
  <si>
    <t>WOS:000500079300002</t>
  </si>
  <si>
    <t>La Mesa, M; Riginella, E; Jones, CD</t>
  </si>
  <si>
    <t>La Mesa, Mario; Riginella, Emilio; Jones, Christopher D.</t>
  </si>
  <si>
    <t>Spatial distribution and population structure of juvenile Antarctic toothfish (Dissostichus mawsoni) in the South Shetland Islands</t>
  </si>
  <si>
    <t>ROSS SEA; AGE; PRECISION; GROWTH</t>
  </si>
  <si>
    <t>As most of biological and ecological features of the Antarctic toothfish have been provided almost exclusively by the recent fishery exploitation in the Ross Sea targeting adult fishes, the early life history of this species is fragmentary and still needs to be fully addressed. Aiming to fill this gap, we provide new insights on the spatial distribution and population structure of juvenile D. mawsoni caught during bottom trawl surveys on the shelves around the South Shetland Islands (CCAMLR Subarea 48.1). Juveniles were relatively evenly distributed on the northern shelf of the South Shetlands and all around Elephant Island, with a few specimens caught in the Bransfield Strait. Although the specimens were caught in all depth strata surveyed, they were most abundant between 100 and 300 m depth, with an evident shift towards deeper waters with ontogeny. The sampled population consisted of 150 juveniles measuring between 22 and 78 cm TL, equally distributed between sexes, most of them with gonads at an immature stage of maturity. Both sexes showed a positive allometric body growth, indicating healthy body condition. Based on counts of annual growth increments from sagittal otolith sections, age estimates ranged between 2 and 7 years in males and between 2 and 8 years in females, respectively. Annual growth rate was estimated from the age-length keys, spanning from 5 to 10 cm TL. Integrating population structure with early life history of juvenile D. mawsoni, we provide some indication on connectivity between the investigated nursery area and potential neighbouring spawning areas.</t>
  </si>
  <si>
    <t>[La Mesa, Mario] CNR, Inst Polar Sci, Area Ric Bologna, Via P Gobetti 101, I-40129 Bologna, Italy; [Riginella, Emilio] Zool Stn Anton Dohrn, Dept Integrat Marine Ecol, I-80121 Naples, Italy; [Jones, Christopher D.] NOAA, Southwest Fisheries Sci Ctr, Natl Marine Fisheries Serv, La Jolla Shores Dr, La Jolla, CA 92037 USA</t>
  </si>
  <si>
    <t>Consiglio Nazionale delle Ricerche (CNR); Istituto di Scienze Polari (ISP-CNR); Stazione Zoologica Anton Dohrn di Napoli; National Oceanic Atmospheric Admin (NOAA) - USA</t>
  </si>
  <si>
    <t>La Mesa, M (corresponding author), CNR, Inst Polar Sci, Area Ric Bologna, Via P Gobetti 101, I-40129 Bologna, Italy.</t>
  </si>
  <si>
    <t>mario.lamesa@cnr.it</t>
  </si>
  <si>
    <t>Riginella, Emilio/Q-2987-2019</t>
  </si>
  <si>
    <t>Riginella, Emilio/0000-0002-1442-8310</t>
  </si>
  <si>
    <t>10.1007/s00300-019-02602-4</t>
  </si>
  <si>
    <t>WOS:000500079300006</t>
  </si>
  <si>
    <t>Wang, XF; Shi, CJ; Chen, GF; Jiang, J; Zhang, CS; Qiao, YP; Ju, Y; Wang, RQ; Kan, GF; Wei, HR; Zhu, FF</t>
  </si>
  <si>
    <t>Wang, Xiaofei; Shi, Cuijuan; Chen, Guofu; Jiang, Jie; Zhang, Chengsheng; Qiao, Yongping; Ju, Yun; Wang, Ruiqi; Kan, Guangfeng; Wei, Haoruo; Zhu, FanFan</t>
  </si>
  <si>
    <t>Characterization of recombinant glutathione reductase from Antarctic yeast Rhodotorula mucilaginosa</t>
  </si>
  <si>
    <t>Glutathione reductase; Recombinant protein; Antarctic yeast; Metal tolerance</t>
  </si>
  <si>
    <t>SP ICE-L; MOLECULAR-CLONING; ENCODING GLUTATHIONE; EXPRESSION ANALYSIS; HEAVY-METALS; GENE; STRESS; CADMIUM; LEAVES; DETOXIFICATION</t>
  </si>
  <si>
    <t>Glutathione reductase (GR) catalyzes the reduction of glutathione disulfide, which helps to maintain a cellular reducing environment during stress in organisms. However, GR of polar yeast has not been well-characterized so far. To fully understand the molecular and enzymatic properties of GR from extreme area and broaden its knowledge, a cDNA-encoding GR from Antarctic sea-ice yeast Rhodotorula mucilaginosa (designated as RmGR) was cloned and expressed in Escherichia coli. The open reading frame of RmGR was 1500 bp, encoding an enzyme of 499 amino acids with a predicted pI of 6.07 and molecular weight of 54.8 kDa. SDS-PAGE and gel filtration analysis results showed that the RmGR was a homodimer. Conserved sequence analysis revealed that RmGR behaved typical characteristics of GR, containing a pyridine nucleotide-disulfide oxidoreductase active site, a flavin adenine dinucleotide (FAD), and reduced nicotinamide adenine dinucleotide phosphate (NADPH) binding motifs and two glutathione oxidized binding motifs. The recombinant enzyme displayed relatively high stability at pH 3.0-6.0 and 20-40 degrees C with optimal enzymatic activity at 30 degrees C and pH 7.5. Real-time quantitative PCR data showed that the expression of RmGR gene was upregulated after copper treatment of yeast cells. Moreover, RmGR-transformed E. coli exhibited stronger growth profiles than cells with an empty vector after copper and cadmium treatment. Our results demonstrated the possible function of RmGR in adaptation to heavy metals and its potential application in heterologous expression systems.</t>
  </si>
  <si>
    <t>[Wang, Xiaofei; Shi, Cuijuan; Chen, Guofu; Jiang, Jie; Ju, Yun; Wang, Ruiqi; Kan, Guangfeng; Wei, Haoruo; Zhu, FanFan] Harbin Inst Technol Weihai, Sch Marine Sci &amp; Technol, Weihai, Shandong, Peoples R China; [Zhang, Chengsheng] Chinese Acad Agr Sci, Tobacco Res Inst, Key Lab Tobacco Pest Monitoring &amp; Integrated Mana, Qingdao, Shandong, Peoples R China; [Qiao, Yongping] Wendeng Osteopath Hosp, Wendeng, Shandong, Peoples R China</t>
  </si>
  <si>
    <t>Harbin Institute of Technology; Chinese Academy of Agricultural Sciences; Tobacco Research Institute, CAAS</t>
  </si>
  <si>
    <t>Kan, GF (corresponding author), Harbin Inst Technol Weihai, Sch Marine Sci &amp; Technol, Weihai, Shandong, Peoples R China.</t>
  </si>
  <si>
    <t>gfkan@hit.edu.cn</t>
  </si>
  <si>
    <t>zhu, fan/HMK-5557-2023; Wei, Haoruo/HTR-0513-2023; zhao, ying/ISA-2502-2023</t>
  </si>
  <si>
    <t>kan, Guangfeng/0000-0002-5357-7204</t>
  </si>
  <si>
    <t>10.1007/s00300-019-02603-3</t>
  </si>
  <si>
    <t>WOS:000500079300007</t>
  </si>
  <si>
    <t>Moore, BR</t>
  </si>
  <si>
    <t>Moore, Bradley R.</t>
  </si>
  <si>
    <t>Age-based life history of humpback red snapper, Lutjanus gibbus, in New Caledonia</t>
  </si>
  <si>
    <t>age; demography; growth; Lutjanidae; mortality; reproduction</t>
  </si>
  <si>
    <t>GREAT-BARRIER-REEF; KIMBERLEY COAST; METABOLIC THEORY; EMPEROR SNAPPER; MORTALITY-RATES; FORSSKAL 1775; GROWTH; VALIDATION; SEBAE; CARPONOTATUS</t>
  </si>
  <si>
    <t>This paper examines the life history of humpback red snapper Lutjanus gibbus, an important fishery species for coastal communities across the Indo-Pacific, in southern New Caledonia, where the species is lightly exploited. A total of 243 L. gibbus were sampled between January 2013 and December 2016 from occasional harvests of commercial fishers. Examination of sectioned otoliths revealed that opaque increment formation occurred annually between November and March, coinciding with the species' spawning season. Estimates of maximum age were similar between sexes, with observed ages of 38 and 36 years for females and males, respectively, extending the reported longevity of this species by at least 11 years. Growth differed significantly between sexes, with males reaching greater length at age and greater asymptotic length than females (38.88 v. 31.46 cm fork length (L-F). Total mortality for all samples was estimated as 0.13 and was slightly higher for males (0.16) than females (0.11). Estimates of natural and fishing mortality were low and slightly higher for males than females. Male L. gibbus were found to mature at slightly greater lengths and younger ages than females, with the length and age at which 50% of individuals attained maturity estimated to be 25.8 cm L-F and 3.9 years of age for females and 26.8 cm L-F and 3.4 years of age for males. The results provide key baseline information from which to assess the effect of fishing on the species for populations in New Caledonia and adjacent locations and, when viewed with those of other studies, highlight the importance of understanding spatial patterns in demography of harvested fish species across gradients of exploitation and environmental influences.</t>
  </si>
  <si>
    <t>[Moore, Bradley R.] Pacific Community SPC, Fisheries Programme, Noumea, New Caledonia; [Moore, Bradley R.] Univ Tasmania, Inst Marine &amp; Antarctic Studies, Hobart, Tas 7001, Australia</t>
  </si>
  <si>
    <t>Moore, BR (corresponding author), Pacific Community SPC, Fisheries Programme, Noumea, New Caledonia.;Moore, BR (corresponding author), Univ Tasmania, Inst Marine &amp; Antarctic Studies, Hobart, Tas 7001, Australia.</t>
  </si>
  <si>
    <t>bradley.moore@utas.edu.au</t>
  </si>
  <si>
    <t>Moore, Bradley/0000-0001-8645-6778</t>
  </si>
  <si>
    <t>10.1111/jfb.14142</t>
  </si>
  <si>
    <t>JR7FW</t>
  </si>
  <si>
    <t>WOS:000499787600003</t>
  </si>
  <si>
    <t>Alurralde, G; Fuentes, VL; Maggioni, T; Movilla, J; Olariaga, A; Orejas, C; Schloss, IR; Tatián, M</t>
  </si>
  <si>
    <t>Alurralde, Gaston; Fuentes, Veronica L.; Maggioni, Tamara; Movilla, Juancho; Olariaga, Alejandro; Orejas, Covadonga; Schloss, Irene R.; Tatian, Marcos</t>
  </si>
  <si>
    <t>Role of suspension feeders in antarctic pelagic-benthic coupling: Trophic ecology and potential carbon sinks under climate change</t>
  </si>
  <si>
    <t>MARINE ENVIRONMENTAL RESEARCH</t>
  </si>
  <si>
    <t>Potter cove; Euphausia superba; Cnemidocarpa verrucosa; Absorption efficiency; Faecal production; Biodeposition; Carbon sink</t>
  </si>
  <si>
    <t>KING-GEORGE-ISLAND; SOUTH SHETLAND ISLANDS; ASCIDIAN CNEMIDOCARPA-VERRUCOSA; ZOOPLANKTON FECAL PELLETS; POTTER COVE; EUPHAUSIA-SUPERBA; FILTER-FEEDERS; PARTICLE-FLUX; PHYSIOLOGICAL ENERGETICS; ASSIMILATION EFFICIENCY</t>
  </si>
  <si>
    <t>Sea-ice and coastal glacier loss in the Western Antarctic Peninsula open new ice-free areas. They allowing primary production and providing new seabed for colonisation, both acting as a negative feedback of climate change. However, the injection of sediment-laden runoff from the melting of land-terminating glaciers may reduce this feedback. Changes in particulate matter will affect nutrition and excretion (faeces stoichiometry and properties) of suspension feeders, reshaping coastal carbon dynamics and pelagic-benthic coupling. Absorption efficiency and biodeposition of Euphausia superba and Cnemidocarpa verrucosa were quantified for different food treatments and varying sediment concentrations. Both species showed high overall absorption efficiency for free-sediment diets, but were negatively affected by sediment addition. High sediment conditions increased krill biodeposition, while it decreased in ascidians. Energy balance estimation indicated high carbon sink potential in ascidians, but it is modulated by food characteristics and negatively affected by sediment inputs in the water column.</t>
  </si>
  <si>
    <t>[Alurralde, Gaston; Maggioni, Tamara; Tatian, Marcos] Univ Nacl Cordoba, Fac Ciencias Exactas Fis &amp; Nat, Dept Diversidad Biol &amp; Ecol, Ecol Marina, Cordoba, Argentina; [Alurralde, Gaston; Maggioni, Tamara; Tatian, Marcos] Consejo Nacl Invest Cient &amp; Tecn, IDEA, Cordoba, Argentina; [Fuentes, Veronica L.; Movilla, Juancho; Olariaga, Alejandro] CSIC, ICM, Barcelona, Spain; [Movilla, Juancho] Inst Espanol Oceanog, Ctr Oceanog Baleares, Estn Invest Jaume Ferrer, Mahon, Spain; [Orejas, Covadonga] Inst Espanol Oceanog, Ctr Oceanog Baleares, Palma De Mallorca, Mallorca, Spain; [Schloss, Irene R.] Inst Antartico Argentino, Buenos Aires, DF, Argentina; [Schloss, Irene R.] Consejo Nacl Invest Cient &amp; Tecn, Ctr Austral Invest Cient, Ushuaia, Argentina; [Schloss, Irene R.] Univ Nacl Tierra del Fuego, Ushuaia, Argentina</t>
  </si>
  <si>
    <t>National University of Cordoba; Consejo Nacional de Investigaciones Cientificas y Tecnicas (CONICET); Consejo Superior de Investigaciones Cientificas (CSIC); CSIC - Centro Mediterraneo de Investigaciones Marinas y Ambientales (CMIMA); CSIC - Instituto de Ciencias del Mar (ICM); Spanish Institute of Oceanography; Spanish Institute of Oceanography; Instituto Antartico Argentino; Consejo Nacional de Investigaciones Cientificas y Tecnicas (CONICET)</t>
  </si>
  <si>
    <t>Alurralde, G (corresponding author), Univ Nacl Cordoba, Fac Ciencias Exactas Fis &amp; Nat, Dept Diversidad Biol &amp; Ecol, Ecol Marina, Cordoba, Argentina.</t>
  </si>
  <si>
    <t>mitocondriarevelde@gmail.com</t>
  </si>
  <si>
    <t>Alurralde, Gastón/IVV-4732-2023; Orejas, Covadonga/B-1644-2012</t>
  </si>
  <si>
    <t>Alurralde, Gastón/0000-0002-0332-3978; Movilla Martin, Juancho/0000-0003-4502-9088; Tatian, Marcos/0000-0002-9092-9184</t>
  </si>
  <si>
    <t>Total Foundation (ECLIPSE Project), Argentinean funds [PICT-Rafces 2011-1320, PICTO-DNA Ng 119]; European Commision [319718]; Universidad Nacional de Cordoba</t>
  </si>
  <si>
    <t>Total Foundation (ECLIPSE Project), Argentinean funds; European Commision; Universidad Nacional de Cordoba</t>
  </si>
  <si>
    <t>This project benefited from the financial support of the Total Foundation (ECLIPSE Project), Argentinean funds through PICT-Rafces 2011-1320 to IS, PICTO-DNA Ng 119. It has been additionally supported by the European Commision under the 7th Framework Programme through the Action IMCONet (FP7 IRSES, action no. 319718). It is a contribution to the Coastal Ecology Monitoring programme of Institute Antartico Argentino/DirecciOn Nacional del Antartico in Carlini Station and the research program PACES II (topic 1, work package 5) of the Alfred Wegener Institute. GA and TM received a PhD scholarship (CONICET) at the Universidad Nacional de Cordoba.</t>
  </si>
  <si>
    <t>0141-1136</t>
  </si>
  <si>
    <t>1879-0291</t>
  </si>
  <si>
    <t>MAR ENVIRON RES</t>
  </si>
  <si>
    <t>Mar. Environ. Res.</t>
  </si>
  <si>
    <t>10.1016/j.marenvres.2019.104790</t>
  </si>
  <si>
    <t>Environmental Sciences; Marine &amp; Freshwater Biology; Toxicology</t>
  </si>
  <si>
    <t>Environmental Sciences &amp; Ecology; Marine &amp; Freshwater Biology; Toxicology</t>
  </si>
  <si>
    <t>JR6MI</t>
  </si>
  <si>
    <t>WOS:000499736700004</t>
  </si>
  <si>
    <t>Bressac, M; Guieu, C; Ellwood, MJ; Tagliabue, A; Wagener, T; Laurenceau-Cornec, EC; Whitby, H; Sarthou, G; Boyd, PW</t>
  </si>
  <si>
    <t>Bressac, M.; Guieu, C.; Ellwood, M. J.; Tagliabue, A.; Wagener, T.; Laurenceau-Cornec, E. C.; Whitby, H.; Sarthou, G.; Boyd, P. W.</t>
  </si>
  <si>
    <t>Resupply of mesopelagic dissolved iron controlled by particulate iron composition</t>
  </si>
  <si>
    <t>POLAR FRONTAL ZONES; DUST-DEPOSITION; SOUTHERN-OCEAN; MEDITERRANEAN SEA; SEDIMENT TRAP; CARBON SEQUESTRATION; REMINERALIZATION; BIOGEOCHEMISTRY; FLUXES; EXPORT</t>
  </si>
  <si>
    <t>The dissolved iron supply controls half of the oceans' primary productivity. Resupply by the remineralization of sinking particles, and subsequent vertical mixing, largely sustains this productivity. However, our understanding of the drivers of dissolved iron resupply, and their influence on its vertical distribution across the oceans, is still limited due to sparse observations. There is a lack of empirical evidence as to what controls the subsurface iron remineralization due to difficulties in studying mesopelagic biogeochemistry. Here we present estimates of particulate transformations to dissolved iron, concurrent oxygen consumption and iron-binding ligand replenishment based on in situ mesopelagic experiments. Dissolved iron regeneration efficiencies (that is, replenishment over oxygen consumption) were 10- to 100-fold higher in low-dust subantarctic waters relative to higher-dust Mediterranean sites. Regeneration efficiencies are heavily influenced by particle composition. Their make-up dictates ligand release, controls scavenging, modulates ballasting and may lead to the differential remineralization of biogenic versus lithogenic iron. At high-dust sites, these processes together increase the iron remineralization length scale. Modelling reveals that in oceanic regions near deserts, enhanced lithogenic fluxes deepen the ferricline, which alter the vertical patterns of dissolved iron replenishment, and set its redistribution at the global scale. Such wide-ranging regeneration efficiencies drive different vertical patterns in dissolved iron replenishment across oceanic provinces.</t>
  </si>
  <si>
    <t>[Bressac, M.; Laurenceau-Cornec, E. C.; Boyd, P. W.] Univ Tasmania, Inst Marine &amp; Antarct Studies, Hobart, Tas, Australia; [Bressac, M.; Guieu, C.] Sorbonne Univ, CNRS, LOV, Villefranche Sur Mer, France; [Guieu, C.] New York Univ Abu Dhabi, Ctr Prototype Climate Modeling, Abu Dhabi, U Arab Emirates; [Ellwood, M. J.] Australian Natl Univ, Res Sch Earth Sci, Canberra, ACT, Australia; [Tagliabue, A.] Univ Liverpool, Sch Environm Sci, Dept Earth Ocean &amp; Ecol Sci, Liverpool, Merseyside, England; [Wagener, T.] Univ Toulon &amp; Var, Aix Marseille Univ, CNRS, IRD,MIO,UM 110, Marseille, France; [Whitby, H.; Sarthou, G.] IFREMER, CNRS, UMR 6539, LEMAR,IUEM,UBO,IRD, Technopole Brest Iroise, Plouzane, France; [Boyd, P. W.] Univ Tasmania, Antarctic Climate &amp; Ecosyst Collaborat Res Ctr, Hobart, Tas, Australia</t>
  </si>
  <si>
    <t>University of Tasmania; Centre National de la Recherche Scientifique (CNRS); Sorbonne Universite; New York University Abu Dhabi; Australian National University; University of Liverpool; Centre National de la Recherche Scientifique (CNRS); Aix-Marseille Universite; Institut de Recherche pour le Developpement (IRD); Universite de Toulon; Centre National de la Recherche Scientifique (CNRS); Ifremer; Institut de Recherche pour le Developpement (IRD); Universite de Bretagne Occidentale; Institut Universitaire Europeen de la Mer (IUEM); University of Tasmania</t>
  </si>
  <si>
    <t>Bressac, M (corresponding author), Univ Tasmania, Inst Marine &amp; Antarct Studies, Hobart, Tas, Australia.;Bressac, M (corresponding author), Sorbonne Univ, CNRS, LOV, Villefranche Sur Mer, France.</t>
  </si>
  <si>
    <t>matthieu.bressac@utas.edu.au</t>
  </si>
  <si>
    <t>Whitby, Hannah/ABC-3398-2020; Ellwood, Michael J/G-7390-2011; Guieu, Cecile/AAU-6883-2021; Boyd, Philip/J-7624-2014</t>
  </si>
  <si>
    <t>Guieu, Cecile/0000-0001-6373-8326; Sarthou, Geraldine/0000-0001-6560-6669; Tagliabue, Alessandro/0000-0002-3572-3634; Ellwood, Michael/0000-0003-4288-8530; Laurenceau-Cornec, Emmanuel/0000-0002-4041-4377; Boyd, Philip/0000-0001-7850-1911; Whitby, Hannah/0000-0002-0064-3052; wagener, thibaut/0000-0002-3968-0678; Bressac, Matthieu/0000-0003-3075-3137</t>
  </si>
  <si>
    <t>Marie Sklodowska-Curie Postdoctoral European Fellowship (European Union Seventh Framework Programme (FP7/2007-2013)) [PIOF-GA-2012-626734]; CNRS-INSU; IFREMER; CEA; Meteo-France as part of the programme MISTRALS; Australian Research Council [FL160100131, DP170102108]; NERC [NE/M020835/1, NE/M020835/2] Funding Source: UKRI</t>
  </si>
  <si>
    <t>Marie Sklodowska-Curie Postdoctoral European Fellowship (European Union Seventh Framework Programme (FP7/2007-2013))(European Union (EU)Marie Curie Actions); CNRS-INSU(Centre National de la Recherche Scientifique (CNRS)); IFREMER; CEA(French Atomic Energy Commission); Meteo-France as part of the programme MISTRALS; Australian Research Council(Australian Research Council); NERC(UK Research &amp; Innovation (UKRI)Natural Environment Research Council (NERC))</t>
  </si>
  <si>
    <t>We thank the captains and crew of the RV Investigator and RV Pourquoi Pas?, the CSIRO and DT INSU teams for the design and preparation of the mooring line and C. Young and P. Waller for building the TM-RESPIRE. The CSIRO Hydrochemistry team, S. Albani, N. Bhairy, E. Cavan, X. Chan, G. De Liege, J. Derrick, K. Desboeufs, F. D'Ortenzio, A. Dufour, M. Garel, J. Guittonneau, N. Haentjens, S. Helias Nunige, S. Jacquet, P. Jansen, N. Leblond, D. Lefevre, H. Planquette, C. Ridame, G. Rougier, V. Tallendier, C. Tamburini, A. Tovar-Sanchez and T. Trull, are thanked for their help at sea and/or samples analysis. This project was funded by a Marie Sklodowska-Curie Postdoctoral European Fellowship awarded to M.B. (European Union Seventh Framework Programme (FP7/2007-2013) under grant agreement no. PIOF-GA-2012-626734 (IRON-IC project)). This study is a contribution to the PEACETIME project (http://peacetime-project.org), a joint initiative of the MERMEX and ChArMEx components supported by CNRS-INSU, IFREMER, CEA and Meteo-France as part of the programme MISTRALS coordinated by INSU. This study was also partly funded by the Australian Research Council by a Laureate awarded to P.W.B. (FL160100131) and a Discovery project awarded to M.J.E. and P.W.B. (DP170102108).</t>
  </si>
  <si>
    <t>10.1038/s41561-019-0476-6</t>
  </si>
  <si>
    <t>WOS:000499653700009</t>
  </si>
  <si>
    <t>Rivière, P; Jaud, T; Siegelman, L; Klein, P; Cotté, C; Le Sommer, J; Dencausse, G; Guinet, C</t>
  </si>
  <si>
    <t>Riviere, Pascal; Jaud, Thomas; Siegelman, Lia; Klein, Patrice; Cotte, Cedric; Le Sommer, Julien; Dencausse, Guillaume; Guinet, Christophe</t>
  </si>
  <si>
    <t>Sub-mesoscale fronts modify elephant seals foraging behavior</t>
  </si>
  <si>
    <t>LIMNOLOGY AND OCEANOGRAPHY LETTERS</t>
  </si>
  <si>
    <t>CALIFORNIA CURRENT SYSTEM; SUBMESOSCALE TRANSITION; MIROUNGA-LEONINA; SOUTHERN; TEMPERATURE; TURBULENCE</t>
  </si>
  <si>
    <t>Sub-mesoscale fronts-with scales from 1 to 50 km are ubiquitous in satellite images of the world oceans. They are known to generate strong vertical velocities with significant impacts on biogeochemical fluxes and pelagic ecosystems. Here, we use a unique data set, combining high-resolution behavioral and physical measurements, to determine the effects of sub-mesoscale structures on the foraging behavior of 12 instrumented female southern elephant seals. These marine mammals make long voyages (several months over more than 2000 km), diving and feeding continuously in the Antarctic Circumpolar Current. Our results show that elephant seals change their foraging behavior when crossing sub-mesoscale fronts: They forage more and at shallower depths inside sub-mesoscale fronts compared to nonfrontal areas, and they also reduce their horizontal velocity likely to concentrate on their vertical diving activity. The results highlight the importance of sub-mesoscale fronts in enhancing prey accessibility for upper trophic levels, and suggest that trophic interactions are stimulated in these structures.</t>
  </si>
  <si>
    <t>[Riviere, Pascal; Jaud, Thomas; Siegelman, Lia] Univ Brest, CNRS, Lab Sci Environm MARin LEMAR, UMR 6539,IRD,Ifremer IUEM, Plouzane, France; [Siegelman, Lia; Klein, Patrice] CALTECH, Jet Prop Lab, Pasadena, CA USA; [Siegelman, Lia; Klein, Patrice] CALTECH, Dept Environm Sci &amp; Engn, Pasadena, CA 91125 USA; [Klein, Patrice; Dencausse, Guillaume] Univ Brest, LOPS, UMR 6523, CNRS,Ifremer,IRD IUEM, Brest, France; [Cotte, Cedric] Univ Paris 06, UPMC, Sorbonne Univ, LOCEAN,CNRS,IRD,MNHN, Paris, France; [Le Sommer, Julien] Univ Grenoble Alpes, CNRS, IRD, IGE, Grenoble, France; [Guinet, Christophe] CNRS, CEBC, Chize, France</t>
  </si>
  <si>
    <t>Universite de Bretagne Occidentale; Centre National de la Recherche Scientifique (CNRS); Ifremer; Institut de Recherche pour le Developpement (IRD); CNRS - Institute of Ecology &amp; Environment (INEE); National Aeronautics &amp; Space Administration (NASA); NASA Jet Propulsion Laboratory (JPL); California Institute of Technology; California Institute of Technology; Universite de Bretagne Occidentale; Centre National de la Recherche Scientifique (CNRS); CNRS - National Institute for Earth Sciences &amp; Astronomy (INSU); Ifremer; Institut de Recherche pour le Developpement (IRD); Sorbonne Universite; Centre National de la Recherche Scientifique (CNRS); Museum National d'Histoire Naturelle (MNHN); Institut de Recherche pour le Developpement (IRD); Communaute Universite Grenoble Alpes; Universite Grenoble Alpes (UGA); Institut de Recherche pour le Developpement (IRD); Centre National de la Recherche Scientifique (CNRS); Centre National de la Recherche Scientifique (CNRS)</t>
  </si>
  <si>
    <t>Rivière, P (corresponding author), Univ Brest, CNRS, Lab Sci Environm MARin LEMAR, UMR 6539,IRD,Ifremer IUEM, Plouzane, France.</t>
  </si>
  <si>
    <t>pascal.riviere@univ-brest.fr</t>
  </si>
  <si>
    <t>Klein, Patrice/M-4279-2015; Guinet, Christophe/AAR-8457-2020; Cotté, Cédric/AAX-6120-2021; Le Sommer, Julien/ABG-8801-2021; Cotté, Cédric/Z-3243-2019; Cotte, Cedric/C-3296-2013</t>
  </si>
  <si>
    <t>Klein, Patrice/0000-0002-3089-3896; Cotté, Cédric/0000-0002-8307-6435; Le Sommer, Julien/0000-0002-6882-2938; Cotté, Cédric/0000-0002-8307-6435;</t>
  </si>
  <si>
    <t>joint CNES-Region Bretagne doctoral grant; NASA fellowship; SWOT mission; IPEV program [109]</t>
  </si>
  <si>
    <t>joint CNES-Region Bretagne doctoral grant; NASA fellowship; SWOT mission; IPEV program</t>
  </si>
  <si>
    <t>We thank Peter Gaube, Mike Fedack, Peter Franks, and the editor for providing very valuable remarks that considerably ameliorated the manuscript. We also thank Francesco d'Ovidio and Philippe Pondaven for useful discussions. This work was mostly carried out at LEMAR and partly at the Jet Propulsion Laboratory, California Institute of Technology under contract with the National Aeronautics and Space Administration. L.S. is supported by a joint CNES-Region Bretagne doctoral grant and is a JPL JVSRP affiliate. P.K. is supported by a NASA fellowship and the SWOT mission. Data set was provided by SNO-MEMO (CNRS, CNES, IPEV, http://www.meop.net/groups/france.html).We acknowledge Baptiste Picard (CEBC) for data processing and Sebastien Herve (IUEM) for his help in improving the figures. Field work was supported as part of IPEV program 109 (PI. H. Weimerskirch).</t>
  </si>
  <si>
    <t>2378-2242</t>
  </si>
  <si>
    <t>LIMNOL OCEANOGR LETT</t>
  </si>
  <si>
    <t>Limnol. Oceanogr. Lett.</t>
  </si>
  <si>
    <t>10.1002/lol2.10121</t>
  </si>
  <si>
    <t>Limnology; Marine &amp; Freshwater Biology; Oceanography</t>
  </si>
  <si>
    <t>JO5XQ</t>
  </si>
  <si>
    <t>WOS:000497651700002</t>
  </si>
  <si>
    <t>Teixeira, TR; dos Santos, GS; Armstrong, L; Colepicolo, P; Debonsi, HM</t>
  </si>
  <si>
    <t>Teixeira, Thaiz Rodrigues; dos Santos, Gustavo Souza; Armstrong, Lorene; Colepicolo, Pio; Debonsi, Hosana Maria</t>
  </si>
  <si>
    <t>Antitumor Potential of Seaweed Derived-Endophytic Fungi</t>
  </si>
  <si>
    <t>ANTIBIOTICS-BASEL</t>
  </si>
  <si>
    <t>endophytic fungi; seaweed; cytotoxicity; Marine Natural Products; marine biotechnology</t>
  </si>
  <si>
    <t>NATURAL-PRODUCTS; SECONDARY METABOLITES; DRUG DISCOVERY; NITROBENZOYL SESQUITERPENOIDS; MOLECULAR NETWORKING; IN-VITRO; MARINE; CLADOSPOROL; FERMENTATION; DIVERSITY</t>
  </si>
  <si>
    <t>The marine environment presents a high biodiversity and a valuable source of bioactive compounds with therapeutic and biotechnological potential. Among the organisms present in marine environment, the endophytic fungi isolated from seaweed stand out. These microorganisms have aroused interest in the scientific community regarding its various activities such as antiviral, antimicrobial, antioxidant, photoprotective, cytotoxic, genotoxic, anti-inflammatory, and anticancer, besides establishing important ecological relations with its hosts. Anticancer molecules derived from marine natural sources are a promising target against different types of cancer. The disease's high rates of morbidity and mortality affect millions of people world wild and the search for new therapeutic alternatives is needed. Thus, this review partially summarizes the methodologies for the isolation of seaweed-derived endophytic fungi, as well as describes the anticancer compounds isolated from such microorganisms, reported in the literature from 2009 to the present. In addition, it describes how some biotechnological processes can help in the discovery of bioactive compounds, especially with anticancer activity.</t>
  </si>
  <si>
    <t>[Teixeira, Thaiz Rodrigues; dos Santos, Gustavo Souza; Debonsi, Hosana Maria] Univ Sao Paulo, Sch Pharmaceut Sci Ribeirao Preto, Dept Chem &amp; Phys, BR-14040903 Ribeirao Preto, SP, Brazil; [Armstrong, Lorene] Univ Estadual Ponta Grossa, Dept Pharmaceut Sci, BR-84030900 Ponta Grossa, PR, Brazil; [Colepicolo, Pio] Univ Sao Paulo, Dept Biochem, Inst Chem, BR-05508000 Sao Paulo, SP, Brazil</t>
  </si>
  <si>
    <t>Universidade de Sao Paulo; Universidade Estadual de Ponta Grossa; Universidade de Sao Paulo</t>
  </si>
  <si>
    <t>Debonsi, HM (corresponding author), Univ Sao Paulo, Sch Pharmaceut Sci Ribeirao Preto, Dept Chem &amp; Phys, BR-14040903 Ribeirao Preto, SP, Brazil.</t>
  </si>
  <si>
    <t>thaiz_rt@hotmail.com; gustavosouzasantoos@gmail.com; lorenearmstrong@hotmail.com; piocolep@iq.usp.br; hosana@fcfrp.usp.br</t>
  </si>
  <si>
    <t>Fapesp, Biota/F-8655-2017; Teixeira, Thaiz R/L-1601-2016; Teixeira, Thaiz R/JCD-9187-2023; Armstrong, Lorene/J-6060-2014; Santos, Gustavo/M-7752-2017; Debonsi, Hosana/C-6120-2012</t>
  </si>
  <si>
    <t>Fapesp, Biota/0000-0002-9887-8449; Armstrong, Lorene/0000-0003-4078-8990; Santos, Gustavo/0000-0002-7288-2466; Debonsi, Hosana/0000-0002-4888-0217; Rodrigues Teixeira, Thaiz/0000-0001-9514-3327</t>
  </si>
  <si>
    <t>Brazilian Antarctic Program [PROANTAR/MCT/CNPq N64/2013]; Brazilian Marine Force, National Institute of Science and Technology (INCT: BioNat) [465637/2014-0]; State of Sao Paulo Research Foundation (FAPESP) [2014/50926-0, 2016/06931-4]</t>
  </si>
  <si>
    <t>Brazilian Antarctic Program; Brazilian Marine Force, National Institute of Science and Technology (INCT: BioNat); State of Sao Paulo Research Foundation (FAPESP)(Fundacao de Amparo a Pesquisa do Estado de Sao Paulo (FAPESP))</t>
  </si>
  <si>
    <t>This study had financial and logistic support from the Brazilian Antarctic Program (PROANTAR/MCT/CNPq N64/2013) and Brazilian Marine Force, National Institute of Science and Technology (INCT: BioNat), Grant #465637/2014-0, and the State of Sao Paulo Research Foundation (FAPESP), Grants #2014/50926-0 and #2016/06931-4.</t>
  </si>
  <si>
    <t>2079-6382</t>
  </si>
  <si>
    <t>Antibiotics-Basel</t>
  </si>
  <si>
    <t>10.3390/antibiotics8040205</t>
  </si>
  <si>
    <t>Infectious Diseases; Pharmacology &amp; Pharmacy</t>
  </si>
  <si>
    <t>KB7OC</t>
  </si>
  <si>
    <t>WOS:000506678800050</t>
  </si>
  <si>
    <t>Zawierucha, K; Buda, J; Azzoni, RS; Niskiewicz, M; Franzetti, A; Ambrosini, R</t>
  </si>
  <si>
    <t>Zawierucha, Krzysztof; Buda, Jakub; Azzoni, Roberto Sergio; Niskiewicz, Malgorzata; Franzetti, Andrea; Ambrosini, Roberto</t>
  </si>
  <si>
    <t>Water bears dominated cryoconite hole ecosystems: densities, habitat preferences and physiological adaptations of Tardigrada on an alpine glacier</t>
  </si>
  <si>
    <t>AQUATIC ECOLOGY</t>
  </si>
  <si>
    <t>Cryobiosis; Cryoconite holes; Desiccation; Dispersal; Dirt cones; Extremophiles; Supraglacial habitats</t>
  </si>
  <si>
    <t>TERM ANHYDROBIOTIC SURVIVAL; ANTARCTIC DRY VALLEYS; MESENCHYTRAEUS-SOLIFUGUS; BACTERIAL COMMUNITIES; ICE; DIVERSITY; INVERTEBRATES; PATTERNS; SOIL; MICROMETAZOANS</t>
  </si>
  <si>
    <t>We investigated the Forni Glacier and the surrounding area in the Alps in terms of habitat preferences, densities, dispersal and desiccation tolerance of glacier tardigrades, which are one of the most common faunal representatives and top consumers in supraglacial ecosystems. To do so, we sampled supraglacial environments (cryoconite holes, debris from ice surface, dirt cones and moraine, mosses from supraglacial stones) and non-glacial habitats (mosses, freshwater sediments and algae), and we installed air traps on the glacier and the nearby area. We found that cryoconite holes on the Forni Glacier are exclusively dominated by one metazoan group of tardigrades, representing one species, Hypsibius klebelsbergi (identified by morphological and molecular approaches). Tardigrades were found in 100% of cryoconite holes and wet supraglacial sediment samples and reached up to 172 ind./ml. Additionally, we found glacier tardigrades in debris from dirt cones and sparsely in supraglacial mosses. Glacier tardigrades were absent from freshwater and terrestrial samples collected from non-glacial habitats. Despite the fact that H. klebelsbergi is a typical aquatic species, we showed it withstands desiccation in sediments, but in low temperatures only. Treatments conducted in higher temperatures and water only showed low or no recovery. We suspect successful dispersal with wind might have taken place only when tardigrades desiccated in sediments and were passively transported by cold wind. Limited ability to withstand high temperatures and desiccation may be potential barriers preventing glacier tardigrades inhabiting new, even apparently suitable high mountain water bodies like temporary rock pools.</t>
  </si>
  <si>
    <t>[Zawierucha, Krzysztof; Buda, Jakub] Adam Mickiewicz Univ, Dept Anim Taxon &amp; Ecol, Uniwersytetu Poznanskiego 6, PL-61614 Poznan, Poland; [Azzoni, Roberto Sergio; Ambrosini, Roberto] Univ Milan, Dept Environm Sci &amp; Policy, Via Celoria 26, I-20133 Milan, Italy; [Niskiewicz, Malgorzata] Adam Mickiewicz Univ, Evolutionary Biol Grp, Uniwersytetu Poznanskiego 6, PL-61614 Poznan, Poland; [Franzetti, Andrea] Univ Milano Bicocca, Dept Earth &amp; Environm Sci DISAT, Piazza Sci 1, I-20126 Milan, Italy</t>
  </si>
  <si>
    <t>Adam Mickiewicz University; University of Milan; Adam Mickiewicz University; University of Milano-Bicocca</t>
  </si>
  <si>
    <t>Zawierucha, K (corresponding author), Adam Mickiewicz Univ, Dept Anim Taxon &amp; Ecol, Uniwersytetu Poznanskiego 6, PL-61614 Poznan, Poland.</t>
  </si>
  <si>
    <t>k.p.zawierucha@gmail.com</t>
  </si>
  <si>
    <t>Zawierucha, Krzysztof/HTP-6506-2023; Buda, Jakub/ABE-5873-2021; Franzetti, Andrea/A-6666-2008; Zawierucha, Krzysztof/HDN-5985-2022; Ambrosini, Roberto/F-3188-2012</t>
  </si>
  <si>
    <t>Franzetti, Andrea/0000-0003-1279-9940; Zawierucha, Krzysztof/0000-0002-0754-1411; Ambrosini, Roberto/0000-0002-7148-1468; Buda, Jakub/0000-0002-4584-5897</t>
  </si>
  <si>
    <t>[NCN 2018/31/B/NZ8/00198]</t>
  </si>
  <si>
    <t>Authors would like to thanks professor Diane Nelson and second anonymous reviewer for their comments and improvements of manuscript. K.Z. would like to thanks Lukasz Michalczyk for consultation on laboratory experiment design and Nicoletta Makowska for help during pilot study. Studies on tardigrades on Forni are conducted within project NCN 2018/31/B/NZ8/00198 to K.Z.</t>
  </si>
  <si>
    <t>1386-2588</t>
  </si>
  <si>
    <t>1573-5125</t>
  </si>
  <si>
    <t>AQUAT ECOL</t>
  </si>
  <si>
    <t>Aquat. Ecol.</t>
  </si>
  <si>
    <t>10.1007/s10452-019-09707-2</t>
  </si>
  <si>
    <t>Ecology; Limnology; Marine &amp; Freshwater Biology</t>
  </si>
  <si>
    <t>JL0RE</t>
  </si>
  <si>
    <t>WOS:000495242000003</t>
  </si>
  <si>
    <t>Oelhaf, H; Sinnhuber, BM; Woiwode, W; Bönisch, H; Bozem, H; Engel, A; Fix, A; Friedl-Vallon, F; Grooss, JU; Hoor, P; Johansson, S; Jurkat-Witschas, T; Kaufmann, S; Krämer, M; Krause, J; Kretschmer, E; Lorks, D; Marsing, A; Orphal, J; Pfeilsticker, K; Pitts, M; Poole, L; Preusse, P; Rapp, M; Riese, M; Rolf, C; Ungermann, J; Voigt, C; Volk, CM; Wirth, M; Zahn, A; Ziereis, H</t>
  </si>
  <si>
    <t>Oelhaf, Hermann; Sinnhuber, Bjorn-Martin; Woiwode, Wolfgang; Boenisch, Harald; Bozem, Heiko; Engel, Andreas; Fix, Andreas; Friedl-Vallon, Felix; Grooss, Jens-Uwe; Hoor, Peter; Johansson, Sren; Jurkat-Witschas, Tina; Kaufmann, Stefan; Kraemer, Martina; Krause, Jens; Kretschmer, Erik; Lorks, Dominique; Marsing, Andreas; Orphal, Johannes; Pfeilsticker, Klaus; Pitts, Michael; Poole, Lamont; Preusse, Peter; Rapp, Markus; Riese, Martin; Rolf, Christian; Ungermann, Jrn; Voigt, Christiane; Volk, C. Michael; Wirth, Martin; Zahn, Andreas; Ziereis, Helmut</t>
  </si>
  <si>
    <t>Polstracc: Airborne Experiment for Studying the Polar Stratosphere in a Changing Climate with the High Altitude and Long Range Research Aircraft (HALO)</t>
  </si>
  <si>
    <t>BULLETIN OF THE AMERICAN METEOROLOGICAL SOCIETY</t>
  </si>
  <si>
    <t>NITRIC-ACID TRIHYDRATE; WATER-VAPOR MEASUREMENTS; MASS-SPECTROMETER AIMS; ANTARCTIC OZONE HOLE; IN-SITU MEASUREMENTS; ARCTIC WINTER; LOWERMOST STRATOSPHERE; CHLORINE ACTIVATION; UPPER TROPOSPHERE; GRAVITY-WAVES</t>
  </si>
  <si>
    <t>The Polar Stratosphere in a Changing Climate (POLSTRACC) mission employed the German High Altitude and Long Range Research Aircraft (HALO). The payload comprised an innovative combination of remote sensing and in situ instruments. The in situ instruments provided high-resolution observations of cirrus and polar stratospheric clouds (PSCs), a large number of reactive and long-lived trace gases, and temperature at the aircraft level. Information above and underneath the aircraft level was achieved by remote sensing instruments as well as dropsondes. The mission took place from 8 December 2015 to 18 March 2016, covering the extremely cold late December to early February period and the time around the major warming in the beginning of March. In 18 scientific deployments, 156 flight hours were conducted, covering latitudes from 25 degrees to 87 degrees N and maximum altitudes of almost 15 km, and reaching potential temperature levels of up to 410 K. Highlights of results include 1) new aspects of transport and mixing in the Arctic upper troposphere-lower stratosphere (UTLS), 2) detailed analyses of special dynamical features such as tropopause folds, 3) observations of extended PSCs reaching sometimes down to HALO flight levels at 13-14 km, 4) observations of particulate NOy and vertical redistribution of gas-phase NOy in the lowermost stratosphere (LMS), 5) significant chlorine activation and deactivation in the LMS along with halogen source gas observations, and 6) the partitioning and budgets of reactive chlorine and bromine along with a detailed study of the efficiency of ClOx/BrOx ozone loss cycle. Finally, we quantify-based on our results-the ozone loss in the 2015/16 winter and address the question of how extraordinary this Arctic winter was.</t>
  </si>
  <si>
    <t>[Oelhaf, Hermann; Sinnhuber, Bjorn-Martin; Woiwode, Wolfgang; Boenisch, Harald; Friedl-Vallon, Felix; Johansson, Sren; Kretschmer, Erik; Orphal, Johannes; Zahn, Andreas] Karlsruhe Inst Technol, Inst Meteorol &amp; Climate Res, Eggenstein Leopoldshafen, Germany; [Bozem, Heiko; Hoor, Peter; Krause, Jens; Voigt, Christiane] Johannes Gutenberg Univ Mainz, Inst Atmospher Phys, Mainz, Germany; [Engel, Andreas] Goethe Univ Frankfurt, Inst Atmospher &amp; Environm Sci, Frankfurt, Germany; [Fix, Andreas; Jurkat-Witschas, Tina; Kaufmann, Stefan; Marsing, Andreas; Rapp, Markus; Voigt, Christiane; Wirth, Martin; Ziereis, Helmut] German Aerosp Ctr DLR, Inst Atmospher Phys, Oberpfaffenhofen, Germany; [Grooss, Jens-Uwe; Kraemer, Martina; Preusse, Peter; Riese, Martin; Rolf, Christian; Ungermann, Jrn] Forschungszentrum Julich, Inst Energy &amp; Climate Res IEK7, Julich, Germany; [Lorks, Dominique; Pfeilsticker, Klaus] Heidelberg Univ, Inst Environm Phys, Heidelberg, Germany; [Pitts, Michael] NASA, Langley Res Ctr, Hampton, VA 23665 USA; [Poole, Lamont] Sci Syst &amp; Applicat Inc, Hampton, VA USA; [Volk, C. Michael] Univ Wuppertal, Inst Atmospher &amp; Environm Res, Wuppertal, Germany; [Krause, Jens] Excelitas Technol GmbH &amp; Co KG, Wiesbaden, Germany</t>
  </si>
  <si>
    <t>Helmholtz Association; Karlsruhe Institute of Technology; Johannes Gutenberg University of Mainz; Goethe University Frankfurt; Helmholtz Association; German Aerospace Centre (DLR); Helmholtz Association; Research Center Julich; Ruprecht Karls University Heidelberg; National Aeronautics &amp; Space Administration (NASA); NASA Langley Research Center; Science Systems and Applications Inc; University of Wuppertal</t>
  </si>
  <si>
    <t>Oelhaf, H; Sinnhuber, BM (corresponding author), Karlsruhe Inst Technol, Inst Meteorol &amp; Climate Res, Eggenstein Leopoldshafen, Germany.</t>
  </si>
  <si>
    <t>hermann.oelhaf@kit.edu; bjoern-martin.sinnhuber@kit.edu</t>
  </si>
  <si>
    <t>Engel, Andreas/E-3100-2014; 1294, HALO SPP/AAA-7658-2021; Rolf, Christian/K-5275-2016; hoor, peter m/G-5421-2010; Riese, Martin/A-3927-2013; Orphal, Johannes/A-8667-2012; Zahn, Andreas/K-2567-2012; Marsing, Andreas/KHU-2761-2024; Preusse, Peter/A-1193-2013; Friedl-Vallon, Felix/AAE-7289-2022; Krämer, Martina/A-7482-2013; Ungermann, Jörn/K-7776-2012; Johansson, Sören/AAF-9672-2020; Bozem, Heiko/O-2702-2016; Voigt, Christiane/G-3279-2010; Rapp, Markus/K-6081-2015; Sinnhuber, Bjorn-Martin/A-7007-2013</t>
  </si>
  <si>
    <t>Rolf, Christian/0000-0001-5329-0054; hoor, peter m/0000-0001-6582-6864; Riese, Martin/0000-0001-6398-6493; Zahn, Andreas/0000-0003-3153-3451; Friedl-Vallon, Felix/0000-0003-2016-2800; Krämer, Martina/0000-0002-2888-1722; Ungermann, Jörn/0000-0001-9095-8332; Johansson, Sören/0000-0002-9642-1955; Rapp, Markus/0000-0003-1508-5900; Sinnhuber, Bjorn-Martin/0000-0001-9608-7320; Orphal, Johannes/0000-0002-1943-4496; Bonisch, Harald/0000-0002-1004-0861</t>
  </si>
  <si>
    <t>Deutsche Forschungsgemeinschaft (DFG, German Research Foundation) within the Priority Program Atmospheric and Earth System Research with the High Altitude and Long Range Research Aircraft (HALO) [SPP 1294, EN 367/13-1, HO 4225/7-1, VO1504/4-1, JU3095-1/1, PF-384/7-1, PF-384/7-2, PF384/9-1, PF384/9-2, PF-384/16-1, VO 1530/4-1, WO 2160/1-1]; JURECA supercomputer at Julich Supercomputing Centre (JSC) under the VSR project [JICG11]; state of Baden-Wurttemberg through bwHPC</t>
  </si>
  <si>
    <t>Deutsche Forschungsgemeinschaft (DFG, German Research Foundation) within the Priority Program Atmospheric and Earth System Research with the High Altitude and Long Range Research Aircraft (HALO)(German Research Foundation (DFG)); JURECA supercomputer at Julich Supercomputing Centre (JSC) under the VSR project; state of Baden-Wurttemberg through bwHPC</t>
  </si>
  <si>
    <t>We thank the pilots, engineers, and scientists from DLR Flight Department-Flight Experiments for their excellent support during the POLSTRACC campaign. Andreas Minikin provided vigilant overall project management and Frank Probst responsively supported the operational activities. Andreas Giez, Volker Dreiling, and Martin Zoger supervised the BAHAMAS observations. We acknowledge the cooperative spirit of the airport manager Kurt Maki and the team of the tower of the Kiruna Airport. We thank Andreas Dornbrack, Sonja Gisinger, Martina Bramberger, Maxi Bottcher, and Johannes Wagner for the excellent meteorological support and Reinhold Spang for support with CLaMS forecasts. Reimar Bauer contributed to extending and adapting the MSS tools to the POLSTRACC needs. Ole Kirner and Farah Khosrawi provided near-realtime EMAC simulations; Jennifer Schroter provided the ICON-ART simulations. We acknowledge the use of meteorological forecasts from the European Centre for Medium-Range Weather Forecasts (ECMWF) and the MLS satellite data. We thank Peter von der Gathen and his team for coordinated ozone sonde launches. We thank the instrument and data analysis teams of AENEAS (Michael Lichtenstern, Paul Stock, Greta Stratmann), FISH (Armin Afchine), GhOST (Ronja Heinemann, Timo Keber), GLORIA (Marleen Braun, Andreas Ebersoldt, Thomas Gulde, Michael Hopfner, Anne Kleinert, Thomas Latzko, Guido Maucher, Hans Nordmeyer, and Christof Piesch at KIT and Tom Neubert, Georg Schardt, Heinz Rongen, Markus Dick, Axel Schonfeld, and Isabell Krisch at FZJ), HAGAR (Valentin Lauther, Emil Gerhardt, Johannes Wintel), mini-DOAS (Tilman Huneke, Oliver-Alex Aderhold, Bodo Werner), and WALES (Axel Amediek, Silke Gross, Mathieu Quatrevalet, Patrick Vranken) for persistent commitment. We gratefully acknowledge the funding by the Deutsche Forschungsgemeinschaft (DFG, German Research Foundation) within the Priority Program Atmospheric and Earth System Research with the High Altitude and Long Range Research Aircraft (HALO) SPP 1294 through the following grants: Andreas Engel and Peter Hoor (EN 367/13-1, HO 4225/7-1); Andreas Marsing, Christiane Voigt, and Tina Jurkat-Witschas (VO1504/4-1 and JU3095-1/1); Klaus Pfeilsticker (PF-384/7-1, PF-384/7-2, PF384/9-1, PF384/9-2, and PF-384/16-1); C. Michael Volk (VO 1530/4-1); and Wolfgang Woiwode (WO 2160/1-1). The authors gratefully acknowledge the computing time for the CLaMS simulations granted on the JURECA supercomputer at Julich Supercomputing Centre (JSC) under the VSR project ID JICG11 and for the EMAC and ICON-ART model simulations at the Steinbuch Center for Computing (SCC). The authors acknowledge support by the state of Baden-Wurttemberg through bwHPC.</t>
  </si>
  <si>
    <t>0003-0007</t>
  </si>
  <si>
    <t>1520-0477</t>
  </si>
  <si>
    <t>B AM METEOROL SOC</t>
  </si>
  <si>
    <t>Bull. Amer. Meteorol. Soc.</t>
  </si>
  <si>
    <t>10.1175/BAMS-D-18-0181.1</t>
  </si>
  <si>
    <t>KA8CY</t>
  </si>
  <si>
    <t>WOS:000506029100023</t>
  </si>
  <si>
    <t>Canelo, CV</t>
  </si>
  <si>
    <t>Venegas Canelo, Claudio</t>
  </si>
  <si>
    <t>Multi-ethnic bird guide to the sub-Antarctic forests of South America</t>
  </si>
  <si>
    <t>ENVIRONMENTAL ETHICS</t>
  </si>
  <si>
    <t>Spanish</t>
  </si>
  <si>
    <t>Book Review</t>
  </si>
  <si>
    <t>[Venegas Canelo, Claudio] Univ Magallanes, Punta Arenas, Chile</t>
  </si>
  <si>
    <t>Universidad de Magallanes</t>
  </si>
  <si>
    <t>Canelo, CV (corresponding author), Univ Magallanes, Punta Arenas, Chile.</t>
  </si>
  <si>
    <t>claudiovenegascanelo@gmail.com</t>
  </si>
  <si>
    <t>ENVIRONMENTAL PHILOSOPHY INC</t>
  </si>
  <si>
    <t>DENTON</t>
  </si>
  <si>
    <t>UNIV NORTH TEXAS, DEPT PHILOSOPHY, PO BOX 13496, DENTON, TX 76203-3496 USA</t>
  </si>
  <si>
    <t>0163-4275</t>
  </si>
  <si>
    <t>2153-7895</t>
  </si>
  <si>
    <t>ENVIRON ETHICS</t>
  </si>
  <si>
    <t>Environ. Ethics</t>
  </si>
  <si>
    <t>WIN</t>
  </si>
  <si>
    <t>Ethics; Environmental Studies</t>
  </si>
  <si>
    <t>Social Sciences - Other Topics; Environmental Sciences &amp; Ecology</t>
  </si>
  <si>
    <t>OU9OQ</t>
  </si>
  <si>
    <t>WOS:000591853100007</t>
  </si>
  <si>
    <t>Centurion, VB; Delforno, TP; Lacerda, GV; Duarte, AWF; Silva, U; Bellini, GB; Rosa, LH; Oliveira, VM</t>
  </si>
  <si>
    <t>Centurion, V. B.; Delforno, T. P.; Lacerda-Junior, G. V.; Duarte, A. W. F.; Silva, U.; Bellini, G. B.; Rosa, L. H.; Oliveira, V. M.</t>
  </si>
  <si>
    <t>Unveiling resistome profiles in the sediments of an Antarctic volcanic island</t>
  </si>
  <si>
    <t>Resistance/tolerance mechanism; Metagenomics; Whalers Bay; Antarctic microbiome</t>
  </si>
  <si>
    <t>ANTIBIOTIC-RESISTANCE GENES; HEAVY-METALS; SP-NOV; DECEPTION-ISLAND; BACTERIAL; SEQUENCE; GENOME; ENVIRONMENTS; ADAPTATION; MECHANISMS</t>
  </si>
  <si>
    <t>The Deception Island, located in Maritime Antarctica, is a volcanic island with geothermal activity and one of the most visited by tourists. However, the extent of the anthropogenic impact remains largely unknown and the factors shaping the resistance/tolerance mechanisms in the microbiomes from Whalers Bay ecosystems have never been investigated. In this context, this study aimed to reveal the resistome profiles of Whalers Bay sediments and correlate them with environmental factors. Samples were collected at four sites during the summer 2014/2015 along a transect of 27.5 m in the Whalers Bay sediments. DNA isolated from sediment samples was sequenced using the Illumina HiSeq platform. Bioinformatic analyses allowed the assembly of contigs and scaffolds, prediction of ORFs, and taxonomic and functional annotation using NCBI RefSeq database and KEGG orthology, respectively. Microorganisms belonging to the genera Psychrobacter, Flavobacterium and Polaromonas were shown to dominate all sites, representing 60% of taxonomic annotation. Arsenic (As), copper (Cu) and iron (Fe) were the most abundant metal resistance/tolerance types found in the microbiomes. Beta-lactam was the most common class related to antibiotics resistance/tolerance, corroborating with previous environmental resistome studies. The acridine class was the most abundant amongst the biocide resistance/tolerances, related to antiseptic compounds. Results gathered in this study reveal a repertoire of resistance/tolerance classes to antibiotics and biocides unusually found in Antarctica. However, given the volcanic nature (heavy metals-rich region) of Deception Island soils, this putative impact must be viewed with caution. (C) 2019 Elsevier Ltd. All rights reserved.</t>
  </si>
  <si>
    <t>[Centurion, V. B.; Delforno, T. P.; Lacerda-Junior, G. V.; Duarte, A. W. F.; Bellini, G. B.; Oliveira, V. M.] State Univ Campinas UNICAMP, Res Ctr Chem Biol &amp; Agr CPQBA, Microbial Resources Div, BR-13081970 Paulinia, SP, Brazil; [Centurion, V. B.; Bellini, G. B.] State Univ Campinas UNICAMP, Biol Inst, BR-13083862 Campinas, SP, Brazil; [Lacerda-Junior, G. V.; Silva, U.] Brazilian Agr Res Corp EMBRAPA, BR-13820000 Jaguariuna, SP, Brazil; [Duarte, A. W. F.] Univ Fed Alagoas, Campus Arapiraca UFAL, BR-57309005 Arapiraca, AL, Brazil; [Rosa, L. H.] Fed Univ Minas Gerais UFMG, Inst Biol Sci, BR-31270901 Belo Horizonte, MG, Brazil</t>
  </si>
  <si>
    <t>Universidade Estadual de Campinas; Universidade Estadual de Campinas; Empresa Brasileira de Pesquisa Agropecuaria (EMBRAPA); Universidade Federal de Alagoas; Universidade Federal de Minas Gerais</t>
  </si>
  <si>
    <t>Centurion, VB (corresponding author), State Univ Campinas UNICAMP, Res Ctr Chem Biol &amp; Agr CPQBA, Microbial Resources Div, BR-13081970 Paulinia, SP, Brazil.</t>
  </si>
  <si>
    <t>vborincenturion@gmail.com; tiago.palladino@gmail.com; gilenolacerdajr@gmail.com; bioalysson@gmail.com; leojsilva@hotmail.com; gbellini@cpqba.unicamp.br; Ihrosa@icb.ufmg.br; vmaia@cpqba.unicamp.br</t>
  </si>
  <si>
    <t>Delforno, Tiago/D-8331-2012; Lacerda Júnior, Gileno/E-8321-2017; Oliveira, Valéria Maia/L-2422-2014; Duarte, Alysson Wagner Fernandes/S-8062-2019</t>
  </si>
  <si>
    <t>Delforno, Tiago/0000-0002-1705-0763; Lacerda Júnior, Gileno/0000-0003-4493-0755; Oliveira, Valéria Maia/0000-0001-8817-4758; Duarte, Alysson Wagner Fernandes/0000-0001-9626-7524; Centurion, Victor/0000-0002-5597-8554</t>
  </si>
  <si>
    <t>Sao Paulo Research Foundation - FAPESP [2017/03172-8, 2016/05640-6]; Proantar - Brazilian Antarctic Program</t>
  </si>
  <si>
    <t>Sao Paulo Research Foundation - FAPESP(Fundacao de Amparo a Pesquisa do Estado de Sao Paulo (FAPESP)); Proantar - Brazilian Antarctic Program</t>
  </si>
  <si>
    <t>The authors are grateful to the Sao Paulo Research Foundation - FAPESP (Processes no. 2017/03172-8 and 2016/05640-6), the Project MycoAntar - diversity and bioprospecting of Antarctic fungi, and the Proantar - Brazilian Antarctic Program.</t>
  </si>
  <si>
    <t>10.1016/j.envpol.2019.113240</t>
  </si>
  <si>
    <t>JP5YR</t>
  </si>
  <si>
    <t>WOS:000498340400023</t>
  </si>
  <si>
    <t>Borrmann, RM; Phillips, RA; Clay, TA; Garthe, S</t>
  </si>
  <si>
    <t>Borrmann, Rahel M.; Phillips, Richard A.; Clay, Thomas A.; Garthe, Stefan</t>
  </si>
  <si>
    <t>High foraging site fidelity and spatial segregation among individual great black-backed gulls</t>
  </si>
  <si>
    <t>great black-backed gull; Larus marinus; individual foraging site fidelity; movement ecology; repeatability; seabird; seasonal consistency; territoriality; Wadden Sea</t>
  </si>
  <si>
    <t>BREEDING SUCCESS; FEEDING TERRITORIES; SPECIALIZATION; DIET; BEHAVIOR; CONSEQUENCES; COMPETITION; STRATEGIES; SEABIRDS; ECOLOGY</t>
  </si>
  <si>
    <t>Individual foraging site fidelity, whereby individuals repeatedly visit the same foraging areas, is widespread in nature, and likely benefits individuals through higher foraging efficiency and potentially, higher breeding success. It may arise as a consequence of habitat or resource specialisation, or alternatively, where resources are abundant or predictable, the partitioning of space might guarantee individuals exclusive foraging opportunities. We tracked seven adult great black-backed gulls Larus marinus at a North Sea colony from early incubation to the end of the breeding season in 2016, providing a total of 1170 foraging trips over a mean +/- SD tracking period of 67 +/- 16 days. There was clear spatial segregation between individuals, with almost no overlap of their core areas (50% utilisation distribution) during incubation and chick-rearing. Core areas were relatively small and there was high repeatability (R +/- SE) in foraging parameters, including initial departure direction (0.73 +/- 0.11), foraging range (0.41 +/- 0.14) and cumulative distance travelled (0.19 +/- 0.1) throughout the breeding season. Despite the low spatial overlap, there was little evidence of differential habitat use by individuals. The near-exclusive individual foraging areas of this species, usually considered to be a generalist, indicate that where there is high resource availability throughout the breeding season and a small local population, individuals appear to adopt a territorial strategy which likely reduces intraspecific competition.</t>
  </si>
  <si>
    <t>[Borrmann, Rahel M.; Garthe, Stefan] Univ Kiel, Res &amp; Technol Ctr FTZ, Buesum, Germany; [Phillips, Richard A.; Clay, Thomas A.] British Antarctic Survey, NERC, Cambridge, England; [Clay, Thomas A.] Univ Liverpool, Sch Environm Sci, Liverpool, Merseyside, England</t>
  </si>
  <si>
    <t>University of Kiel; UK Research &amp; Innovation (UKRI); Natural Environment Research Council (NERC); NERC British Antarctic Survey; University of Liverpool</t>
  </si>
  <si>
    <t>Borrmann, RM (corresponding author), Univ Kiel, Res &amp; Technol Ctr FTZ, Buesum, Germany.</t>
  </si>
  <si>
    <t>borrmann@ftz-west.uni-kiel.de</t>
  </si>
  <si>
    <t>Clay, Tommy/W-4867-2019</t>
  </si>
  <si>
    <t>Clay, Tommy/0000-0002-0644-6105; Garthe, Stefan/0000-0003-0548-9346</t>
  </si>
  <si>
    <t>Federal Agency for Nature Conservation (BfN) [FKZ 3515 82 2100]; NERC [bas0100035] Funding Source: UKRI</t>
  </si>
  <si>
    <t>Federal Agency for Nature Conservation (BfN); NERC(UK Research &amp; Innovation (UKRI)Natural Environment Research Council (NERC))</t>
  </si>
  <si>
    <t>This study was part of the project 'BIRDMOVE' funded by the Federal Agency for Nature Conservation (BfN) (FKZ 3515 82 2100).</t>
  </si>
  <si>
    <t>e02156</t>
  </si>
  <si>
    <t>10.1111/jav.02156</t>
  </si>
  <si>
    <t>WOS:000505535700005</t>
  </si>
  <si>
    <t>Strain, N</t>
  </si>
  <si>
    <t>Strain, Nicola</t>
  </si>
  <si>
    <t>REGULATING COLLECTIVE RESOURCES UNDER MULTILATERAL TREATIES: THE DECISION IN WHALING IN THE ANTARCTIC (AUSTRALIA V JAPAN)</t>
  </si>
  <si>
    <t>MELBOURNE JOURNAL OF INTERNATIONAL LAW</t>
  </si>
  <si>
    <t>With Japan's recent announcement of its withdrawal from the International Whaling Commission, it is timely to reconsider what can be learned from the International Court of Justice 's decision in Whaling in the Antarctic (Australia v Japan) ('Whaling) on the regulation of collective resources. The Court's approach to the collective resources issue in Whaling may indicate a more activist role for the Court, beyond the traditional sphere of bilateral dispute resolution. This article considers whether Whaling demonstrates a move towards providing a mechanism for regulation of state conduct under multilateral treaties, moving towards a more domestic style of administrative review, by analysing certain aspects of the Court's procedural and evidential approach. In light of the parties ' submissions, previous jurisprudence of the Court as well as other international tribunals' jurisprudence, the analysis of this dispute suggests that the Court may be willing to move to a more 'regulatory' role in reviewing state decision-making. However, the Court missed an opportunity to clearly define its role in reviewing state decisions that affect collective resources. The Court failed to provide clear reasoning for its developing a 'review ' role, likely as a result of its reliance on the parties' agreement on the approach. As such, Whaling provides only limited guidance on whether the Court will continue to provide such a role in the regulation of collective resources.</t>
  </si>
  <si>
    <t>[Strain, Nicola] Univ Oslo, PluriCourts, Oslo, Norway</t>
  </si>
  <si>
    <t>University of Oslo</t>
  </si>
  <si>
    <t>Strain, N (corresponding author), Univ Oslo, PluriCourts, Oslo, Norway.</t>
  </si>
  <si>
    <t>Strain, Nicola/0000-0003-4793-2692</t>
  </si>
  <si>
    <t>Research Council of Norway through its Centres of Excellence funding scheme [223274]; Funding Scheme for Independent Projects (FRIPRO) (Young Research Talents) [274946]</t>
  </si>
  <si>
    <t>Research Council of Norway through its Centres of Excellence funding scheme(Research Council of Norway); Funding Scheme for Independent Projects (FRIPRO) (Young Research Talents)</t>
  </si>
  <si>
    <t>Doctoral Research Fellow, PluriCourts, Universitetet i Oslo. This work was partly supported by the Research Council of Norway through its Centres of Excellence funding scheme (project number 223274 -PluriCourts: The Legitimacy of the International Judiciary) and the Funding Scheme for Independent Projects (FRIPRO) (Young Research Talents) (project number 274946 -State Consent to International Jurisdiction: Conferral, Modification and Termination, Professor Dr Freya Baetens). This article was originally prepared as a thesis in partial fulfilment of the requirements for the degree of Master of Law at the University of Cambridge. I wish to thank Professor Eyal Benvenisti for his guidance and comments.</t>
  </si>
  <si>
    <t>UNIV MELBOURNE, MELBOURNE LAW SCH</t>
  </si>
  <si>
    <t>MELBOURNE</t>
  </si>
  <si>
    <t>MELBOURNE LAW SCH, MELBOURNE, VIC 3010, AUSTRALIA</t>
  </si>
  <si>
    <t>1444-8602</t>
  </si>
  <si>
    <t>1444-8610</t>
  </si>
  <si>
    <t>MELB J INT LAW</t>
  </si>
  <si>
    <t>Melb. J. Int. Law</t>
  </si>
  <si>
    <t>VJ5HW</t>
  </si>
  <si>
    <t>WOS:000605979400009</t>
  </si>
  <si>
    <t>Burrows, MT; Bates, AE; Costello, MJ; Edwards, M; Edgar, GJ; Fox, CJ; Halpern, BS; Hiddink, JG; Pinsky, ML; Batt, RD; Molinos, JG; Payne, BL; Schoeman, DS; Stuart-Smith, RD; Poloczanska, ES</t>
  </si>
  <si>
    <t>Burrows, Michael T.; Bates, Amanda E.; Costello, Mark J.; Edwards, Martin; Edgar, Graham J.; Fox, Clive J.; Halpern, Benjamin S.; Hiddink, Jan G.; Pinsky, Malin L.; Batt, Ryan D.; Molinos, Jorge Garcia; Payne, Benjamin L.; Schoeman, David S.; Stuart-Smith, Rick D.; Poloczanska, Elvira S.</t>
  </si>
  <si>
    <t>Ocean community warming responses explained by thermal affinities and temperature gradients</t>
  </si>
  <si>
    <t>NATURE CLIMATE CHANGE</t>
  </si>
  <si>
    <t>SEA-SURFACE TEMPERATURE; CLIMATE-CHANGE; MARINE; SHIFTS; VULNERABILITY; UNCERTAINTY; INDICATOR</t>
  </si>
  <si>
    <t>As ocean temperatures rise, species distributions are tracking towards historically cooler regions in line with their thermal affinity(1,2). However, different responses of species to warming and changed species interactions make predicting biodiversity redistribution and relative abundance a challenge(3,4). Here, we use three decades of fish and plankton survey data to assess how warming changes the relative dominance of warm-affinity and cold-affinity species(5,6). Regions with stable temperatures (for example, the Northeast Pacific and Gulf of Mexico) show little change in dominance structure, while areas with warming (for example, the North Atlantic) see strong shifts towards warm-water species dominance. Importantly, communities whose species pools had diverse thermal affinities and a narrower range of thermal tolerance showed greater sensitivity, as anticipated from simulations. The composition of fish communities changed less than expected in regions with strong temperature depth gradients. There, species track temperatures by moving deeper(2,7), rather than horizontally, analogous to elevation shifts in land plants(8). Temperature thus emerges as a fundamental driver for change in marine systems, with predictable restructuring of communities in the most rapidly warming areas using metrics based on species thermal affinities. The ready and predictable dominance shifts suggest a strong prognosis of resilience to climate change for these communities.</t>
  </si>
  <si>
    <t>[Burrows, Michael T.; Fox, Clive J.; Payne, Benjamin L.] Scottish Marine Inst, Scottish Assoc Marine Sci, Dunbeg, Oban, Scotland; [Bates, Amanda E.] Univ Southampton, Ocean &amp; Earth Sci, Natl Oceanog Ctr Southampton, Southampton, Hants, England; [Bates, Amanda E.] Mem Univ Newfoundland, Dept Ocean Sci, St John, NF, Canada; [Costello, Mark J.] Univ Auckland, Sch Environm, Auckland, New Zealand; [Edwards, Martin] Sir Alister Hardy Fdn Ocean Sci, Citadel Hill Lab, Plymouth, Devon, England; [Edwards, Martin] Plymouth Univ, Marine Inst, Plymouth, Devon, England; [Edgar, Graham J.; Stuart-Smith, Rick D.] Univ Tasmania, Inst Marine &amp; Antarctic Studies, Hobart, Tas, Australia; [Halpern, Benjamin S.] Univ Calif Santa Barbara, Bren Sch Environm Sci &amp; Management, Santa Barbara, CA 93106 USA; [Halpern, Benjamin S.] Univ Calif Santa Barbara, Natl Ctr Ecol Anal &amp; Synth, Santa Barbara, CA 93106 USA; [Hiddink, Jan G.] Bangor Univ, Sch Ocean Sci, Menai Bridge, Gwynedd, Wales; [Pinsky, Malin L.; Batt, Ryan D.] Rutgers State Univ, Dept Ecol Evolut &amp; Nat Resources, New Brunswick, NJ USA; [Molinos, Jorge Garcia] Hokkaido Univ, Arctic Res Ctr, Sapporo, Hokkaido, Japan; [Molinos, Jorge Garcia] Hokkaido Univ, Grad Sch Environm Sci, Sapporo, Hokkaido, Japan; [Molinos, Jorge Garcia] Hokkaido Univ, Global Stn Arctic Res, Global Inst Collaborat Res &amp; Educ, Sapporo, Hokkaido, Japan; [Schoeman, David S.] Univ Sunshine Coast, Sch Sci &amp; Engn, Global Change Ecol Res Grp, Maroochydore, Qld, Australia; [Schoeman, David S.] Nelson Mandela Univ, Dept Zool, Ctr African Conservat Ecol, Port Elizabeth, South Africa; [Poloczanska, Elvira S.] Alfred Wegener Inst, Helmholtz Ctr Polar &amp; Marine Res, Divis Biosci Integrat Ecophysiol, Bremerhaven, Germany; [Poloczanska, Elvira S.] Univ Queensland, Global Change Inst, St Lucia, Qld, Australia</t>
  </si>
  <si>
    <t>University of Southampton; NERC National Oceanography Centre; Memorial University Newfoundland; University of Auckland; University of Plymouth; University of Tasmania; University of California System; University of California Santa Barbara; National Center for Ecological Analysis &amp; Synthesis; University of California System; University of California Santa Barbara; Bangor University; Rutgers University System; Rutgers University New Brunswick; Hokkaido University; Hokkaido University; Hokkaido University; University of the Sunshine Coast; Nelson Mandela University; Helmholtz Association; Alfred Wegener Institute, Helmholtz Centre for Polar &amp; Marine Research; University of Queensland</t>
  </si>
  <si>
    <t>Burrows, MT (corresponding author), Scottish Marine Inst, Scottish Assoc Marine Sci, Dunbeg, Oban, Scotland.</t>
  </si>
  <si>
    <t>mtb@sams.ac.uk</t>
  </si>
  <si>
    <t>Stuart-Smith, Rick/I-5214-2019; Bates, Amanda E./ABD-6874-2021; poloczanska, elvira s/P-5356-2014; Batt, Ryan D/D-7690-2013; Burrows, Michael/ABF-4844-2020; Edgar, Graham/AAY-3797-2020; Garcia Molinos, Jorge/C-9252-2015; Pinsky, Malin/K-2884-2015; Costello, Mark/C-9267-2013; Hiddink, Jan Geert/C-1238-2009</t>
  </si>
  <si>
    <t>Stuart-Smith, Rick/0000-0002-8874-0083; Bates, Amanda E./0000-0002-0198-4537; Burrows, Michael/0000-0003-4620-5899; Edgar, Graham/0000-0003-0833-9001; Garcia Molinos, Jorge/0000-0001-7516-1835; Pinsky, Malin/0000-0002-8523-8952; Costello, Mark/0000-0003-2362-0328; Schoeman, David/0000-0003-1258-0885; Hiddink, Jan Geert/0000-0001-7114-830X; Payne, Benjamin/0000-0001-6147-0848</t>
  </si>
  <si>
    <t>NERC [NE/J024082/1]; `Tenure-Track System Promotion Program` of the Japanese Ministry of Education, Culture, Sports, Science and Technology; Australian Research Council [DP170101722, LP150100761, DP170104240]; National Science Foundation [OCE-1426891, DEB-1616821]; Alfred P. Sloan Research Fellowship; NOAA Coastal and Ocean Climate Applications programme; Canada Research Chairs Program; Australian Research Council [LP150100761] Funding Source: Australian Research Council; Natural Environment Research Council [SAH01001, NE/P00590X/1, NE/R015953/1] Funding Source: researchfish; NERC [NE/J022446/1, NE/J021938/1, NE/P00590X/1, NE/R015953/1, NE/J024082/1, SAH01001, NE/H017151/1] Funding Source: UKRI</t>
  </si>
  <si>
    <t>NERC(UK Research &amp; Innovation (UKRI)Natural Environment Research Council (NERC)); `Tenure-Track System Promotion Program` of the Japanese Ministry of Education, Culture, Sports, Science and Technology; Australian Research Council(Australian Research Council); National Science Foundation(National Science Foundation (NSF)); Alfred P. Sloan Research Fellowship(Alfred P. Sloan Foundation); NOAA Coastal and Ocean Climate Applications programme(National Oceanic Atmospheric Admin (NOAA) - USA); Canada Research Chairs Program(Canada Research Chairs); Australian Research Council(Australian Research Council); Natural Environment Research Council(UK Research &amp; Innovation (UKRI)Natural Environment Research Council (NERC)); NERC(UK Research &amp; Innovation (UKRI)Natural Environment Research Council (NERC))</t>
  </si>
  <si>
    <t>M.T.B., B.L.P. and J.G.M. were supported by NERC grant NE/J024082/1. J.G.M. was supported by the `Tenure-Track System Promotion Program` of the Japanese Ministry of Education, Culture, Sports, Science and Technology. D.S.S., G.J.E. and R.D.S.-S. were supported by Australian Research Council grants DP170101722, LP150100761 and DP170104240, respectively. M.L.P. was supported by National Science Foundation grants OCE-1426891 and DEB-1616821, an Alfred P. Sloan Research Fellowship and the NOAA Coastal and Ocean Climate Applications programme. A.E.B. was supported by the Canada Research Chairs Program.</t>
  </si>
  <si>
    <t>1758-678X</t>
  </si>
  <si>
    <t>1758-6798</t>
  </si>
  <si>
    <t>NAT CLIM CHANGE</t>
  </si>
  <si>
    <t>Nat. Clim. Chang.</t>
  </si>
  <si>
    <t>10.1038/s41558-019-0631-5</t>
  </si>
  <si>
    <t>Environmental Sciences; Environmental Studies; Meteorology &amp; Atmospheric Sciences</t>
  </si>
  <si>
    <t>JQ7FI</t>
  </si>
  <si>
    <t>WOS:000499106300022</t>
  </si>
  <si>
    <t>Moy, AD; Palmer, MR; Howard, WR; Bijma, J; Cooper, MJ; Calvo, E; Pelejero, C; Gagan, MK; Chalk, TB</t>
  </si>
  <si>
    <t>Moy, Andrew D.; Palmer, Martin R.; Howard, William R.; Bijma, Jelle; Cooper, Matthew J.; Calvo, Eva; Pelejero, Carles; Gagan, Michael K.; Chalk, Thomas B.</t>
  </si>
  <si>
    <t>Varied contribution of the Southern Ocean to deglacial atmospheric CO2 rise</t>
  </si>
  <si>
    <t>OXYGEN ISOTOPIC COMPOSITION; PLANKTONIC-FORAMINIFERA; SEDIMENT TRAPS; PACIFIC-OCEAN; CARBONATE ION; DEEP-WATER; SEA; PH; ATLANTIC; SEAWATER</t>
  </si>
  <si>
    <t>Glacial-interglacial changes in atmospheric CO2 are generally attributed to changes in seawater carbon chemistry in response to large-scale shifts in the ocean's biogeochemistry and general circulation. The Southern Ocean currently takes up more CO2 than any other and it is likely to have played a crucial role in regulating past atmospheric CO2. However, the physical, biological and chemical variables that control ocean-atmosphere CO2 exchange during glacial-interglacial cycles are not completely understood. Here we use boron isotopes and carbon isotopes in planktonic foraminifera and an alkenone-based proxy of temperature to reconstruct seawater pH and CO2 partial pressure in sub-Antarctic surface waters south of Tasmania over the past 25,000 years, and investigate the mechanisms that regulate seawater CO2. The new record shows that surface waters in this region were a sink for atmospheric CO2 during the Last Glacial Maximum. Our reconstruction suggests changes in the strength of the biological pump and the release of deep-ocean CO2 to surface waters contributed to the last deglacial rise in atmospheric CO2. These findings demonstrate that variations in upwelling intensity and the distribution of Southern Ocean water masses in this sector played a key role in regulating atmospheric CO2 during the last glacial-interglacial cycle.</t>
  </si>
  <si>
    <t>[Moy, Andrew D.] Australian Antarctic Div, Kingston, Tas, Australia; [Moy, Andrew D.] Univ Tasmania, Antarctic Climate &amp; Ecosyst Cooperat Res Ctr, Hobart, Tas, Australia; [Palmer, Martin R.; Cooper, Matthew J.; Chalk, Thomas B.] Univ Southampton, Ocean &amp; Earth Sci, Southampton, Hants, England; [Howard, William R.] Australian Natl Univ, Climate Change Inst, Canberra, ACT, Australia; [Bijma, Jelle] Helmholtz Zentrum Polar &amp; Meeresforsch, Alfred Wegener Inst, Marine Biogeosci, Bremerhaven, Germany; [Calvo, Eva; Pelejero, Carles] CSIC, ICM, Barcelona, Spain; [Pelejero, Carles] ICREA, Barcelona, Spain; [Gagan, Michael K.] Univ Queensland, Sch Earth &amp; Environm Sci, Brisbane, Qld, Australia; [Gagan, Michael K.] Australian Natl Univ, Res Sch Earth Sci, Canberra, ACT, Australia</t>
  </si>
  <si>
    <t>Australian Antarctic Division; Antarctic Climate &amp; Ecosystems Cooperative Research Centre (ACE CRC); University of Tasmania; University of Southampton; Australian National University; Helmholtz Association; Alfred Wegener Institute, Helmholtz Centre for Polar &amp; Marine Research; Consejo Superior de Investigaciones Cientificas (CSIC); CSIC - Centro Mediterraneo de Investigaciones Marinas y Ambientales (CMIMA); CSIC - Instituto de Ciencias del Mar (ICM); ICREA; University of Queensland; Australian National University</t>
  </si>
  <si>
    <t>Moy, AD (corresponding author), Australian Antarctic Div, Kingston, Tas, Australia.;Moy, AD (corresponding author), Univ Tasmania, Antarctic Climate &amp; Ecosyst Cooperat Res Ctr, Hobart, Tas, Australia.</t>
  </si>
  <si>
    <t>Andrew.Moy@aad.gov.au</t>
  </si>
  <si>
    <t>Chalk, Thomas/AAA-4964-2022; Pelejero, Carles/AAF-4550-2019; Calvo, Eva/C-2618-2014; Gagan, Michael K/L-5014-2018</t>
  </si>
  <si>
    <t>Chalk, Thomas/0000-0002-2880-3847; Pelejero, Carles/0000-0002-7763-7769; Calvo, Eva/0000-0003-3659-4499; Moy, Andrew/0000-0002-7664-9960; Bijma, Jelle/0000-0003-4371-1438</t>
  </si>
  <si>
    <t>Australian Antarctic Division [AAS 4061]; Australian Government's Cooperative Research Centres Programme through the Antarctic Climate and Ecosystems Cooperative Research Centre (ACE CRC); European Union [EVK2-CT-2002-00135 6 C]</t>
  </si>
  <si>
    <t>Australian Antarctic Division; Australian Government's Cooperative Research Centres Programme through the Antarctic Climate and Ecosystems Cooperative Research Centre (ACE CRC)(Australian GovernmentDepartment of Industry, Innovation and ScienceCooperative Research Centres (CRC) Programme); European Union(European Union (EU))</t>
  </si>
  <si>
    <t>This work was supported by the Australian Antarctic Division (AAS 4061) and the Australian Government's Cooperative Research Centres Programme through the Antarctic Climate and Ecosystems Cooperative Research Centre (ACE CRC). The boron isotope analyses were supported by the European Union 5th Framework Programme project 6C (Project ID: EVK2-CT-2002-00135 6 C). E.C. and C.P. acknowledge Graham Logan and Geoscience Australia for providing analytical facilities for alkenone analyses. We thank the French Polar Institute and the crew of the RV Marion Dufresne for their efforts in recovering sediment core MD972106.</t>
  </si>
  <si>
    <t>10.1038/s41561-019-0473-9</t>
  </si>
  <si>
    <t>WOS:000499653700011</t>
  </si>
  <si>
    <t>Wuite, J; Nagler, T; Gourmelen, N; Escorihuela, MJ; Hogg, AE; Drinkwater, MR</t>
  </si>
  <si>
    <t>Wuite, Jan; Nagler, Thomas; Gourmelen, Noel; Jose Escorihuela, Maria; Hogg, Anna E.; Drinkwater, Mark R.</t>
  </si>
  <si>
    <t>Sub-Annual Calving Front Migration, Area Change and Calving Rates from Swath Mode CryoSat-2 Altimetry, on Filchner-Ronne Ice Shelf, Antarctica</t>
  </si>
  <si>
    <t>Earth Observation; altimetry; calving front location (CFL); edge detection; CryoSat-2; swath processing; Antarctica; Filchner-Ronne Ice Shelf; iceberg calving</t>
  </si>
  <si>
    <t>RETREAT; LAND; DISINTEGRATION; COASTLINE; GLACIERS; MISSION; DRIVEN; BAY</t>
  </si>
  <si>
    <t>Mapping the time-variable calving front location (CFL) of Antarctic ice shelves is important for estimating the freshwater budget, as an indicator of changing ocean and structural conditions or as a precursor of dynamic instability. Here, we present a novel approach for deriving regular and consistent CFLs based on CryoSat-2 swath altimetry. The CFL detection is based on the premise that the shelf edge is usually characterized by a steep ice cliff, which is clearly resolved in the surface elevation data. Our method applies edge detection and vectorization of the sharp ice edge in gridded elevation data to generate vector shapefiles of the calving front. To show the feasibility of our approach, we derived a unique data set of ice-front positions for the Filchner-Ronne Ice Shelf (FRIS) between 2011 and 2018 at a 200 m spatial resolution and biannual temporal frequency. The observed CFLs compare well with independently derived ice front positions from Sentinel-1 Synthetic Aperture Radar imagery and are used to calculate area change, advance rates, and iceberg calving rates. We measure an area increase of 810 +/- 40 km(2) a(-1) for FRIS and calving rates of 9 +/- 1 Gt a(-1) and 7 +/- 1 Gt a(-1) for the Filchner and Ronne Ice Shelves, respectively, which is an order of magnitude smaller than their steady-state calving flux. Our findings demonstrate that the elevation-edge method is complementary to standard CFL detection techniques. Although at a reduced spatial resolution and less suitable for smaller glaciers in steep terrain, it enables to provide CFLs at regular intervals and to fill existing gaps in time and space. Moreover, the method simultaneously provides ice thickness, required for mass budget calculation, and has a degree of automation which removes the need for heavy manual intervention. In the future, altimetry data has the potential to deliver a systematic and continuous record of change in ice shelf calving front positions around Antarctica. This will greatly benefit the investigation of environmental forcing on ice flow and terminus dynamics by providing a valuable climate data record and improving our knowledge of the constraints for calving models and ice shelf freshwater budget.</t>
  </si>
  <si>
    <t>[Wuite, Jan; Nagler, Thomas] ENVEO Environm Earth Observat IT GmbH, A-6020 Innsbruck, Austria; [Gourmelen, Noel] Univ Edinburgh, Sch GeoSci, Edinburgh EH8 9XP, Midlothian, Scotland; [Jose Escorihuela, Maria] IsardSAT, Parc Tecnol Barcelona Act,C Marie Curie,8-14, Barcelona 08042, Spain; [Hogg, Anna E.] Univ Leeds, Sch Earth &amp; Environm, Leeds LS2 9JT, W Yorkshire, England; [Drinkwater, Mark R.] European Space Agcy ESA, Estec, NL-2201 AZ Noordwijk, Netherlands</t>
  </si>
  <si>
    <t>University of Edinburgh; University of Leeds; European Space Agency</t>
  </si>
  <si>
    <t>Wuite, J (corresponding author), ENVEO Environm Earth Observat IT GmbH, A-6020 Innsbruck, Austria.</t>
  </si>
  <si>
    <t>jan.wuite@enveo.at; thomas.nagler@enveo.at; noel.gourmelen@ed.ac.uk; mj.escorihuela@isardSAT.cat; a.e.hogg@leeds.ac.uk; mark.drinkwater@esa.int</t>
  </si>
  <si>
    <t>Escorihuela, Maria Jose/AAB-5851-2020; Drinkwater, Mark/C-2478-2011</t>
  </si>
  <si>
    <t>Escorihuela, Maria Jose/0000-0002-7780-7334; Drinkwater, Mark/0000-0002-9250-3806; Hogg, Anna/0000-0002-6441-4937; Wuite, Jan/0000-0001-9333-1586; Nagler, Thomas/0000-0003-1298-8469</t>
  </si>
  <si>
    <t>European Space Agency (ESA) [CryoTop 4000107394/12/I-NB, CryoTop Evolution 4000116874/16/I-NB]; NERC [NE/R012407/1]; NERC [cpom30001, NE/R012407/1] Funding Source: UKRI</t>
  </si>
  <si>
    <t>European Space Agency (ESA)(European Space Agency); NERC(UK Research &amp; Innovation (UKRI)Natural Environment Research Council (NERC)); NERC(UK Research &amp; Innovation (UKRI)Natural Environment Research Council (NERC))</t>
  </si>
  <si>
    <t>This work was supported by European Space Agency (ESA) contracts including Support to Science Elements (STSE) CryoSat+ CryoTop 4000107394/12/I-NB and CryoTop Evolution 4000116874/16/I-NB (NG). A.H. was also funded by a NERC Fellowship (NE/R012407/1).</t>
  </si>
  <si>
    <t>10.3390/rs11232761</t>
  </si>
  <si>
    <t>WOS:000508382100042</t>
  </si>
  <si>
    <t>McDougall, TJ; Wotherspoon, SJ; Barker, PM</t>
  </si>
  <si>
    <t>McDougall, Trevor J.; Wotherspoon, Simon J.; Barker, Paul M.</t>
  </si>
  <si>
    <t>An accelerated version of Newton's method with convergence order √3</t>
  </si>
  <si>
    <t>RESULTS IN APPLIED MATHEMATICS</t>
  </si>
  <si>
    <t>Newton's method; Non-linear equations; Root-finding; Iterative methods</t>
  </si>
  <si>
    <t>A root-finding method is developed that, like Newton's Method, evaluates both the function and its first derivative once per iteration, but the new method converges at the rate root 3 + 1, and moreover, it's asymptotic error constant is proportional to the function's fourth order derivative. By contrast, Newton's Method converges quadratically with the asymptotic error constant being proportional to the function's second order derivative. Each iteration (except the first) of our Accelerated Newton's Method (ANM) uses the values of both the function and its first derivative at the previous iteration in order to estimate the function's second derivative. For the initial iteration we develop and recommend the use of a modified version of Jarratt's Method; a method that calculates the derivative of the function twice in each iteration. Like Jarratt's Method, our modification of it converges with the fourth power of the initial error, but our asymptotic error constant depends primarily on the product of the function's second and third order derivatives rather than depending separately on the value of the second derivative. The efficient performance of our Accelerated Newton's Method (ANM) is illustrated using nine test functions and a range of initial values for each test function. These tests indicate that our Accelerated Newton's Method requires on average 30% fewer function and derivative evaluations than the straightforward Newton's Method to achieve the same accuracy; noting again that the function and its derivative are evaluated once per iteration, exactly as in Newton's Method. Moreover, we find that our Accelerated Newton's Method is more robust than Newton's Method in that it converges to the root over a wider range of initial conditions. (C) 2019 The Author(s). Published by Elsevier B.V.</t>
  </si>
  <si>
    <t>[McDougall, Trevor J.; Barker, Paul M.] Univ New South Wales, Sch Math &amp; Stat, Sydney, NSW 2052, Australia; [Wotherspoon, Simon J.] Univ Tasmania, Inst Marine &amp; Atmospher Studies, Private Bag 129, Hobart, Tas 7001, Australia; [Wotherspoon, Simon J.] Australian Antarctic Div, 203 Channel Highway, Kingston, Tas 7050, Australia</t>
  </si>
  <si>
    <t>University of New South Wales Sydney; University of Tasmania; Australian Antarctic Division</t>
  </si>
  <si>
    <t>McDougall, TJ (corresponding author), Univ New South Wales, Sch Math &amp; Stat, Sydney, NSW 2052, Australia.</t>
  </si>
  <si>
    <t>Trevor.McDougall@unsw.edu.au</t>
  </si>
  <si>
    <t>Wotherspoon, Simon J/B-2390-2013</t>
  </si>
  <si>
    <t>Wotherspoon, Simon J/0000-0002-6947-4445; McDougall, Trevor/0000-0003-4582-7741</t>
  </si>
  <si>
    <t>Australian Research Council [FL150100090]</t>
  </si>
  <si>
    <t>T. J. McD and P. M. B. gratefully acknowledge Australian Research Council support through grant FL150100090.</t>
  </si>
  <si>
    <t>2590-0374</t>
  </si>
  <si>
    <t>RESULTS APPL MATH</t>
  </si>
  <si>
    <t>Results Appl. Math</t>
  </si>
  <si>
    <t>10.1016/j.rinam.2019.100078</t>
  </si>
  <si>
    <t>VJ9JA</t>
  </si>
  <si>
    <t>WOS:000646631100004</t>
  </si>
  <si>
    <t>Fogarty, HE; Cvitanovic, C; Hobday, AJ; Pecl, GT</t>
  </si>
  <si>
    <t>Fogarty, Hannah E.; Cvitanovic, Christopher; Hobday, Alistair J.; Pecl, Gretta T.</t>
  </si>
  <si>
    <t>Prepared for change? An assessment of the current state of knowledge to support climate adaptation for Australian fisheries</t>
  </si>
  <si>
    <t>REVIEWS IN FISH BIOLOGY AND FISHERIES</t>
  </si>
  <si>
    <t>Adaptation; Climate change; Fisheries; Management; Research effort</t>
  </si>
  <si>
    <t>CHANGE IMPACTS; RANGE SHIFTS; MARINE; MANAGEMENT; RESPONSES; VULNERABILITY; EXCHANGE; HISTORY; SCIENCE; OCEAN</t>
  </si>
  <si>
    <t>Fisheries and marine ecosystems are challenged globally by climate change with subsequent biological and socio-ecological implications. Adaptation represents one pathway by which management agencies can seek to ensure sustainability of these resources for societal well-being, particularly when based on strong scientific evidence. Here, we examined the extent of primary scientific literature that is currently available to inform climate adaption initiatives for Australian fisheries. This is achieved via a systematic literature review for 99 harvested Australian marine species, aimed at identifying primary scientific articles that reported new knowledge of climate-driven biological changes and/or socio-ecological implications. We then assessed the quantity of scientific literature against estimated relative climate sensitivity scores for each species (from a previous study), and investigated factors that may influence relative research effort. We found that two-thirds of species had no peer-reviewed climate-related literature available, and that research effort among Australian fisheries species is most closely related to the number of commercial fish stocks per species, and commercial catch weight. We also found that the south-east and western Australian regions had the most climate-related biological information to support climate adaptation in fisheries management. Nonetheless, although accumulating knowledge of the biological and socio-ecological implications of climate change is important, increasing knowledge alone is insufficient to maintain the productivity and profitability of Australian fisheries in light of projected climate impacts. We suggest that the further use of this knowledge to inform decision-making processes is essential to ensure that climate adaptation options are fully explored, to allow sustainable and productive fisheries.</t>
  </si>
  <si>
    <t>[Fogarty, Hannah E.; Pecl, Gretta T.] Univ Tasmania, Inst Marine &amp; Antarctic Studies, Private Bag 49, Hobart, Tas 7001, Australia; [Fogarty, Hannah E.; Cvitanovic, Christopher; Hobday, Alistair J.; Pecl, Gretta T.] Univ Tasmania, Ctr Marine Socioecol, Private Bag 49, Hobart, Tas 7001, Australia; [Cvitanovic, Christopher; Hobday, Alistair J.] CSIRO Oceans &amp; Atmosphere, Hobart, Tas 7000, Australia; [Cvitanovic, Christopher] Australian Natl Univ, Australian Natl Ctr Publ Awareness Sci, Canberra, ACT 2601, Australia</t>
  </si>
  <si>
    <t>University of Tasmania; University of Tasmania; Commonwealth Scientific &amp; Industrial Research Organisation (CSIRO); Australian National University</t>
  </si>
  <si>
    <t>Fogarty, HE (corresponding author), Univ Tasmania, Inst Marine &amp; Antarctic Studies, Private Bag 49, Hobart, Tas 7001, Australia.;Fogarty, HE (corresponding author), Univ Tasmania, Ctr Marine Socioecol, Private Bag 49, Hobart, Tas 7001, Australia.</t>
  </si>
  <si>
    <t>Hannah.Fogarty@utas.edu.au</t>
  </si>
  <si>
    <t>Hobday, Alistair/A-1460-2012; Pecl, Gretta/D-7267-2011</t>
  </si>
  <si>
    <t>Pecl, Gretta/0000-0003-0192-4339; Fogarty, Hannah/0000-0001-7261-2565; Cvitanovic, Christopher/0000-0002-2565-3396</t>
  </si>
  <si>
    <t>Centre for Marine Socioecology at the University of Tasmania; ARC [FT 140100596]</t>
  </si>
  <si>
    <t>Centre for Marine Socioecology at the University of Tasmania; ARC(Australian Research Council)</t>
  </si>
  <si>
    <t>We would like to thank David Mobsby for supplying the ABARES dataset, and Cecilia Villanueva for assistance with the data. We also appreciate the comments of two reviewers. Funding was provided by the Centre for Marine Socioecology at the University of Tasmania. GP was supported by an ARC Future Fellowship FT 140100596.</t>
  </si>
  <si>
    <t>0960-3166</t>
  </si>
  <si>
    <t>1573-5184</t>
  </si>
  <si>
    <t>REV FISH BIOL FISHER</t>
  </si>
  <si>
    <t>Rev. Fish. Biol. Fish.</t>
  </si>
  <si>
    <t>10.1007/s11160-019-09579-7</t>
  </si>
  <si>
    <t>KQ7PL</t>
  </si>
  <si>
    <t>WOS:000517112600008</t>
  </si>
  <si>
    <t>Post, E; Alley, RB; Christensen, TR; Macias-Fauria, M; Forbes, BC; Gooseff, MN; Iler, A; Kerby, JT; Laidre, KL; Mann, ME; Olofsson, J; Stroeve, JC; Ulmer, F; Virginia, RA; Wang, MY</t>
  </si>
  <si>
    <t>Post, Eric; Alley, Richard B.; Christensen, Torben R.; Macias-Fauria, Marc; Forbes, Bruce C.; Gooseff, Michael N.; Iler, Amy; Kerby, Jeffrey T.; Laidre, Kristin L.; Mann, Michael E.; Olofsson, Johan; Stroeve, Julienne C.; Ulmer, Fran; Virginia, Ross A.; Wang, Muyin</t>
  </si>
  <si>
    <t>The polar regions in a 2°C warmer world</t>
  </si>
  <si>
    <t>SCIENCE ADVANCES</t>
  </si>
  <si>
    <t>ARCTIC SEA-ICE; WETLAND METHANE EMISSIONS; POPULATION-DYNAMICS; PHYTOPLANKTON BLOOMS; CLIMATE-CHANGE; HABITAT LOSS; MELT SEASON; GREENLAND; WEST; SUMMER</t>
  </si>
  <si>
    <t>Over the past decade, the Arctic has warmed by 0.75 degrees C, far outpacing the global average, while Antarctic temperatures have remained comparatively stable. As Earth approaches 2 degrees C warming, the Arctic and Antarctic may reach 4 degrees C and 2 degrees C mean annual warming, and 7 degrees C and 3 degrees C winter warming, respectively. Expected consequences of increased Arctic warming include ongoing loss of land and sea ice, threats to wildlife and traditional human livelihoods, increased methane emissions, and extreme weather at lower latitudes. With low biodiversity, Antarctic ecosystems may be vulnerable to state shifts and species invasions. Land ice loss in both regions will contribute substantially to global sea level rise, with up to 3 m rise possible if certain thresholds are crossed. Mitigation efforts can slow or reduce warming, but without them northern high latitude warming may accelerate in the next two to four decades. International cooperation will be crucial to foreseeing and adapting to expected changes.</t>
  </si>
  <si>
    <t>[Post, Eric] Univ Calif Davis, Dept Wildlife Fish &amp; Conservat Biol, Davis, CA 95616 USA; [Alley, Richard B.] Penn State Univ, Dept Geosci, University Pk, PA 16802 USA; [Alley, Richard B.] Penn State Univ, Earth &amp; Environm Syst Inst, University Pk, PA 16802 USA; [Christensen, Torben R.] Aarhus Univ, Dept Biosci, Arctic Res Ctr, Frederiksborgvej 399, DK-4000 Roskilde, Denmark; [Macias-Fauria, Marc] Univ Oxford, Sch Geog &amp; Environm, Oxford OX1 3QY, England; [Forbes, Bruce C.] Univ Lapland, Arctic Ctr, Box 122, FI-96101 Rovaniemi, Finland; [Gooseff, Michael N.] Univ Colorado, Inst Arctic &amp; Alpine Res, Boulder, CO 80303 USA; [Iler, Amy] Chicago Bot Garden, 1000 Lake Cook Rd, Glencoe, IL 60022 USA; [Kerby, Jeffrey T.] Dartmouth Coll, Neukom Inst Computat Sci, Inst Arctic Studies, Hanover, NH 03755 USA; [Kerby, Jeffrey T.; Virginia, Ross A.] Dartmouth Coll, Environm Studies Program, Hanover, NH 03755 USA; [Laidre, Kristin L.] Univ Washington, Appl Phys Lab, Polar Sci Ctr, 1013 NE 40th St, Seattle, WA 98105 USA; [Mann, Michael E.] Penn State Univ, Dept Meteorol &amp; Atmospher Sci, University Pk, PA 16802 USA; [Mann, Michael E.] Penn State Univ, Dept Geosci, University Pk, PA 16802 USA; [Olofsson, Johan] Umea Univ, Dept Ecol &amp; Environm Sci, S-90187 Umea, Sweden; [Stroeve, Julienne C.] UCL, London, England; [Stroeve, Julienne C.] Natl Snow &amp; Ice Data Ctr, Boulder, CO 80303 USA; [Ulmer, Fran] US Arctic Res Commiss, 420 L St,Suite 315, Anchorage, AK 99501 USA; [Ulmer, Fran] US Artic Res Commiss, 4350 N Fairfax Dr,Suite 510, Arlington, VA 22203 USA; [Ulmer, Fran] Harvard Univ, John F Kennedy Sch Govt, Belfer Ctr Sci &amp; Int Affairs, Cambridge, MA 02138 USA; [Virginia, Ross A.] Dartmouth Coll, Inst Arctic Studies, Hanover, NH 03755 USA; [Wang, Muyin] Univ Washington, Joint Inst Study Atmosphere &amp; Ocean, Seattle, WA 98195 USA; [Wang, Muyin] NOAA, Pacific Marine Environm Lab, 7600 Sand Point Way Ne, Seattle, WA 98115 USA</t>
  </si>
  <si>
    <t>University of California System; University of California Davis; Pennsylvania Commonwealth System of Higher Education (PCSHE); Pennsylvania State University; Pennsylvania State University - University Park; Pennsylvania Commonwealth System of Higher Education (PCSHE); Pennsylvania State University; Pennsylvania State University - University Park; Aarhus University; University of Oxford; University of Lapland; University of Colorado System; University of Colorado Boulder; Dartmouth College; Dartmouth College; University of Washington; University of Washington Seattle; Pennsylvania Commonwealth System of Higher Education (PCSHE); Pennsylvania State University; Pennsylvania State University - University Park; Pennsylvania Commonwealth System of Higher Education (PCSHE); Pennsylvania State University; Pennsylvania State University - University Park; Umea University; University of London; University College London; Harvard University; Dartmouth College; University of Washington; University of Washington Seattle; National Oceanic Atmospheric Admin (NOAA) - USA</t>
  </si>
  <si>
    <t>Post, E (corresponding author), Univ Calif Davis, Dept Wildlife Fish &amp; Conservat Biol, Davis, CA 95616 USA.</t>
  </si>
  <si>
    <t>post@ucdavis.edu</t>
  </si>
  <si>
    <t>Macias-Fauria, Marc/A-4591-2009; Gooseff, Michael N/N-6087-2015; Olofsson, Johan/A-9362-2009; Mann, Michael E/B-8472-2017; Wang, Muyin/K-4006-2014; Stroeve, Julienne/ABE-7227-2020; Forbes, Bruce/L-4431-2013</t>
  </si>
  <si>
    <t>Gooseff, Michael N/0000-0003-4322-8315; Mann, Michael E/0000-0003-3067-296X; Wang, Muyin/0000-0001-5233-4588; Macias-Fauria, Marc/0000-0002-8438-2223; Forbes, Bruce/0000-0002-4593-5083; Kerby, Jeffrey/0000-0002-2739-9096; Post, Eric/0000-0002-9471-5351; Christensen, Torben R./0000-0002-4917-148X</t>
  </si>
  <si>
    <t>U.S. National Science Foundation [NSF OPP 1738934, NSF OPP 1637708, NSF OPP 1748052, NSF OPP 1836774]; Academy of Finland [256991]; JPI Climate [291581]; National Geographic Society [CP-061R-17]; Natural Environment Research Council [NE/L011859/1]; Swedish Research Council [2017-04515]; U.S. National Aeronautics and Space Administration (NASA grant) [NNX16AJ92G S03]; Joint Institute for the Study of the Atmosphere and Ocean (JISAO) under the U.S. National Oceanographic and Atmospheric Administration (NOAA cooperative agreement) [NA15OAR4320063, 2018-0181]; NOAA Pacific Marine Environmental Laboratory [4900]; NERC [cpom30001, NE/L011859/1] Funding Source: UKRI; Swedish Research Council [2017-04515] Funding Source: Swedish Research Council</t>
  </si>
  <si>
    <t>U.S. National Science Foundation(National Science Foundation (NSF)); Academy of Finland(Research Council of Finland); JPI Climate; National Geographic Society(National Geographic Society); Natural Environment Research Council(UK Research &amp; Innovation (UKRI)Natural Environment Research Council (NERC)); Swedish Research Council(Swedish Research Council); U.S. National Aeronautics and Space Administration (NASA grant); Joint Institute for the Study of the Atmosphere and Ocean (JISAO) under the U.S. National Oceanographic and Atmospheric Administration (NOAA cooperative agreement); NOAA Pacific Marine Environmental Laboratory(National Oceanic Atmospheric Admin (NOAA) - USA); NERC(UK Research &amp; Innovation (UKRI)Natural Environment Research Council (NERC)); Swedish Research Council(Swedish Research Council)</t>
  </si>
  <si>
    <t>Funding was provided by grants from the U.S. National Science Foundation (NSF OPP 1738934 to R.B.A., NSF OPP 1637708 to M.N.G. and R.A.V., and NSF OPP 1748052 and NSF OPP 1836774 to E.P.), the Academy of Finland (decision no. 256991) and JPI Climate (no. 291581) (to B.C.F), the National Geographic Society (CP-061R-17 to J.T.K.), the Natural Environment Research Council (NE/L011859/1 to M.M.-F.), the Swedish Research Council (2017-04515 to J.O.), the U.S. National Aeronautics and Space Administration (NASA grant NNX16AJ92G S03 to J.C.S.), and the Joint Institute for the Study of the Atmosphere and Ocean (JISAO) under the U.S. National Oceanographic and Atmospheric Administration (NOAA cooperative agreement NA15OAR4320063, contribution no. 2018-0181) and the NOAA Pacific Marine Environmental Laboratory (contribution no. 4900) (to M.W.).</t>
  </si>
  <si>
    <t>2375-2548</t>
  </si>
  <si>
    <t>SCI ADV</t>
  </si>
  <si>
    <t>Sci. Adv.</t>
  </si>
  <si>
    <t>eaaw9883</t>
  </si>
  <si>
    <t>10.1126/sciadv.aaw9883</t>
  </si>
  <si>
    <t>JZ4JZ</t>
  </si>
  <si>
    <t>WOS:000505069600023</t>
  </si>
  <si>
    <t>Márquez, SL; Atalah, J; Blamey, JM</t>
  </si>
  <si>
    <t>Marquez, Sebastian L.; Atalah, Joaquin; Blamey, Jenny M.</t>
  </si>
  <si>
    <t>Characterization of a novel thermostable (S)-amine-transaminase from an Antarctic moderately-thermophilic bacterium Albidovulum sp. SLM16</t>
  </si>
  <si>
    <t>ENZYME AND MICROBIAL TECHNOLOGY</t>
  </si>
  <si>
    <t>Amine-transaminase; Thermostability; Biocatalysis; Antarctic bacterium</t>
  </si>
  <si>
    <t>AMINE-PYRUVATE TRANSAMINASE; DUAL SUBSTRATE RECOGNITION; OMEGA-TRANSAMINASE; ASYMMETRIC-SYNTHESIS; QUATERNARY STRUCTURE; CRYSTAL-STRUCTURES; STRUCTURAL BASIS; ENZYME CONTROLS; CHIRAL AMINES; AMINOTRANSFERASE</t>
  </si>
  <si>
    <t>Amine-transaminases (ATAs) are enzymes that catalyze the reversible transfer of an amino group between primary amines and carbonyl compounds. They have been widely studied in the last decades for their application in stereoselective synthesis of chiral amines, which are one of the most valuable building blocks in pharmaceuticals manufacturing. Their excellent enantioselectivity, use of low-cost substrates and no need for external cofactors has turned these enzymes into a promising alternative to the chemical synthesis of chiral amines. Nevertheless, its application at industrial scale remains limited mainly because most of the available ATAs are scarcely tolerant to harsh reaction conditions such as high temperatures and presence of organic solvents. In this work, a novel (S)-ATA was discovered in a thermophilic bacterium, Albidovulum sp. SLM16, isolated from a geothermal Antarctic environmental sample, more specifically from a shoreline fumarole in Deception Island. The transaminase-coding gene was identified in the genome of the microorganism, cloned and overexpressed in Escherichia coli for biochemical characterization. The activity of the recombinant ATA was optimal at 65 degrees C and pH 9.5. Molecular mass estimates suggest a 75 kDa homodimeric structure. The enzyme turned out to be highly thermostable, maintaining 80% of its specific activity after 5 days of incubation at 50 degrees C. These results indicate that ATA_SLM16 is an excellent candidate for potential applications in biocatalytic synthesis. To the best of our knowledge, this would be the first report of the characterization of a thermostable (S)-ATA discovered by means of in vivo screening of thermophilic microorganisms.</t>
  </si>
  <si>
    <t>[Marquez, Sebastian L.; Blamey, Jenny M.] Univ Santiago Chile, Dept Biol, Fac Quim &amp; Biol, Santiago, Chile; [Marquez, Sebastian L.; Atalah, Joaquin; Blamey, Jenny M.] Fdn Cient &amp; Cultural Biociencia, Santiago, Chile</t>
  </si>
  <si>
    <t>Universidad de Santiago de Chile</t>
  </si>
  <si>
    <t>Blamey, JM (corresponding author), Jose Domingo Canas 2280, Santiago, Chile.</t>
  </si>
  <si>
    <t>jblamey@bioscience.cl</t>
  </si>
  <si>
    <t>Blamey, Jenny M/M-2637-2014</t>
  </si>
  <si>
    <t>Blamey, Jenny M/0000-0002-7640-316X; Atalah, Joaquin/0000-0002-8057-1035</t>
  </si>
  <si>
    <t>Becas CONICYT (Comisibn Nacional de Investigacibn Cientifica y Tecnologica); INACH (Instituto Antartico Chileno)</t>
  </si>
  <si>
    <t>We acknowledge the financial support of Becas CONICYT (Comisibn Nacional de Investigacibn Cientifica y Tecnologica) and INACH (Instituto Antartico Chileno).</t>
  </si>
  <si>
    <t>ELSEVIER SCIENCE INC</t>
  </si>
  <si>
    <t>STE 800, 230 PARK AVE, NEW YORK, NY 10169 USA</t>
  </si>
  <si>
    <t>0141-0229</t>
  </si>
  <si>
    <t>1879-0909</t>
  </si>
  <si>
    <t>ENZYME MICROB TECH</t>
  </si>
  <si>
    <t>Enzyme Microb. Technol.</t>
  </si>
  <si>
    <t>10.1016/j.enzmictec.2019.109423</t>
  </si>
  <si>
    <t>Biotechnology &amp; Applied Microbiology</t>
  </si>
  <si>
    <t>JN0PV</t>
  </si>
  <si>
    <t>WOS:000496607400028</t>
  </si>
  <si>
    <t>Wang, YF; Hou, YH; Wang, YT; Zheng, L; Wang, QF</t>
  </si>
  <si>
    <t>Wang, Yifan; Hou, Yanhua; Wang, Yatong; Zheng, Lu; Wang, Quanfu</t>
  </si>
  <si>
    <t>A novel cold-adapted nitroreductase from Psychrobactersp. ANT206: Heterologous expression, characterization and nitrobenzene reduction capacity</t>
  </si>
  <si>
    <t>Cold-adapted; Nitroreductase; Characterization; Bioreduction; Nitrobenzene</t>
  </si>
  <si>
    <t>BIOCHEMICAL-CHARACTERIZATION; NITROAROMATIC COMPOUNDS; ESCHERICHIA-COLI; PURIFICATION; DEGRADATION; TRANSFORMATION; 1-NITROPYRENE; MUTAGENICITY; NITROPHENOLS; ADAPTATION</t>
  </si>
  <si>
    <t>Widely used in multiple industrial processes, nitro-aromatic compounds, especially nitrobenzene, in low temperature environment are considered as heavy pollutants. Among the disposal methods, the bioreduction method has attracted much attention. In this study, a novel cold-adapted nitroreductase gene (psntr) was cloned from Antarctic sea-ice bacteria Psychrobacter sp. ANT206. The psntr gene was 813 by in length and encoded a protein with flavin mononucleotide (FMN) binding sites. Homology modeling was performed to obtain structural information such as the longer loops and reduced amount of hydrogen bonds, which might be related to the high catalytic efficiency of PsNTR at low temperature. The psntr gene was successfully cloned in cold-shock pCold I vector and transformed to the expression host Escherichia coli (E. coli) BL21 with the induction by isopropyl beta-D-thiogalactoside (IPTG) at low temperature (16 degrees C) for 24 h. The recombinant PsNTR (rPsNTR) was purified using Ni-NTA with the specific activity of 51.59 mu mol/min(/)mg. Interestingly, rPsNTR displayed the highest activity at 25 degrees C and still maintained 46.9% of the activity at 0 degrees C. rPsNTR also exhibited the highest activity (136.4%) at 1.0 M NaCl with incredible salt tolerance. The kinetic parameters and substrates specificity analysis demonstrated that rPsNTR could reduce various nitro-aromatic compounds. Moreover, the result of the reduction capability revealed that the recombinant E. coli exhibited a maximum nitrobenzene reduction rate of 3.03 mM/h at 16 degrees C. These findings revealed that the characteristics of rPsNTR might make it an excellent candidate for the bioreduction of various nitro-aromatic compounds in the low temperature and high-salt wastewater.</t>
  </si>
  <si>
    <t>[Wang, Yifan; Wang, Yatong; Wang, Quanfu] Harbin Inst Technol, Sch Environm, Harbin 150090, Heilongjiang, Peoples R China; [Hou, Yanhua; Zheng, Lu; Wang, Quanfu] Harbin Inst Technol, Sch Marine Sci &amp; Technol, Weihai 264209, Peoples R China</t>
  </si>
  <si>
    <t>Harbin Institute of Technology; Harbin Institute of Technology</t>
  </si>
  <si>
    <t>Wang, QF (corresponding author), Harbin Inst Technol, Sch Environm, Harbin 150090, Heilongjiang, Peoples R China.;Hou, YH; Wang, QF (corresponding author), Harbin Inst Technol, Sch Marine Sci &amp; Technol, Weihai 264209, Peoples R China.</t>
  </si>
  <si>
    <t>marry7718@163.com; wangquanfu2000@126.com</t>
  </si>
  <si>
    <t>wang, yatong/KDN-3824-2024; WANG, YIFAN/AAW-1973-2021; wang, quan fu/K-9703-2018</t>
  </si>
  <si>
    <t>WANG, YIFAN/0000-0001-5525-3169; wang, quan fu/0000-0002-3885-5464</t>
  </si>
  <si>
    <t>National Natural Science Foundation of China, China [418761491]; Key Research and Development Plan of Shandong Province, China [2018GHY115021, 2019GHY1120311]; Natural Science Foundation of Shandong Province, China [ZR2017MC046, ZR2019MD018]</t>
  </si>
  <si>
    <t>National Natural Science Foundation of China, China(National Natural Science Foundation of China (NSFC)); Key Research and Development Plan of Shandong Province, China; Natural Science Foundation of Shandong Province, China(Natural Science Foundation of Shandong Province)</t>
  </si>
  <si>
    <t>This work was supported by the National Natural Science Foundation of China, China [grant number 418761491; the Key Research and Development Plan of Shandong Province, China [grant number 2018GHY115021 and 2019GHY1120311; and the Natural Science Foundation of Shandong Province, China [grant numbers ZR2017MC046 and ZR2019MD018].</t>
  </si>
  <si>
    <t>10.1016/j.enzmictec.2019.109434</t>
  </si>
  <si>
    <t>WOS:000496607400022</t>
  </si>
  <si>
    <t>Zacher, K; Bernard, M; Moreno, AD; Bartsch, I</t>
  </si>
  <si>
    <t>Zacher, Katharina; Bernard, Miriam; Moreno, Alberto Daniel; Bartsch, Inka</t>
  </si>
  <si>
    <t>Temperature mediates the outcome of species interactions in early life-history stages of two sympatric kelp species</t>
  </si>
  <si>
    <t>MARINE BIOLOGY</t>
  </si>
  <si>
    <t>GIANT-KELP; INTERSPECIFIC COMPETITION; NUTRIENT CONCENTRATION; MACROCYSTIS-PYRIFERA; LAMINARIA; RECRUITMENT; PHAEOPHYCEAE; REPRODUCTION; SETTLEMENT; ECOSYSTEM</t>
  </si>
  <si>
    <t>Ocean warming can mediate species interactions and provoke changes in community structure worldwide. Species interactions vary along environmental gradients and life-history stages and increasing temperatures may change competitive dominance between species. Kelps, being marine foundation species, have a complex heteromorphic life cycle, with the early developmental stages being a bottleneck for successful establishment of the adult population. Here, we investigated how temperature influences interactions in early life-history stages of two kelp species with different thermal affinities (Alaria esculenta and Laminaria digitata from Spitsbergen) by cultivating them in mono- and co-culture and different temperatures. Irrespectively of cultivation treatment, spore germination, gametogenesis, and sporophyte development of both species were mostly positively stimulated by a temperature increase from mean ambient summer temperatures (4-5 degrees C) to a global warming scenario for the Arctic future (9-10 degrees C) but not at 15 degrees C which is the southern temperature limit of A. esculenta. At 15 degrees C gametogenesis and sporophyte formation of A. esculenta were greatly inhibited in monoculture but not so in L. digitata. On the other hand at 5 degrees C and 10 degrees C, gametogenesis and sporophyte growth were generally faster in A. esculenta than in L. digitata, leading to a competitive advantage of A. esculenta over L. digitata in the co-cultivation treatments. The interactive effects of co-cultivation and temperature were evident, where development of A. esculenta was accelerated in the presence of L. digitata at 9 degrees C but not at 4 degrees C. Although the mechanisms triggering interspecific interactions were not determined in this study, future global warming was found to give competitive advantage of A. esculenta over L. digitata, which could affect community structure and dominance in coastal environments.</t>
  </si>
  <si>
    <t>[Zacher, Katharina; Bernard, Miriam; Moreno, Alberto Daniel; Bartsch, Inka] Helmholtz Ctr Polar &amp; Marine Res, Alfred Wegener Inst, Handelshafen 12, D-27570 Bremerhaven, Germany; [Bernard, Miriam] Wageningen Marine Res, Korringaweg 7, NL-4401 NT Yerseke, Netherlands</t>
  </si>
  <si>
    <t>Helmholtz Association; Alfred Wegener Institute, Helmholtz Centre for Polar &amp; Marine Research; Wageningen University &amp; Research</t>
  </si>
  <si>
    <t>Zacher, K (corresponding author), Helmholtz Ctr Polar &amp; Marine Res, Alfred Wegener Inst, Handelshafen 12, D-27570 Bremerhaven, Germany.</t>
  </si>
  <si>
    <t>Katharina.Zacher@awi.de</t>
  </si>
  <si>
    <t>Zacher, Katharina/0000-0001-8897-1255; Kotter (geb. Bernard), Miriam S./0000-0002-7253-2933</t>
  </si>
  <si>
    <t>Deutsche Forschungsgemeinschaft (DFG) [Za735/1-1]; EMBC + program</t>
  </si>
  <si>
    <t>Deutsche Forschungsgemeinschaft (DFG)(German Research Foundation (DFG)); EMBC + program</t>
  </si>
  <si>
    <t>This research was performed at the Ny Alesund International Research and Monitoring Facility on Svalbard as part of the long-term project KOL 06 'The biology of Arctic benthic algae'. We would like to thank the diving group under the leadership of Max Schwanitz for sampling the fertile kelps and the AWIPEV team 2014 for their logistic support, as well as Andreas Wagner for establishing the gametophyte culture material and Claudia Daniel for taking care of experiment 2. We further thank the four reviewers and the associated editor of Marine Biology for their very valuable comments on the manuscript. Special thanks goes to J. Bartsch for the English editing. This work was supported by the Deutsche Forschungsgemeinschaft (DFG) in the framework of the priority program Antarctic Research with comparative investigations in Arctic ice areas by a grant Za735/1-1. ADM thanks the EMBC + program for financial support.</t>
  </si>
  <si>
    <t>0025-3162</t>
  </si>
  <si>
    <t>1432-1793</t>
  </si>
  <si>
    <t>MAR BIOL</t>
  </si>
  <si>
    <t>Mar. Biol.</t>
  </si>
  <si>
    <t>10.1007/s00227-019-3600-7</t>
  </si>
  <si>
    <t>JM8NE</t>
  </si>
  <si>
    <t>WOS:000496464000011</t>
  </si>
  <si>
    <t>Baba, S; Osanai, Y; Adachi, T; Nakano, N; Hokada, T; Toyoshima, T</t>
  </si>
  <si>
    <t>Baba, Sotaro; Osanai, Yasuhito; Adachi, Tatsuro; Nakano, Nobuhiko; Hokada, Tomokazu; Toyoshima, Tsuyoshi</t>
  </si>
  <si>
    <t>Metamorphic P-T conditions and variation of REE between two garnet generations from granulites in the Sor-Rondane mountains, East Antarctica</t>
  </si>
  <si>
    <t>MINERALOGY AND PETROLOGY</t>
  </si>
  <si>
    <t>Garnet textures; Garnet rare-earth element; Spinel-quartz assemblage; Feldspar solvus; Ultrahigh-temperature meyamorphism; Sor-Rondane Mountains; Antarctica</t>
  </si>
  <si>
    <t>ULTRAHIGH-TEMPERATURE METAMORPHISM; CALCULATED PHASE-EQUILIBRIA; ROCK-FORMING SILICATES; RARE-EARTH-ELEMENTS; DRONNING MAUD LAND; ORTHO-PYROXENE; RAYLEIGH FRACTIONATION; NAPIER COMPLEX; SUTURE ZONE; DEGREES-C</t>
  </si>
  <si>
    <t>In this paper, we describe the metamorphic conditions of Fe-rich granulite and variations in rare earth elements (REE) between peak garnet porphyroblasts and secondary garnet coronae. The Fe-rich granulites were collected from Vesthaugen, Sor-Rondane Mountains, East Antarctica, and consist mainly of cordierite, garnet, spinel, perthite, K-feldspar, plagioclase, and orthopyroxene or sillimanite. Temperatures estimated from perthitc-mesoperthitic feldspar compositions, experimentally calibrated geothermobarometers and the modeling of P-T pseudosections suggest that the rocks experienced peak ultrahigh-temperature (UHT) metamorphic conditions of 900-950 degrees C and 5.0 +/- 0.5 kbar. Spinel contains quartz inclusions that also provide evidence for UHT metamorphism. Evidence of partial melting is characterized by the presence of leucocratic bands. The second generation of garnet occurs as coronae around spinel, formed during isobaric cooling following the peak conditions of UHT metamorphism. Garnet coronae and garnet porphyroblasts have distinct trace element patterns. Textural evidence and REE geochemistry suggest that the development of garnet coronae was controlled by (1) the REE composition of reactant phases and melt and/or (2) the crystallization of HREE-rich accessory phases (e.g., zircon and monazite) during secondary garnet growth.</t>
  </si>
  <si>
    <t>[Baba, Sotaro] Univ Ryukyus, Dept Nat Environm, Nishihara, Okinawa 9030213, Japan; [Osanai, Yasuhito; Adachi, Tatsuro; Nakano, Nobuhiko] Kyushu Univ, Div Earth Sci, Fac Social &amp; Cultural Studies, Fukuoka, Fukuoka 8190395, Japan; [Hokada, Tomokazu] Natl Inst Polar Res, Tokyo 1908518, Japan; [Hokada, Tomokazu] Grad Univ Adv Studies, Dept Polar Sci, Tokyo 1908518, Japan; [Toyoshima, Tsuyoshi] Niigata Univ, Grad Sch Sci &amp; Technol, Niigata 9502181, Japan</t>
  </si>
  <si>
    <t>University of the Ryukyus; Kyushu University; Research Organization of Information &amp; Systems (ROIS); National Institute of Polar Research (NIPR) - Japan; Graduate University for Advanced Studies - Japan; Niigata University</t>
  </si>
  <si>
    <t>Baba, S (corresponding author), Univ Ryukyus, Dept Nat Environm, Nishihara, Okinawa 9030213, Japan.</t>
  </si>
  <si>
    <t>baba@edu.u-ryukyu.ac.jp</t>
  </si>
  <si>
    <t>Baba, Sotaro/H-3107-2013; Baba, Sotaro/HGU-7234-2022; Baba, Sotaro/AGX-7968-2022</t>
  </si>
  <si>
    <t>Baba, Sotaro/0000-0003-2969-9575; Baba, Sotaro/0000-0003-2969-9575; Baba, Sotaro/0000-0003-2969-9575</t>
  </si>
  <si>
    <t>National Institute of Polar Research [25-17]; Japan Society for the Promotion of Science (JSPS) [15 K05346]</t>
  </si>
  <si>
    <t>National Institute of Polar Research(National Institute of Polar Research (NIPR) - Japan); Japan Society for the Promotion of Science (JSPS)(Ministry of Education, Culture, Sports, Science and Technology, Japan (MEXT)Japan Society for the Promotion of Science)</t>
  </si>
  <si>
    <t>This work was partly supported by the National Institute of Polar Research [General Collaboration Projects 25-17] and the Japan Society for the Promotion of Science (JSPS) [15 K05346 to S. B.]. Wewould like to thank the members of 48th and 49th Japan Antarctic Research Expedition (JARE), and the crew of the icebreaker SHIRASE. We also thank A. Hubert, G. Johnson-Amin, and members of the Belgian Antarctic Research Station (2007-2008) for supporting our fieldwork. We acknowledge K. Shiraishi, Y. Motoyoshi, Y. Hiroi, H. Ishizuka, T. Kawasaki, M. Owada. K. Das and E.S. Grew for valuable discussions and comments. Constructive comments by Shah Wali Faryad, Leo Kriegsman, Fawna Korhonen, Gary Stevens, Geoffrey Grantham and an anonymous reviewer improved this manuscript and are gratefully acknowledged. We thank Shah Wali Faryad and M.A.T.M. Broekmans for editorial handling.</t>
  </si>
  <si>
    <t>SPRINGER WIEN</t>
  </si>
  <si>
    <t>WIEN</t>
  </si>
  <si>
    <t>SACHSENPLATZ 4-6, PO BOX 89, A-1201 WIEN, AUSTRIA</t>
  </si>
  <si>
    <t>0930-0708</t>
  </si>
  <si>
    <t>1438-1168</t>
  </si>
  <si>
    <t>MINER PETROL</t>
  </si>
  <si>
    <t>Mineral. Petrol.</t>
  </si>
  <si>
    <t>10.1007/s00710-019-00680-0</t>
  </si>
  <si>
    <t>Geochemistry &amp; Geophysics; Mineralogy</t>
  </si>
  <si>
    <t>JM8JM</t>
  </si>
  <si>
    <t>WOS:000496454400007</t>
  </si>
  <si>
    <t>Yang, J; Du, ZH; Xiao, CD</t>
  </si>
  <si>
    <t>Yang Jiao; Du Zhiheng; Xiao Cunde</t>
  </si>
  <si>
    <t>Sea Salt Sodium Record in a Shallow Ice Core from East Antarctica as a Potential Proxy of the Antarctic Sea Ice Extent in Southern Indian Ocean</t>
  </si>
  <si>
    <t>JOURNAL OF OCEAN UNIVERSITY OF CHINA</t>
  </si>
  <si>
    <t>ice core; East Antarctica; sea ice; climate change; southern Indian Ocean</t>
  </si>
  <si>
    <t>PRINCESS ELIZABETH LAND; SEASONAL-VARIATIONS; SURFACE CLIMATE; ANNULAR MODES; DOME-C; TRENDS; VARIABILITY; CHEMISTRY; COASTAL; SNOW</t>
  </si>
  <si>
    <t>Antarctic sea ice has experienced an increasing trend in recent decades, especially in the Ross Sea and Indian Ocean sectors. Sea ice variability affects greatly the maritime airmass transport from high latitude to Antarctic continent. Here we present a new ice core record of sea salt sodium (ssNa(+)) concentration at annual-resolution in the Princess Elizabeth Land spanning from 1990 to 2016, showing that this marker could be used as a potential proxy for reconstructing the sea ice extent (SIE) in the Southern Indian Ocean (SIO) given their significant correlation (R = -0.6, P &lt;0.01) over the past 27 years. The correlation and composite analyses results show that the ssNa(+) at the 202 km inland from Zhongshan Station and the SIE changes in SIO are closely related to the Indian Ocean Dipole (IOD) and Southern Annular Mode (SAM). The northward wind in central SIO occurs during positive IOD and the strengthened westerlies occurs during positive SAM, both of which favor increased sea ice in SIO and lead to the decreased ssNa(+) concentration at the coastal site.</t>
  </si>
  <si>
    <t>[Yang Jiao; Du Zhiheng; Xiao Cunde] Chinese Acad Sci, Northwest Inst Ecoenvironm &amp; Resources, State Key Lab Cryospher Sci, Lanzhou 730000, Gansu, Peoples R China; [Xiao Cunde] Beijing Normal Univ, State Key Lab Earth Surface Proc &amp; Resource Ecol, Beijing 100875, Peoples R China; [Yang Jiao] Univ Chinese Acad Sci, Coll Resources &amp; Environm, Beijing 100049, Peoples R China</t>
  </si>
  <si>
    <t>Chinese Academy of Sciences; Beijing Normal University; Chinese Academy of Sciences; University of Chinese Academy of Sciences, CAS</t>
  </si>
  <si>
    <t>Du, ZH (corresponding author), Chinese Acad Sci, Northwest Inst Ecoenvironm &amp; Resources, State Key Lab Cryospher Sci, Lanzhou 730000, Gansu, Peoples R China.</t>
  </si>
  <si>
    <t>duzhiheng10@163.com</t>
  </si>
  <si>
    <t>Yang, Jiao/JTV-6688-2023</t>
  </si>
  <si>
    <t>Strategic Priority Research Program of the Chinese Academy of Sciences [XDA19070103]; National Natural Science Foundation of China [41425003, 41701071]; National Key Research and Development Program of China [2018 YFC1406100]; CAS 'Light of West China' Program</t>
  </si>
  <si>
    <t>Strategic Priority Research Program of the Chinese Academy of Sciences(Chinese Academy of Sciences); National Natural Science Foundation of China(National Natural Science Foundation of China (NSFC)); National Key Research and Development Program of China; CAS 'Light of West China' Program</t>
  </si>
  <si>
    <t>This work was supported by the Strategic Priority Research Program of the Chinese Academy of Sciences (No. XDA19070103), the National Natural Science Foundation of China (Nos. 41425003, 41701071), the National Key Research and Development Program of China (No. 2018 YFC1406100), and the CAS 'Light of West China' Program. Thanks are to logistics support of Mrs. Fuhai Wei, Xu Yao and Nan Zhang.</t>
  </si>
  <si>
    <t>OCEAN UNIV CHINA</t>
  </si>
  <si>
    <t>QINGDAO</t>
  </si>
  <si>
    <t>5 YUSHAN RD, QINGDAO, 266003, PEOPLES R CHINA</t>
  </si>
  <si>
    <t>1672-5182</t>
  </si>
  <si>
    <t>1993-5021</t>
  </si>
  <si>
    <t>J OCEAN U CHINA</t>
  </si>
  <si>
    <t>J. OCEAN UNIV.</t>
  </si>
  <si>
    <t>10.1007/s11802-019-4084-2</t>
  </si>
  <si>
    <t>JL8PQ</t>
  </si>
  <si>
    <t>WOS:000495789900012</t>
  </si>
  <si>
    <t>Han, WB; Wang, NF; Ma, Y; Lv, JJ; Wang, S; Zhang, BT; Jiang, ZH; Cao, HS</t>
  </si>
  <si>
    <t>Han Wenbing; Wang Nengfei; Ma Yue; Lv Jinjiang; Wang Shuang; Zhang Botao; Jiang Zhihui; Cao Huansheng</t>
  </si>
  <si>
    <t>The Effect of Organic Carbon on Soil Bacterial Diversity in an Antarctic Lake Region</t>
  </si>
  <si>
    <t>bacterial community composition; geochemical factor; high-throughput sequencing; organic carbon</t>
  </si>
  <si>
    <t>COMMUNITY STRUCTURE; MICROBIAL COMMUNITIES; BIOTIC INTERACTIONS; TRANSFORMATION; FRACTIONS; SEQUENCES; GRADIENT</t>
  </si>
  <si>
    <t>This study assessed the effects of changes in organic carbon content on soil bacterial community composition and diversity in the Antarctic Fildes Peninsula. 16S rRNA gene sequencing was performed to investigate bacterial community composition. Firstly, we found that organic carbon (OrC) and nutrients showed an increasing trend in the lake area. Secondly, soil geochemistry changes affected microbial composition in the soil. Specifically, we found 3416 operational taxonomical units (OTUs) in 300 genera in five main phyla: Proteobacteria, Actinobacteria, Acidobacteria, Chloroflexi, and Bacteroidetes. Although the diversity was similar among the four sites, the composition was different. Among them, Hungateii content changed very significantly, from 16.67% to 33.33%. Canonical correspondence analysis showed that most measured geochemical factors were relevant in structuring microbiomes, and organic carbon concentration showed the highest correlation, followed by NO3--N. Hungateii was significantly correlated with the content of organic carbon. Our finding suggested organic carbon played an important role in soil bacterial communities of the Antarctic coastal lake region.</t>
  </si>
  <si>
    <t>[Han Wenbing; Lv Jinjiang; Zhang Botao] Qingdao Univ, Coll Chem &amp; Chem Engn, Qingdao 266071, Shandong, Peoples R China; [Wang Nengfei] State Ocean Adm, Inst Oceanog 1, Key Lab Marine Bioact Subst, Qingdao 266061, Shandong, Peoples R China; [Ma Yue] Qingdao Univ Sci &amp; Technol, Dept Bioengn, Coll Marine Sci &amp; Biol Engn, Qingdao 266042, Shandong, Peoples R China; [Wang Shuang] Qingdao Univ, Sch Basic Med, Qingdao 266071, Shandong, Peoples R China; [Jiang Zhihui] State Ocean Adm, Key Lab Marine Sci &amp; Numer Modeling, Qingdao 266061, Shandong, Peoples R China; [Cao Huansheng] Arizona State Univ, Biodesign Inst, Ctr Fundamental &amp; Appl Microbiom, Tempe, AZ 85287 USA</t>
  </si>
  <si>
    <t>Qingdao University; First Institute of Oceanography, Ministry of Natural Resources; Qingdao University of Science &amp; Technology; Qingdao University; Arizona State University; Arizona State University-Tempe</t>
  </si>
  <si>
    <t>Wang, NF (corresponding author), State Ocean Adm, Inst Oceanog 1, Key Lab Marine Bioact Subst, Qingdao 266061, Shandong, Peoples R China.</t>
  </si>
  <si>
    <t>wangnengfei@fio.org.cn</t>
  </si>
  <si>
    <t>National Natural Science Foundation of China [41776198]; Basic Scientific Fund for National Public Research Institutes of China [GY0219Q10]; Development Fund of Marine Bioactive Substances, SOA [MBSMAT-2017-01]</t>
  </si>
  <si>
    <t>National Natural Science Foundation of China(National Natural Science Foundation of China (NSFC)); Basic Scientific Fund for National Public Research Institutes of China; Development Fund of Marine Bioactive Substances, SOA</t>
  </si>
  <si>
    <t>This research was supported by the National Natural Science Foundation of China (No. 41776198), the Basic Scientific Fund for National Public Research Institutes of China (No. GY0219Q10), and the Development Fund of Marine Bioactive Substances, SOA (No. MBSMAT-2017-01).</t>
  </si>
  <si>
    <t>10.1007/s11802-019-4097-x</t>
  </si>
  <si>
    <t>WOS:000495789900017</t>
  </si>
  <si>
    <t>Lu, CH; Guan, ZY</t>
  </si>
  <si>
    <t>Lu, Chuhan; Guan, Zhaoyong</t>
  </si>
  <si>
    <t>On the Interrelation between Spring Bihemispheric Circulations at Middle and High Latitudes</t>
  </si>
  <si>
    <t>ADVANCES IN ATMOSPHERIC SCIENCES</t>
  </si>
  <si>
    <t>bihemispheric interaction; extratropical atmosphere; interhemispheric oscillation</t>
  </si>
  <si>
    <t>ARCTIC OSCILLATION; INTERHEMISPHERIC OSCILLATIONS; SEASONAL CYCLE; MASS-EXCHANGE; ANNULAR MODES; TELECONNECTIONS; SIGNATURE; PRESSURE; PACIFIC; ENSO</t>
  </si>
  <si>
    <t>Bihemispheric atmospheric interaction and teleconnection allow us to deepen our understanding of large-scale climate and weather variability. This study uses 1979-2017 spring NCEP reanalysis to show that there is interrelation between bihemispheric circulations at the extratropics. This is regarded as a significant negative correlation between the Antarctic and the Arctic regional surface air pressure anomalies, which is induced by interhemispheric oscillation (IHO) of the atmospheric mass. The spatial pattern of IHO is characterized by antiphase extratropical airmass anomalies and geopotential height anomalies from the troposphere to stratosphere between the Southern and Northern Hemisphere. IHO is closely related to stronger bihemispheric low-frequency signals such as Antarctic Oscillation and Arctic Oscillation, thereby demonstrating that IHO can be interpreted as a tie in linking these two dominant extratropical circulations of both hemispheres. IHO is associated with a strong meridional teleconnection in zonal winds from the middle-high troposphere to the lower stratosphere, with the wind anomalies in the form of alternate positive-negative wavy bands extending from the Antarctic to Arctic region, which act as a possible approach to interactions between the bihemispheric atmospheric mass. It is argued that IHO-related omega angular momentum anomalies led by the extratropical atmosphere cause the meridional teleconnection of relative angular momenta, thereby giving rise to the zonal wind anomalies. The modeling of GFDL and UKMO as components of the CMIP5 project have been verified, achieving the related IHO structure shown in the present paper.</t>
  </si>
  <si>
    <t>[Lu, Chuhan; Guan, Zhaoyong] Nanjing Univ Informat Sci &amp; Technol, Collaborat Innovat Ctr Forecast &amp; Evaluat Meteoro, Minist Educ, Key Lab Meteorol Disaster, Nanjing 210044, Jiangsu, Peoples R China</t>
  </si>
  <si>
    <t>Nanjing University of Information Science &amp; Technology</t>
  </si>
  <si>
    <t>Lu, CH (corresponding author), Nanjing Univ Informat Sci &amp; Technol, Collaborat Innovat Ctr Forecast &amp; Evaluat Meteoro, Minist Educ, Key Lab Meteorol Disaster, Nanjing 210044, Jiangsu, Peoples R China.</t>
  </si>
  <si>
    <t>luchuhan@nuist.edu.cn</t>
  </si>
  <si>
    <t>National Basic Research Program of China [2015CB953904]; National Natural Science Foundation of China [41975073, 41575081, 41741005]</t>
  </si>
  <si>
    <t>National Basic Research Program of China(National Basic Research Program of China); National Natural Science Foundation of China(National Natural Science Foundation of China (NSFC))</t>
  </si>
  <si>
    <t>The authors would like to thank the Center of Atmospheric Data Service, Nanjing University of Information Science &amp; Technology, under the Geoscience Department of the National Natural Science Foundation of China, and NOAACIRES Climate Diagnostics Center (http://www.cdc.noaa.gov/cdc/reanalysis/reanalysis.shtml) for providing data. This work is supported jointly by the National Basic Research Program of China (Grant No. 2015CB953904) and the National Natural Science Foundation of China (Grant Nos. 41975073, 41575081 and 41741005).</t>
  </si>
  <si>
    <t>0256-1530</t>
  </si>
  <si>
    <t>1861-9533</t>
  </si>
  <si>
    <t>ADV ATMOS SCI</t>
  </si>
  <si>
    <t>Adv. Atmos. Sci.</t>
  </si>
  <si>
    <t>10.1007/s00376-019-9047-4</t>
  </si>
  <si>
    <t>JL1KS</t>
  </si>
  <si>
    <t>WOS:000495292800006</t>
  </si>
  <si>
    <t>Yuan, XX; Wang, N; Zhang, MY; Chen, XL; Li, CY; Zhang, YZ; Shi, M; Zhang, XY</t>
  </si>
  <si>
    <t>Yuan, Xiao-xue; Wang, Ning; Zhang, Meng-yao; Chen, Xiu-lan; Li, Chun-yang; Zhang, Yu-zhong; Shi, Mei; Zhang, Xi-ying</t>
  </si>
  <si>
    <t>Chachezhania antarctica gen. nov., sp. nov., a novel member of the family 'Rhodobacteraceae' isolated from Antarctic seawater</t>
  </si>
  <si>
    <t>ANTONIE VAN LEEUWENHOEK INTERNATIONAL JOURNAL OF GENERAL AND MOLECULAR MICROBIOLOGY</t>
  </si>
  <si>
    <t>Antarctic seawater; Chachezhania antarctica gen; nov; Polyphasic taxonomy</t>
  </si>
  <si>
    <t>SEQUENCES; ALIGNMENT; BACTERIA; DNA</t>
  </si>
  <si>
    <t>A Gram-stain-negative, aerobic, non-flagellated, rod-shaped bacterium, designated strain SM1703(T), was isolated from Antarctic seawater collected near the Chinese Antarctic Great Wall Station, King George Island, West Antarctica. Phylogenetic analysis based on 16S rRNA gene sequences revealed that strain SM1703(T) formed a distinct phylogenetic lineage within the family 'Rhodobacteraceae', sharing high 16S rRNA gene sequence similarity with Marivita litorea (95.5%). The strain grew at 10-37 degrees C (optimum, 25 degrees C) and with 0.5-13% (w/v) NaCl (optimum, 3-5%). The major cellular fatty acids were C-19:0 cyclo omega 8c, C-18:1 omega 7c, C-18:1 2-OH and C-16:0 2-OH. The major polar lipids were phosphatidylglycerol, phosphatidylcholine, an unidentified aminolipid and an unidentified lipid. The genomic DNA G+C content of strain SM1703(T) was 64.6 mol%. Based on the results of the polyphasic characterization for strain SM1703(T), it is classified as the representative of a novel species in a new genus of the family 'Rhodobacteraceae', for which the name Chachezhania antarctica gen. nov., sp. nov. is proposed. The type strain of Chachezhania antarctica is SM1703(T) (=MCCC 1K03470(T)=KCTC 62794(T)=CCTCC AB 2018351(T)).</t>
  </si>
  <si>
    <t>[Yuan, Xiao-xue; Wang, Ning; Zhang, Meng-yao; Chen, Xiu-lan; Li, Chun-yang; Zhang, Yu-zhong; Shi, Mei; Zhang, Xi-ying] Shandong Univ, State Key Lab Microbial Technol, Qingdao 266237, Shandong, Peoples R China; [Yuan, Xiao-xue; Wang, Ning; Zhang, Meng-yao; Chen, Xiu-lan; Li, Chun-yang; Zhang, Yu-zhong; Shi, Mei; Zhang, Xi-ying] Shandong Univ, Marine Biotechnol Res Ctr, Qingdao 266237, Shandong, Peoples R China; [Zhang, Yu-zhong] Qingdao Natl Lab Marine Sci &amp; Technol, Lab Marine Biol &amp; Biotechnol, Qingdao 266237, Shandong, Peoples R China; [Zhang, Yu-zhong] Ocean Univ China, Coll Marine Life Sci, Qingdao 266003, Shandong, Peoples R China</t>
  </si>
  <si>
    <t>Shandong University; Shandong University; Laoshan Laboratory; Ocean University of China</t>
  </si>
  <si>
    <t>Zhang, XY (corresponding author), Shandong Univ, State Key Lab Microbial Technol, Qingdao 266237, Shandong, Peoples R China.</t>
  </si>
  <si>
    <t>zhangxiying@sdu.edu.cn</t>
  </si>
  <si>
    <t>Li, Chun-Yang/JBS-2194-2023; Zhang, Xi/HJH-1211-2023</t>
  </si>
  <si>
    <t>Li, Chun-Yang/0000-0002-1151-4897;</t>
  </si>
  <si>
    <t>National Key R&amp;D Program of China [2016YFA0601303, 2018YFC1406703, 2018YFC1406701, 2018YFC1406704]; Qingdao National Laboratory for Marine Science and Technology [2017ASTCP-OS14]; National Science Foundation of China [31670063, 31670497, 31870052]; Chinese Arctic and Antarctic Administration, State Oceanic Administration, P. R. China [2012GW04004, 2014GW07007, 2013YR03003, 2014YR01011, 15/16YR07, 2016YR07007]; Taishan Scholars Program of Shandong Province [2009TS079]; Science and Technology Basic Resources Investigation Program of China [2017FY100804]; key laboratory of global change and marine-atmospheric chemistry of the State Oceanic Administration, P. R. China [2018GCMAC16]; Natural Science Foundation of Jiangsu Province [BK20170397]</t>
  </si>
  <si>
    <t>National Key R&amp;D Program of China; Qingdao National Laboratory for Marine Science and Technology; National Science Foundation of China(National Natural Science Foundation of China (NSFC)); Chinese Arctic and Antarctic Administration, State Oceanic Administration, P. R. China; Taishan Scholars Program of Shandong Province; Science and Technology Basic Resources Investigation Program of China; key laboratory of global change and marine-atmospheric chemistry of the State Oceanic Administration, P. R. China; Natural Science Foundation of Jiangsu Province(Natural Science Foundation of Jiangsu Province)</t>
  </si>
  <si>
    <t>The work was supported by National Key R&amp;D Program of China (2016YFA0601303, 2018YFC1406703, 2018YFC1406701 and 2018YFC1406704, awarded to Mei Shi, Yu-zhong Zhang and Xi-ying Zhang, respectively), AoShan Talents Cultivation Program Supported by Qingdao National Laboratory for Marine Science and Technology (2017ASTCP-OS14, awarded to Yu-zhong Zhang), the National Science Foundation of China (Grants 31670063, 31670497 and 31870052, awarded to Xi-ying Zhang, Mei Shi and Xiu-lan Chen, respectively), Chinese Arctic and Antarctic Administration, State Oceanic Administration, P. R. China (2012GW04004, 2014GW07007, 2013YR03003, 2014YR01011, 15/16YR07 and 2016YR07007, all awarded to Yu-zhong Zhang), Taishan Scholars Program of Shandong Province (2009TS079, awarded to Yu-zhong Zhang), the Science and Technology Basic Resources Investigation Program of China (2017FY100804, awarded to Xi-ying Zhang), the funding from key laboratory of global change and marine-atmospheric chemistry of the State Oceanic Administration, P. R. China (2018GCMAC16, awarded to Xiying Zhang) and the Natural Science Foundation of Jiangsu Province (BK20170397, awarded to Chun-yang Li). Persons employed by the funders had no role in the study or in the preparation of the article or decision to publish.</t>
  </si>
  <si>
    <t>0003-6072</t>
  </si>
  <si>
    <t>1572-9699</t>
  </si>
  <si>
    <t>ANTON LEEUW INT J G</t>
  </si>
  <si>
    <t>Antonie Van Leeuwenhoek</t>
  </si>
  <si>
    <t>10.1007/s10482-019-01301-8</t>
  </si>
  <si>
    <t>JK5NQ</t>
  </si>
  <si>
    <t>WOS:000494890500013</t>
  </si>
  <si>
    <t>Liu, YD; Zhao, L; Wang, M; Wang, Q; Zhang, XR; Han, YY; Wang, MW; Jiang, T; Shao, HB; Jiang, Y; McMinn, A</t>
  </si>
  <si>
    <t>Liu, Yundan; Zhao, Lei; Wang, Min; Wang, Qi; Zhang, Xinran; Han, Yuye; Wang, Meiwen; Jiang, Tong; Shao, Hongbing; Jiang, Yong; McMinn, Andrew</t>
  </si>
  <si>
    <t>Complete genomic sequence of bacteriophage P23: a novel Vibrio phage isolated from the Yellow Sea, China</t>
  </si>
  <si>
    <t>VIRUS GENES</t>
  </si>
  <si>
    <t>Bacteriophage; Vibrio; Siphoviridae; Complete genome</t>
  </si>
  <si>
    <t>PARAHAEMOLYTICUS; IDENTIFICATION; ACID</t>
  </si>
  <si>
    <t>A novel Vibrio phage, P23, belonging to the family Siphoviridae was isolated from the surface water of the Yellow Sea, China. The complete genome of this phage was determined. A one-step growth curve showed that the latent period was approximately 30 min, the burst size was 24 PFU/cell, and the rise period was 20 min. The phage is host specific and is stable over a range of pH (5-10) and temperatures (4-65 degrees C). Transmission electron microscopy showed that phage P23 can be categorized into the Siphoviridae family, with an icosahedral head of 60 nm and a long noncontractile tail of 144 nm. The genome consisted of a linear, double-stranded 40.063 kb DNA molecule with 42.5% G+C content and 72 putative open reading frames (ORFs) without tRNA. The predicted ORFs were classified into six functional groups, including DNA replication, regulation and nucleotide metabolism, transcription, phage packaging, phage structure, lysis, and hypothetical proteins. The Vibrio phage P23 genome is a new marine Siphoviridae-family phage genome that provides basic information for further molecular research on interaction mechanisms between bacteriophages and their hosts.</t>
  </si>
  <si>
    <t>[Liu, Yundan; Wang, Min; Wang, Qi; Zhang, Xinran; Han, Yuye; Wang, Meiwen; Jiang, Tong; Shao, Hongbing; Jiang, Yong] Ocean Univ China, Coll Marine Life Sci, Qingdao, Shandong, Peoples R China; [Wang, Min; Shao, Hongbing; Jiang, Yong] Ocean Univ China, Inst Evolut &amp; Marine Biodivers, Qingdao, Shandong, Peoples R China; [Zhao, Lei] Qing Dao Municipal Hosp, Qingdao, Shandong, Peoples R China; [Wang, Min; Jiang, Yong] Ocean Univ China, Key Lab Polar Oceanog &amp; Global Ocean Change, Qingdao, Shandong, Peoples R China; [McMinn, Andrew] Univ Tasmania, Inst Marine &amp; Antarctic Studies, Hobart, Tas, Australia</t>
  </si>
  <si>
    <t>Ocean University of China; Ocean University of China; Ocean University of China; University of Tasmania</t>
  </si>
  <si>
    <t>Wang, M (corresponding author), Ocean Univ China, Coll Marine Life Sci, Qingdao, Shandong, Peoples R China.;Wang, M (corresponding author), Ocean Univ China, Inst Evolut &amp; Marine Biodivers, Qingdao, Shandong, Peoples R China.;Wang, M (corresponding author), Ocean Univ China, Key Lab Polar Oceanog &amp; Global Ocean Change, Qingdao, Shandong, Peoples R China.</t>
  </si>
  <si>
    <t>mingwang@ouc.edu.cn</t>
  </si>
  <si>
    <t>McMinn, Andrew/A-9910-2008; Jiang, Yong/AGK-3016-2022; Wang, Min/AFR-9645-2022; Wang, meiwen/IXN-2116-2023</t>
  </si>
  <si>
    <t>Jiang, Yong/0000-0002-4072-1668; Wang, Min/0000-0002-2357-589X; Jiang, Yong/0000-0001-6055-488X; McMinn, Andrew/0000-0002-2133-3854</t>
  </si>
  <si>
    <t>National Natural Science Foundation of China [41076088, 41676178, 31500339] Funding Source: Medline; Marine Scientific and Technological Innovation Project Financially Supported [2016ASKJ14, 2018SDKJ0406-6, 2018SDKJ0104-4] Funding Source: Medline; National Key Research and Development Program of China [2018YFC1406704, 2017YFA0603200] Funding Source: Medline; State Oceanic Administration People's republic of China [GASI-02-PAC- ST-MSaut, GASI-02-PAC-ST-MSwin] Funding Source: Medline; Fundamental Research Funds for the Central University of Ocean University of China [201812002, 201762017, 201562018] Funding Source: Medline</t>
  </si>
  <si>
    <t>National Natural Science Foundation of China(National Natural Science Foundation of China (NSFC)); Marine Scientific and Technological Innovation Project Financially Supported; National Key Research and Development Program of China; State Oceanic Administration People's republic of China; Fundamental Research Funds for the Central University of Ocean University of China</t>
  </si>
  <si>
    <t>0920-8569</t>
  </si>
  <si>
    <t>1572-994X</t>
  </si>
  <si>
    <t>Virus Genes</t>
  </si>
  <si>
    <t>10.1007/s11262-019-01699-3</t>
  </si>
  <si>
    <t>Genetics &amp; Heredity; Virology</t>
  </si>
  <si>
    <t>JJ9PI</t>
  </si>
  <si>
    <t>WOS:000494483500009</t>
  </si>
  <si>
    <t>Almroth, BC; de Souza, KB; Jönsson, E; Sturve, J</t>
  </si>
  <si>
    <t>Almroth, B. Carney; de Souza, K. Bresolin; Jonsson, E.; Sturve, J.</t>
  </si>
  <si>
    <t>Oxidative stress and biomarker responses in the Atlantic halibut after long term exposure to elevated CO2 and a range of temperatures</t>
  </si>
  <si>
    <t>COMPARATIVE BIOCHEMISTRY AND PHYSIOLOGY B-BIOCHEMISTRY &amp; MOLECULAR BIOLOGY</t>
  </si>
  <si>
    <t>Oxidative stress; Carbon dioxide; Ocean acidification; Temperature; Climate change; Teleost fish; Atlantic halibut; Hippoglossus hippoglossus</t>
  </si>
  <si>
    <t>CLIMATE-CHANGE; RAINBOW-TROUT; ANTIOXIDANT DEFENSES; MARINE ORGANISMS; ANTARCTIC FISH; DAMAGE; ACETYLCHOLINESTERASE; ACIDIFICATION; BUTYRYLCHOLINESTERASE; GLUTATHIONE</t>
  </si>
  <si>
    <t>CO2 emissions from human activities are increasing, resulting in greater rates of change in the oceans, exceeding any other event in geological and historical records over the past 300 million years. Oceans are warming and pH levels are decreasing. Marine organisms will need to respond to multiple stressors and the potential consequences of global change-related effects in fish needs to be investigated. Fish are affected by many biotic and abiotic environmental variables, including temperature and CO2 fluctuations, and it is therefore critical to investigate how these variables may affect physiological and biochemical processes. We investigated the effects of elevated CO2 levels (pH of 8.0, which served as a control, or 7.6, which is predicted for the year 2100) combined with exposure to different temperatures (5, 10, 12, 14, 16, and 18 degrees C) in the Atlantic halibut (Hippoglossus hippoglossus) during a three month experiment. Since regulation of reactive oxygen species (ROS) is crucial for physiological processes the focus was on the antioxidant defense system and we assessed the effects on catalytic activities of antioxidant enzymes (SOD, CAT, GR, GST, GPx). In addition we also analyzed effects on cholinesterase enzymes (AChE and BChE), and CYP1A enzyme activities (EROD). The treatments resulted in oxidative stress, and damage was evident in the form of protein carbonyls which were consistently higher in the elevated CO2 -treated fish at all temperatures. Analyses of antioxidant enzymes did not show the same results, suggesting that the exposure to elevated CO2 increased ROS formation but not defences. The antioxidant defense system was insufficient, and the resulting oxidative damage could impact physiological function of the halibut on a cellular level.</t>
  </si>
  <si>
    <t>[Almroth, B. Carney; de Souza, K. Bresolin; Jonsson, E.; Sturve, J.] Univ Gothenburg, Dept Biol &amp; Environm Sci, POB 463, SE-40530 Gothenburg, Sweden</t>
  </si>
  <si>
    <t>University of Gothenburg</t>
  </si>
  <si>
    <t>Sturve, J (corresponding author), Univ Gothenburg, Dept Biol &amp; Environm Sci, POB 463, SE-40530 Gothenburg, Sweden.</t>
  </si>
  <si>
    <t>joachim.sturve@bioenv.gu.se</t>
  </si>
  <si>
    <t>Almroth, Bethanie Carney/Q-6411-2019</t>
  </si>
  <si>
    <t>Almroth, Bethanie Carney/0000-0002-5037-4612; Sturve, Joachim/0000-0001-9370-993X</t>
  </si>
  <si>
    <t>University of Gothenburg Platform for Integrative Physiology (GRIP); Swedish Research Council for Environment, Agricultural Sciences and Spatial Planning (FORMAS)</t>
  </si>
  <si>
    <t>University of Gothenburg Platform for Integrative Physiology (GRIP); Swedish Research Council for Environment, Agricultural Sciences and Spatial Planning (FORMAS)(Swedish Research Council Formas)</t>
  </si>
  <si>
    <t>We thank the GRIP project members for their collaboration and support, and Niklas Dahr for technical assistance. The study was supported by the University of Gothenburg Platform for Integrative Physiology (GRIP) and the Swedish Research Council for Environment, Agricultural Sciences and Spatial Planning (FORMAS).</t>
  </si>
  <si>
    <t>1096-4959</t>
  </si>
  <si>
    <t>1879-1107</t>
  </si>
  <si>
    <t>COMP BIOCHEM PHYS B</t>
  </si>
  <si>
    <t>Comp. Biochem. Physiol. B-Biochem. Mol. Biol.</t>
  </si>
  <si>
    <t>10.1016/j.cbpb.2019.110321</t>
  </si>
  <si>
    <t>Biochemistry &amp; Molecular Biology; Zoology</t>
  </si>
  <si>
    <t>JI1GH</t>
  </si>
  <si>
    <t>WOS:000493213400007</t>
  </si>
  <si>
    <t>Gardinal, MVB; Ruiz, TFR; dos Santos, DD; Vidal, MR; Moron, SE; Falleiros, LR; Taboga, SR; Vicentini, IBF; Vicentini, CA</t>
  </si>
  <si>
    <t>Buzete Gardinal, Mario Vitor; Rocha Ruiz, Thalles Fernando; dos Santos, Diego Dias; Vidal, Mateus Rossetto; Moron, Sandro Estevan; Falleiros Junior, Luiz Roberto; Taboga, Sebastiao Roberto; Franceschini Vicentini, Irene Bastos; Vicentini, Carlos Alberto</t>
  </si>
  <si>
    <t>Histochemical characterization and connective fiber distribution of the cardiac outflow tract of pirarucu, Arapaima gigas (Schinz, 1822) (Osteoglossiformes, Arapaimidae)</t>
  </si>
  <si>
    <t>ZOOMORPHOLOGY</t>
  </si>
  <si>
    <t>Amazonian teleost; Collagen; Elastin; Heart; Reticular fibers</t>
  </si>
  <si>
    <t>ACIPENSER-NACCARII HEART; BULBUS ARTERIOSUS; CONUS ARTERIOSUS; ANTARCTIC TELEOSTS; VALVES; MICROSCOPY; COMPONENTS; MORPHOLOGY; POLE; EEL</t>
  </si>
  <si>
    <t>The cardiac outflow tract (OFT) in teleosts is composed of a proximal short conus arteriosus and a distal well-developed bulbus arteriosus located between the ventricle and ventral aorta. The role of these anatomical components includes structural connections, prevention of blood backflow and blood pressure control, which are related to their histological and histochemical compositions. A previous study in the heart of the Amazonian species Arapaima gigas reported an unusual OFT arrangement among teleosts that has been found only in members of Osteoglossiformes so far. Thus, considering the wide structural variability of the teleostean OFT, the present study focuses on identifying glycosaminoglycans types and describing the distribution of collagen, elastic and reticular fibers in the conus arteriosus, conal valves, and bulbus arteriosus of A. gigas. Hearts from A. gigas between 327 and 4040 g weight were used. Collagen fibers were concentrated in regions that were regularly exposed to stress, as elastic fibers showed a broad distribution in all anatomical segments. Several fibrous connections between the conal valve leaflets and the conus arteriosus were observed, possibly acting as the primary connection form. The functions of the connective fibers in the valve leaflets and the bulbus are supported by an extracellular matrix rich in non-sulfated glycosaminoglycans. The complex reticular fiber network in the compact myocardium of the conus and the smooth muscle of the bulbus wall suggests a relevant role in support contraction of both muscle types, and in attachment and mobility of the conal valve leaflets.</t>
  </si>
  <si>
    <t>[Buzete Gardinal, Mario Vitor] Sao Paulo State Univ Unesp, Inst Biosci, Dept Zool, Botucatu, SP, Brazil; [Rocha Ruiz, Thalles Fernando; dos Santos, Diego Dias; Vidal, Mateus Rossetto; Franceschini Vicentini, Irene Bastos; Vicentini, Carlos Alberto] Sao Paulo State Univ Unesp, Sch Sci, Dept Biol Sci, Bauru, SP, Brazil; [Franceschini Vicentini, Irene Bastos; Vicentini, Carlos Alberto] Sao Paulo State Univ Unesp, Aquaculture Ctr Unesp, Jaboticabal, SP, Brazil; [Moron, Sandro Estevan] UFT, Araguaina Campus, Araguaina, TO, Brazil; [Falleiros Junior, Luiz Roberto; Taboga, Sebastiao Roberto] Sao Paulo State Univ Unesp, Dept Biol, Inst Biosci Humanities &amp; Exact Sci, Sao Jose Do Rio Preto, SP, Brazil</t>
  </si>
  <si>
    <t>Universidade Estadual Paulista; Universidade Estadual Paulista; Universidade Estadual Paulista; Universidade Estadual Paulista</t>
  </si>
  <si>
    <t>Gardinal, MVB (corresponding author), Sao Paulo State Univ Unesp, Inst Biosci, Dept Zool, Botucatu, SP, Brazil.</t>
  </si>
  <si>
    <t>mario.buzete@unesp.br</t>
  </si>
  <si>
    <t>Moron, Sandro/ABA-4980-2021; Moron, Sandro Estevan/AAE-4818-2020; Santos, Diego Dias dos/X-8503-2018; Ruiz, Thalles/ABF-1105-2021; VICENTINI, CARLOS ALBERTO/H-6262-2012</t>
  </si>
  <si>
    <t>Santos, Diego Dias dos/0000-0002-1796-9577; Ruiz, Thalles/0000-0003-0544-8325; Vidal, Mateus Rossetto/0000-0002-1532-5452; Buzete Gardinal, Mario Vitor/0000-0002-7982-9430</t>
  </si>
  <si>
    <t>Coordenacao de Aperfeicoamento de Pessoal de Niivel Superior-Brasil (CAPES) [001, 157704]</t>
  </si>
  <si>
    <t>Coordenacao de Aperfeicoamento de Pessoal de Niivel Superior-Brasil (CAPES)(Coordenacao de Aperfeicoamento de Pessoal de Nivel Superior (CAPES))</t>
  </si>
  <si>
    <t>This study was financed in part by the Coordenacao de Aperfeicoamento de Pessoal de Niivel Superior-Brasil (CAPES)-Finance Code 001 (Process No. 157704).</t>
  </si>
  <si>
    <t>0720-213X</t>
  </si>
  <si>
    <t>1432-234X</t>
  </si>
  <si>
    <t>Zoomorphology</t>
  </si>
  <si>
    <t>10.1007/s00435-019-00459-z</t>
  </si>
  <si>
    <t>Anatomy &amp; Morphology; Zoology</t>
  </si>
  <si>
    <t>JG4IS</t>
  </si>
  <si>
    <t>WOS:000492038500009</t>
  </si>
  <si>
    <t>Sandiford, D; Moresi, L; Sandiford, M; Yang, T</t>
  </si>
  <si>
    <t>Sandiford, Dan; Moresi, Louis; Sandiford, Mike; Yang, Ting</t>
  </si>
  <si>
    <t>Geometric controls on flat slab seismicity</t>
  </si>
  <si>
    <t>EARTH AND PLANETARY SCIENCE LETTERS</t>
  </si>
  <si>
    <t>subduction; intermediate depth earthquakes; flat slabs; bending</t>
  </si>
  <si>
    <t>DEPTH DETERMINATION; GLOBAL SURVEY; UPPER-MANTLE; SUBDUCTION; ZONE; MEXICO; LITHOSPHERE; STRESSES; CONSEQUENCES; DEHYDRATION</t>
  </si>
  <si>
    <t>The relationship between intraslab seismicity and the dynamics of subduction is a subject of ongoing debate. Uncertainty surrounds (1) the extent to which the stress regime associated with slab earthquakes reflects the driving/resisting forces of subduction, or more localised processes such as metamorphic or thermo-elastic volume change, and (2) the relative contribution of uniform (stretching/shortening) and flexural (bending/buckling) deformation modes in slabs. Because variations in slab curvature are very clear in subduction zones with flat slab segments, such settings allow for assessment of the relationship between slab geometry, bending and seismicity. Using a numerical model that reproduces published flat slab geometries we show how bending rates, which are dominated by the advective component, relate to downdip curvature gradients. Based on published slab geometries, we show that the patterns of seismicity in the Peruvian and Mexican flat slabs, vary systematically with slab curvature gradient. Seismicity is restricted to regions colder than about 600 degrees C. This means that only the upper half of flat slab bending zones are expressed seismically, providing the appearance of a uniform extensional regime. (C) 2019 Elsevier B.V. All rights reserved.</t>
  </si>
  <si>
    <t>[Sandiford, Dan; Moresi, Louis; Sandiford, Mike; Yang, Ting] Univ Melbourne, Sch Earth Sci, Melbourne, Vic, Australia; [Sandiford, Dan] Univ Tasmania, Inst Marine &amp; Antarctic Studies, Hobart, Tas, Australia; [Sandiford, Dan] German Res Ctr Geosci GFZ Potsdam, Potsdam, Germany; [Moresi, Louis] Australian Natl Univ, Canberra, ACT, Australia; [Yang, Ting] Southern Univ Sci &amp; Technol, Shenzhen, Peoples R China</t>
  </si>
  <si>
    <t>University of Melbourne; Melbourne Bioinformatics; University of Tasmania; Helmholtz Association; Helmholtz-Center Potsdam GFZ German Research Center for Geosciences; Australian National University; Southern University of Science &amp; Technology</t>
  </si>
  <si>
    <t>Sandiford, D (corresponding author), Univ Tasmania, Inst Marine &amp; Antarctic Studies, Hobart, Tas, Australia.</t>
  </si>
  <si>
    <t>dan.sandiford@utas.edu.au</t>
  </si>
  <si>
    <t>Yang, Ting/K-5026-2018; Sandiford, Mike/B-5020-2016</t>
  </si>
  <si>
    <t>Moresi, Louis-Noel/0000-0003-3685-174X; Sandiford, Dan/0000-0002-2207-6837; Sandiford, Mike/0000-0002-9757-745X</t>
  </si>
  <si>
    <t>Australian Research Council [DP150102887]; AuScope; Baragwanath Geology Research Scholarship; Australian Government; Government of Western Australia; Nectar Research Cloud, a collaborative Australian research platform; National Collaborative Research Infrastructure Strategy (NCRIS)</t>
  </si>
  <si>
    <t>Australian Research Council(Australian Research Council); AuScope; Baragwanath Geology Research Scholarship; Australian Government(Australian Government); Government of Western Australia; Nectar Research Cloud, a collaborative Australian research platform; National Collaborative Research Infrastructure Strategy (NCRIS)(Australian GovernmentDepartment of Industry, Innovation and Science)</t>
  </si>
  <si>
    <t>This work was supported by the Australian Research Council (Discovery grant DP150102887). Development of the Underworld2 code (http://www.underworldcode.org/) was supported by AuScope. DS's postgraduate research at the University of Melbourne was supported by a Baragwanath Geology Research Scholarship. This work was supported by resources provided by The Pawsey Supercomputing Centre with funding from the Australian Government and the Government of Western Australia. This work was supported by the Nectar Research Cloud, a collaborative Australian research platform supported by the National Collaborative Research Infrastructure Strategy (NCRIS). We thank Claire Currie for the careful review of this manuscript, and Gideon Rosenbaum for providing important feedback on an early draft of this manuscript. The study benefited from discussions with Greg Houseman and Rebecca Farrington.</t>
  </si>
  <si>
    <t>0012-821X</t>
  </si>
  <si>
    <t>1385-013X</t>
  </si>
  <si>
    <t>EARTH PLANET SC LETT</t>
  </si>
  <si>
    <t>Earth Planet. Sci. Lett.</t>
  </si>
  <si>
    <t>10.1016/j.epsl.2019.115787</t>
  </si>
  <si>
    <t>JF8BJ</t>
  </si>
  <si>
    <t>WOS:000491609700002</t>
  </si>
  <si>
    <t>High-resolution Cd isotope systematics in multiple zones of the Southern Ocean from the Antarctic Circumnavigation Expedition</t>
  </si>
  <si>
    <t>trace metals; biogeochemistry; Antarctic Circumnavigation Expedition (ACE); Southern Ocean; Cd isotopes</t>
  </si>
  <si>
    <t>PHYTOPLANKTON GROWTH; DISSOLVED CADMIUM; IRON LIMITATION; WATER COLUMN; ZINC; PHOSPHATE; CIRCULATION; PACIFIC; SILICON; MODE</t>
  </si>
  <si>
    <t>The Southern Ocean plays a major role in determining the global distribution of trace metals such as cadmium (Cd). Here, we present 17 high-depth-resolution profiles of dissolved Cd and its stable isotope composition (delta Cd-114) over the top 1000 m of the Pacific and Atlantic sectors of the Southern Ocean, collected during the Antarctic Circumnavigation Expedition. Our dataset reinforces the view that Cd and its isotopes are dominated by shallow biological cycling in this region. A close examination of variations in Cd cycling across the different zones of the Southern Ocean reveals how the interplay between uptake and regeneration, seasonal mixing, and upwelling controls both Cd and Cd in this region. The only deviations from these systematics are due to the influence of local processes such as continental influence or Fe-fertilization, close to the Mertz Glacier and the Balleny Islands, respectively. Deep convection during winter incorporates the Southern Ocean Cd isotope signatures into Subantarctic Mode Water and Antarctic Intermediate Water during water mass formation. Incorporating published data, we present the first complete picture of how Cd is cycled through the entire Pacific Ocean, revealing the manner in which the Southern Ocean controls the global cycling of Cd and Cd; analogous to Si or Zn, we propose that Southern Ocean processes, in combination with global ocean circulation, cause a division into two separate Cd regimes, a Cd-depleted surface ocean above a Cd-rich deep ocean loop. Therefore, the relationship between Cd and PO4 on a global scale is largely a result of these processes in the Southern Ocean, rather than a local correlation between the two elements.</t>
  </si>
  <si>
    <t>[Sieber, M.; de Souza, G. F.; Vance, D.] Swiss Fed Inst Technol, Inst Geochem &amp; Petrol, Dept Earth Sci, Zurich, Switzerland; [Conway, T. M.] Univ S Florida, Coll Marine Sci, Tampa, FL 33620 USA; [Conway, T. M.] Univ S Florida, Sch Geosci, Tampa, FL 33620 USA; [Hassler, C. S.] Univ Geneva, Dept FA Forel Environm &amp; Aquat Sci, Geneva, Switzerland; [Ellwood, M. J.] Australian Natl Univ, Res Sch Earth Sci, Canberra, ACT, Australia</t>
  </si>
  <si>
    <t>Swiss Federal Institutes of Technology Domain; ETH Zurich; State University System of Florida; University of South Florida; State University System of Florida; University of South Florida; University of Geneva; Australian National University</t>
  </si>
  <si>
    <t>Sieber, M (corresponding author), Swiss Fed Inst Technol, Inst Geochem &amp; Petrol, Dept Earth Sci, Zurich, Switzerland.</t>
  </si>
  <si>
    <t>matthias.sieber@erdw.ethz</t>
  </si>
  <si>
    <t>Sieber, Matthias/0000-0001-5510-6126; Hassler, Christel/0000-0002-8976-5469; Ellwood, Michael/0000-0003-4288-8530</t>
  </si>
  <si>
    <t>ETH Zurich; Project 15 of the Antarctic Circumnavigation Expedition - EPFL; Swiss Polar Institute; Ferring Pharmaceuticals</t>
  </si>
  <si>
    <t>ETH Zurich(ETH Zurich); Project 15 of the Antarctic Circumnavigation Expedition - EPFL; Swiss Polar Institute; Ferring Pharmaceuticals(Ferring Pharmaceuticals)</t>
  </si>
  <si>
    <t>We thank the captain, crew and water sampling team aboard R/V Akademik Tryoshnikov on the Antarctic Circumnavigation Expedition, Corey Archer for assistance in the lab at ETH Zurich, and Tina Brenneis for phosphate analysis at the Alfred Wegener Institute. We thank Editor Itay Halevy, Stephen Galer and two anonymous reviewers for their insightful comments that allowed us to improve this manuscript. This study was supported by ETH Zurich and Project 15 of the Antarctic Circumnavigation Expedition, funded by EPFL, Swiss Polar Institute and Ferring Pharmaceuticals. Finally, we wish to. thank the late David Walton, chief scientist for the expedition, for his support at sea.</t>
  </si>
  <si>
    <t>10.1016/j.epsl.2019.115799</t>
  </si>
  <si>
    <t>WOS:000491609700013</t>
  </si>
  <si>
    <t>Barnes, JJ; Franchi, IA; McCubbin, FM; Anand, M</t>
  </si>
  <si>
    <t>Barnes, Jessica J.; Franchi, Ian A.; McCubbin, Francis M.; Anand, Mahesh</t>
  </si>
  <si>
    <t>Multiple reservoirs of volatiles in the Moon revealed by the isotopic composition of chlorine in lunar basalts</t>
  </si>
  <si>
    <t>Apatite; NanoSIMS; Isotope fractionation; Apollo samples; Lunar meteorites</t>
  </si>
  <si>
    <t>MAGMATIC VOLATILES; MARE BASALTS; PHOSPHATE MINERALS; VOLCANIC GLASSES; MARTIAN MANTLE; ROCKS EVIDENCE; APATITE; ORIGIN; METEORITES; HYDROGEN</t>
  </si>
  <si>
    <t>The isotopes of chlorine (Cl-37 and Cl-35) are highly fractionated in lunar samples compared to most other Solar System materials. Recently, the chlorine isotope signatures of lunar rocks have been attributed to large-scale degassing processes that occurred during the existence of a magma ocean. In this study we investigated how well a suite of lunar basalts, most of which have not previously been analyzed, conform to previous models. The Cl isotope compositions (delta Cl-37 (parts per thousand) = [(Cl-37/Cl-35(sample)/Cl-37/Cl-35(SMOC)) - 1] x 1000, where SMOC refers to standard mean ocean chloride) recorded range from similar to+7 to +14 parts per thousand (Apollo 15), +10 to +19 parts per thousand (Apollo 12), +9 to +15 parts per thousand (70017), +4 to +8 parts per thousand (MIL 05035), and +15 to +22 parts per thousand (Kalahari 009). The Cl isotopic data from the present study support the mixing trends previously reported by Boyce et al. (2015) and Barnes et al. (2016), as the Cl isotopic composition of apatites are positively correlated with bulk-rock incompatible trace element abundances in the low-Ti basalts, inclusive of low-Ti and KREEP basalts. This trend has been interpreted as evidence that incompatible trace elements, including Cl, were concentrated in the urKREEP residual liquid of the lunar magma ocean, rather than the mantle cumulates, and that urKREEP Cl had a highly fractionated isotopic composition. The source regions for the basalts were thus created by variable mixing between the mantle (Cl-poor and relatively unfractionated) and urKREEP. The high-Ti basalts show much more variability in measured Cl isotope ratios and scatter around the trend formed by the low-Ti basalts. Most of the data for lunar meteorites also fits the mixing of volatiles in their sources, but Kalahari 009, which is highly depleted in incompatible trace elements, contains apatites with heavily fractionated Cl isotopic compositions. Given that Kalahari 009 is one of the oldest lunar basalts and ought to have been derived from very early-formed mantle cumulates, a heavy Cl isotopic signature is likely not related to its mantle source, but more likely to magmatic or secondary alteration processes, perhaps via impact-driven vapor metasomatism of the lunar crust. (C) 2019 The Authors. Published by Elsevier Ltd.</t>
  </si>
  <si>
    <t>[Barnes, Jessica J.; Franchi, Ian A.; Anand, Mahesh] Open Univ, Sch Phys Sci, Walton Hall, Milton Keynes MK7 6AA, Bucks, England; [Barnes, Jessica J.; McCubbin, Francis M.] NASA, Johnson Space Ctr, ARES, 2101 E NASA Pkwy, Houston, TX 77058 USA; [Barnes, Jessica J.] Univ Arizona, Lunar &amp; Planetary Lab, Tucson, AZ 85721 USA; [Anand, Mahesh] Nat Hist Museum, Dept Earth Sci, London, England</t>
  </si>
  <si>
    <t>Open University - UK; National Aeronautics &amp; Space Administration (NASA); NASA Johnson Space Center; University of Arizona; Natural History Museum London</t>
  </si>
  <si>
    <t>Barnes, JJ (corresponding author), NASA, Johnson Space Ctr, ARES, 2101 E NASA Pkwy, Houston, TX 77058 USA.</t>
  </si>
  <si>
    <t>jessica.j.barnes@nasa.gov</t>
  </si>
  <si>
    <t>Anand, Mahesh/E-9259-2013; McCubbin, Francis/AAG-1095-2020</t>
  </si>
  <si>
    <t>BARNES, JESSICA/0000-0002-7151-1014; Anand, Mahesh/0000-0003-4026-4476</t>
  </si>
  <si>
    <t>NSF; NASA; UK Science and Technology Facilities Council [ST/L000776/1]; NASA's Planetary Science Research Program; NASA Post-Doctoral Program; STFC [ST/L000776/1, ST/P000657/1] Funding Source: UKRI</t>
  </si>
  <si>
    <t>NSF(National Science Foundation (NSF)); NASA(National Aeronautics &amp; Space Administration (NASA)); UK Science and Technology Facilities Council(UK Research &amp; Innovation (UKRI)Science &amp; Technology Facilities Council (STFC)); NASA's Planetary Science Research Program; NASA Post-Doctoral Program(National Aeronautics &amp; Space Administration (NASA)); STFC(UK Research &amp; Innovation (UKRI)Science &amp; Technology Facilities Council (STFC))</t>
  </si>
  <si>
    <t>We would like to thank NASA's Curation and Analysis Planning Team for Extraterrestrial Materials (CAPTEM) for allocation of Apollo samples and the lunar meteorite MIL 05035 for this study. The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 Addi Bischoff is thanked for allocation of Kalahari 009 to this work. We thank Marc Norman and James Day for the editorial handling of this manuscript and for very helpful reviews. We also thank Adam Sarafian, Steve Elardo, and an anonymous reviewer for their constructive criticisms and insightful reviews that helped to improve this manuscript. This work was supported by UK Science and Technology Facilities Council (grant #ST/L000776/1 to M.A. and I.A.F.). F.M.M. acknowledges support from NASA's Planetary Science Research Program. J.J.B. would like to thank the NASA Post-Doctoral Program for the fellowship under which the majority of the manuscript writing was completed. Romain Tartese, Jeremy Boyce, and Rosalind Armytage are thanked for fruitful discussions.</t>
  </si>
  <si>
    <t>10.1016/j.gca.2018.12.032</t>
  </si>
  <si>
    <t>JG1XY</t>
  </si>
  <si>
    <t>WOS:000491872000009</t>
  </si>
  <si>
    <t>Rahib, RR; Udry, A; Howarth, GH; Gross, J; Paquet, M; Combs, LM; Laczniak, DL; Day, JMD</t>
  </si>
  <si>
    <t>Rahib, Rachel R.; Udry, Arya; Howarth, Geoffrey H.; Gross, Juliane; Paquet, Marine; Combs, Logan M.; Laczniak, Dara L.; Day, James M. D.</t>
  </si>
  <si>
    <t>Mantle source to near-surface emplacement of enriched and intermediate poikilitic shergottites in Mars</t>
  </si>
  <si>
    <t>Martian meteorites; Shergottites; Martian magmatism; Quantitative textural analyses</t>
  </si>
  <si>
    <t>ND ISOTOPIC SYSTEMATICS; PHYRIC MARTIAN BASALTS; HOSTED MELT INCLUSIONS; SIZE DISTRIBUTION CSD; RAY EXPOSURE AGE; LHERZOLITIC SHERGOTTITE; MINERAL CHEMISTRY; OXYGEN FUGACITY; MULTICOMPONENT PYROXENES; RB-SR</t>
  </si>
  <si>
    <t>Poikilitic shergottites make up &gt;20% of the current martian meteorite collection, with a total of 27 samples. These meteorites are intrusive gabbroic to lherzolitic rocks and represent igneous materials recording important processes in the martian crust. To further constrain petrogenetic relationships amongst enriched and intermediate poikilitic shergottites, we studied a comprehensive suite of poikilitic shergottites - including four newly recovered samples (Northwest Africa [NWA] 11065, NWA 11043, NWA 10961, NWA 10618) - using bulk rock major- and trace-element compositions, mineral major-element compositions, oxygen fugacity (fO(2)) values, crystallization temperatures, phosphorus maps of olivine grains, and quantitative textural analyses. The characteristic bimodal textures (poikilitic and non-poikilitic textures) of poikilitic shergottites record evolving magmatic conditions at different stages of crystallization. Higher temperatures and more reducing conditions during early-stage crystallization are recorded in the poikilitic textures, while lower temperature and more oxidizing conditions are recorded in the non-poikilitic textures during late-stage crystallization. Oxygen fugacity estimates relative to the quartz-fayalite-magnetite (QFM) buffer for early-stage olivine-pyroxene-spinel assemblages of enriched and intermediate poikilitic shergottites suggest decoupling of fO(2) and the degree of light rare earth element (LREE)-enrichment (i.e., [La/Yb](CI)). An increase in fO(2) exceeding 1 log unit from poikilitic to non-poikilitic textures implies degassing, with possible auto-oxidation, and/or crustal contamination. Quantitative textural analyses support the emplacement of both enriched and intermediate poikilitic shergottites as various shallow intrusive bodies, as well as a potentially widespread emplacement mechanism responsible for a major lithology of the martian crust. In addition, early assemblages (i.e., pyroxene oikocrysts) of all the poikilitic shergottites likely formed close to the crust-mantle boundary, implying a possible widespread presence of magma staging chambers at these depths. Fractional crystallization and magma storage in these chambers could have possibly resulted in all of the different enriched and intermediate shergottites that have been analyzed from Mars. (C) 2019 Elsevier Ltd. All rights reserved.</t>
  </si>
  <si>
    <t>[Rahib, Rachel R.; Udry, Arya; Combs, Logan M.] Univ Nevada, Dept Geosci, Las Vegas, NV 89154 USA; [Howarth, Geoffrey H.] Univ Cape Town, Dept Geol Sci, ZA-7701 Rondebosch, South Africa; [Gross, Juliane] Rutgers State Univ, Dept Earth &amp; Planetary Sci, Piscataway, NJ 08854 USA; [Paquet, Marine; Day, James M. D.] Univ Calif San Diego, Scripps Inst Oceanog, La Jolla, CA 92093 USA; [Laczniak, Dara L.] Purdue Univ, Dept Earth Atmospher &amp; Planetary Sci, W Lafayette, IN 47907 USA</t>
  </si>
  <si>
    <t>Nevada System of Higher Education (NSHE); University of Nevada Las Vegas; University of Cape Town; Rutgers University System; Rutgers University New Brunswick; University of California System; University of California San Diego; Scripps Institution of Oceanography; Purdue University System; Purdue University</t>
  </si>
  <si>
    <t>Udry, A (corresponding author), Univ Nevada, Dept Geosci, Las Vegas, NV 89154 USA.</t>
  </si>
  <si>
    <t>arya.udry@unlv.edu</t>
  </si>
  <si>
    <t>Day, James/A-5099-2010</t>
  </si>
  <si>
    <t>Day, James/0000-0001-9520-3465; PAQUET, Marine/0000-0001-6274-5559; Udry, Arya/0000-0002-0074-8110</t>
  </si>
  <si>
    <t>NSF; NASA; NASA under Grant EPSCoR [NNX15AIO2H]; NASA Solar System Workings program [80NSSC19K0537, NNX16AR95G]</t>
  </si>
  <si>
    <t>NSF(National Science Foundation (NSF)); NASA(National Aeronautics &amp; Space Administration (NASA)); NASA under Grant EPSCoR; NASA Solar System Workings program</t>
  </si>
  <si>
    <t>We thank Minghua Ren for his assistance with EMP analyses. We also thank the ANSMET program, Mendy Ouzillou, Luc Labenne, Ben Hoefnagels, and Eric Twelker for providing us with our samples, through loan and purchase.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This work was funded in part by NASA under Grant EPSCoR No. NNX15AIO2H, awarded to R. R. Rahib and the NASA Solar System Workings program (80NSSC19K0537 to AU NNX16AR95G to JMDD).</t>
  </si>
  <si>
    <t>10.1016/j.gca.2019.07.034</t>
  </si>
  <si>
    <t>WOS:000491872000024</t>
  </si>
  <si>
    <t>Day, JMD; Corder, CA; Assayag, N; Cartigny, P</t>
  </si>
  <si>
    <t>Day, James M. D.; Corder, Christopher A.; Assayag, Nelly; Cartigny, Pierre</t>
  </si>
  <si>
    <t>Ferrous oxide-rich asteroid achondrites</t>
  </si>
  <si>
    <t>FeO-rich achondrites; Oxidation; Brachinite; Brachinite-like achondrite; Precursor materials; Asteroidal differentiation; Cores</t>
  </si>
  <si>
    <t>HIGHLY SIDEROPHILE ELEMENTS; PARTIAL MELT RESIDUES; BRACHINITE-LIKE ACHONDRITES; GRAVES NUNATAKS 06128; OXYGEN-ISOTOPE; FEO-RICH; METEORITES; UREILITE; DIFFERENTIATION; ACAPULCOITE</t>
  </si>
  <si>
    <t>Ferrous oxide (FeO)-rich asteroid achondrites can be defined as asteroid-derived samples that experienced incipient partial melting processes in the early Solar System (&gt;4.5 Ga) leading to melt-residues and cumulate and melt rocks that have high FeO in silicate grains (molar Mg/[Mg + Fe] &lt; 80), implying relatively oxidative conditions (fO(2) of IW +1 to +3). These achondrites include olivine-dominated brachinite and brachinite-like achondrite meteorites, ungrouped meteorites including Lewis Cliff 88763, Northwest Africa (NWA) 6693 and NWA 6704, Tafassasset, NWA 011/1296, and the oligoclase-rich meteorites Graves Nunataks (GRA) 06128 and GRA 06129. Ferrous oxide-rich asteroidal achondrites differ from other partially-melted achondrites, including ureilites and acapulcoite-lodranites in that the latter have higher molar Mg/ (Mg + Fe) in silicate grains, and lower fO(2) (IW 0 to -2). New mineral chemical, whole-rock major- and trace-element and highly siderophile element (HSE: Re, Os, Ir, Ru, Rh, Pt, Pd, Au) abundance data, and O and Os isotope data are presented for FeO-rich achondrite meteorites Allan Hills 84025 (brachinite), Miller Range (MIL) 090206 and MIL 090405 (brachinite-like achondrites), and NWA 6693 (ungrouped). These results, combined with available data for FeO-rich asteroidal achondrites, reveal that these rocks include nearly-pure residues after partial melting, to samples formed by melt-rock reaction and as cumulates, requiring variable to extensive Fe-Ni-S partial melting, and between 1 and 20% silicate partial melting. The FeO-rich asteroidal achondrites originate from at least four distinct parent bodies, based on O-Cr-Ti isotope systematics, and occur for both carbonaceous and non-carbonaceous chondrite precursor sources. The initial water and volatile contents of FeO-rich asteroid achondrites were similar to carbonaceous chondrite groups, implying both carbonaceous and non-carbonaceous precursor materials generated water-rich partially-melted asteroidal bodies. The existence and recognition of FeO-rich asteroid achondrites explains the otherwise enigmatic nature of some iron meteorite groups (e.g., IVA, IVB) that require segregation from an oxidized asteroid parent body. The internal structure of some asteroid parent bodies was likely to be complex, reflecting early differentiation processes of nascent core formation, Fe-Ni-S melt pooling, variable silicate partial melting, igneous differentiation and the important role of melt-rock reaction, melt refertilization and late-stage C- (reduced bodies) or S-rich (oxidized bodies) fluid and vapor reactions. (C) 2019 Elsevier Ltd. All rights reserved.</t>
  </si>
  <si>
    <t>[Day, James M. D.; Corder, Christopher A.] Univ Calif San Diego, Scripps Inst Oceanog, La Jolla, CA 92093 USA; [Assayag, Nelly; Cartigny, Pierre] Univ Paris Diderot, Sorbonne Paris Cite, Inst Phys Globe Paris, CNRS,UMR 7154, 1 Rue Jussieu, F-75238 Paris, France</t>
  </si>
  <si>
    <t>University of California System; University of California San Diego; Scripps Institution of Oceanography; Universite Paris Cite; Centre National de la Recherche Scientifique (CNRS); CNRS - National Institute for Earth Sciences &amp; Astronomy (INSU)</t>
  </si>
  <si>
    <t>Day, JMD (corresponding author), Univ Calif San Diego, Scripps Inst Oceanog, La Jolla, CA 92093 USA.</t>
  </si>
  <si>
    <t>jmdday@ucsd.edu</t>
  </si>
  <si>
    <t>Cartigny, Pierre/A-6251-2011; Day, James/A-5099-2010</t>
  </si>
  <si>
    <t>Day, James/0000-0001-9520-3465</t>
  </si>
  <si>
    <t>NSF; NASA; NASA Emerging Worlds program [NNX15AL74G]</t>
  </si>
  <si>
    <t>NSF(National Science Foundation (NSF)); NASA(National Aeronautics &amp; Space Administration (NASA)); NASA Emerging Worlds program</t>
  </si>
  <si>
    <t>Completion of this manuscript is dedicated to our collaborator and colleague, Lawrence A. Taylor. We thank the Meteorite Working Group for provision of ALH 84025, MIL 090206 and MIL 090405, and Paul Warren (UCLA) for provision of a sample of NWA 6693.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are grateful to Mahesh Anand, Kathryn GardnerVandy, Romain Tartese, and an anonymous for their constructive review comments. Support for this work came from NASA Emerging Worlds program (NNX15AL74G to JMDD).</t>
  </si>
  <si>
    <t>10.1016/j.gca.2019.04.005</t>
  </si>
  <si>
    <t>WOS:000491872000027</t>
  </si>
  <si>
    <t>Tian, Z; Chen, H; Fegley, B; Lodders, K; Barrat, JA; Day, JMD; Wang, K</t>
  </si>
  <si>
    <t>Tian, Zhen; Chen, Heng; Fegley, Bruce, Jr.; Lodders, Katharina; Barrat, Jean-Alix; Day, James M. D.; Wang, Kun</t>
  </si>
  <si>
    <t>Potassium isotopic compositions of howardite-eucrite-diogenite meteorites</t>
  </si>
  <si>
    <t>K isotopes; Vesta; Martian meteorite</t>
  </si>
  <si>
    <t>MC-ICP-MS; MAGMA OCEAN; CHEMICAL FRACTIONATIONS; ORDINARY CHONDRITES; MASS-DEPENDENCE; SOLAR NEBULA; PARENT BODY; ORIGIN; PLANETARY; PETROLOGY</t>
  </si>
  <si>
    <t>We report new high-precision stable K isotope data for three martian meteorites, one lunar meteorite, one ordinary chondrite, four terrestrial igneous United States Geological Survey (USGS) reference materials, and twenty howardite-eucrite-dio genite [HED] meteorites. The three martian meteorites define a relatively narrow delta K-41 range with an average of -0.36 +/- 0.12 parts per thousand (2 SD) that is slightly heavier than the Bulk Silicate Earth (BSE) K isotopic composition (-0.48 +/- 0.03 parts per thousand). Except for the four Northwest Africa samples which were terrestrially contaminated, all HED meteorites reveal substantial K-41 enrichment compared to BSE, lunar samples, martian meteorites, and chondrites. We propose that the average delta K-41 (+0.36 +/- 0.16 parts per thousand) obtained from HED meteorites is representative of Bulk Silicate 4-Vesta. The coupled volatile depletion and heavy K isotope enrichment in 4-Vesta could be attributed to both nebula-scale processes and parent-body events. The asteroid 4-Vesta is likely to have accreted from planetary feedstocks that have been significantly volatile-depleted prior to the major phases of planetary accretion in the early Solar System, with secondary effects of K loss during accretionary growth and magma ocean degassing. (C) 2019 Elsevier Ltd. All rights reserved.</t>
  </si>
  <si>
    <t>[Tian, Zhen; Chen, Heng; Fegley, Bruce, Jr.; Lodders, Katharina; Wang, Kun] Washington Univ, Dept Earth &amp; Planetary Sci, One Brookings Dr, St Louis, MO 63130 USA; [Tian, Zhen; Chen, Heng; Fegley, Bruce, Jr.; Lodders, Katharina; Wang, Kun] Washington Univ, McDonnell Ctr Space Sci, One Brookings Dr, St Louis, MO 63130 USA; [Barrat, Jean-Alix] Univ Brest, IUEM, UMR 6538, CNRS,Lab Geosci Ocean, Pl Nicolas Copern, F-29280 Plouzan, France; [Day, James M. D.] Univ Calif San Diego, Scripps Inst Oceanog, La Jolla, CA 92093 USA</t>
  </si>
  <si>
    <t>Washington University (WUSTL); Washington University (WUSTL); Centre National de la Recherche Scientifique (CNRS); CNRS - National Institute for Earth Sciences &amp; Astronomy (INSU); Universite de Bretagne Occidentale; Institut Universitaire Europeen de la Mer (IUEM); University of California System; University of California San Diego; Scripps Institution of Oceanography</t>
  </si>
  <si>
    <t>Tian, Z; Wang, K (corresponding author), Washington Univ, Dept Earth &amp; Planetary Sci, One Brookings Dr, St Louis, MO 63130 USA.;Tian, Z; Wang, K (corresponding author), Washington Univ, McDonnell Ctr Space Sci, One Brookings Dr, St Louis, MO 63130 USA.</t>
  </si>
  <si>
    <t>t.zhen@wustl.edu; wangkun@wustl.edu</t>
  </si>
  <si>
    <t>Tian, Zhen/AAG-6420-2021; Wang, Kun/AAH-2172-2020; Day, James MD/A-5099-2010; Barrat, Jean Alix/C-8416-2017</t>
  </si>
  <si>
    <t>Tian, Zhen/0000-0003-1758-3559; Lodders, Katharina/0000-0001-7531-626X; Wang, Kun/0000-0003-0691-7058; Fegley, Bruce/0009-0007-2258-8510; Barrat, Jean Alix/0000-0003-3158-3109</t>
  </si>
  <si>
    <t>NSF; NASA; NSF [AST-1517541]; McDonnell International Academy; McDonnell Center for the Space Sciences</t>
  </si>
  <si>
    <t>NSF(National Science Foundation (NSF)); NASA(National Aeronautics &amp; Space Administration (NASA)); NSF(National Science Foundation (NSF)); McDonnell International Academy; McDonnell Center for the Space Sciences</t>
  </si>
  <si>
    <t>We thank the Guest Editor Dr. Yang Liu for handling and editing of this manuscript. We also thank four anonymous reviewers for their detailed and constructive comments. We are grateful to the ANSMET (Antarctic Search for Meteorites), NASA Johnson Space Center, Smithsonian National Museum of Natural History, The American Museum of Natural History, Western Australia Museum, The Monnig Meteorite Collection at Texas Christian University, National Museum in Prague and the British Museum for providing samples. US Antarctic meteorite samples are recovered by the ANSMET program which has been funded by NSF and NASA and characterized and curated by the Department of Mineral Science of the Smithsonian Institution and Astromaterials Acquisition and Curation Office at NASA Johnson Space Center. B. Fegley and K. Lodders were supported by NSF Grants AST-1517541 and AST-1517541. Z. Tian acknowledges the fellowship from the McDonnell International Academy. We are grateful for financial support from the McDonnell Center for the Space Sciences. We thank Dr. Piers Koefoed for proofreading the manuscript.</t>
  </si>
  <si>
    <t>10.1016/j.gca.2019.08.012</t>
  </si>
  <si>
    <t>WOS:000491872000031</t>
  </si>
  <si>
    <t>Colston-Nepali, L; Tigano, A; Boyle, B; Friesen, V</t>
  </si>
  <si>
    <t>Colston-Nepali, Lila; Tigano, Anna; Boyle, Brian; Friesen, Vicki</t>
  </si>
  <si>
    <t>Hybridization does not currently pose conservation concerns to murres in the Atlantic</t>
  </si>
  <si>
    <t>CONSERVATION GENETICS</t>
  </si>
  <si>
    <t>Introgression; Genomics; Climate change; Seabirds; Arctic</t>
  </si>
  <si>
    <t>POPULATION GENETIC-STRUCTURE; THICK-BILLED MURRES; URIA-LOMVIA; COMMON MURRES; ECOLOGICAL RELATIONSHIPS; GANNET ISLANDS; HYBRID; AALGE; SEABIRD; CONSEQUENCES</t>
  </si>
  <si>
    <t>Hybridization can negatively impact one or both taxa involved and therefore pose conservation concerns. Climate change is expected to increase the rate of hybridization particularly in polar regions, and so investigating hybridization in Arctic and Antarctic species is important for conservation. Hybridization and genetic introgression have been observed between Pacific populations of thick-billed (Uria lomvia) and common murres (Uria aalge), species of seabirds with arctic and low arctic/temperate distributions, respectively. We employed double-digest restriction site-associated DNA sequencing (ddRADseq) to generate thousands of genome-wide markers to investigate hybridization and introgression in 133 thick-billed and 119 common murres sampled from 15 colonies throughout the North Atlantic. We used molecular assignments and principal components analysis to identify hybrids and quantify genetic introgression. Despite previous reports of hybridization between murre species in the Atlantic, we found no evidence for hybrid individuals in our dataset, and limited evidence for introgression. Our results suggest that hybridization between Atlantic murre species is rare, and does not currently pose a conservation concern for either species. Our study provides baseline data for monitoring hybridization between murres in the Atlantic to assess future impacts of climate change on these species.</t>
  </si>
  <si>
    <t>[Colston-Nepali, Lila; Tigano, Anna; Friesen, Vicki] Queens Univ, Dept Biol, Kingston, ON, Canada; [Tigano, Anna] Univ New Hampshire, Dept Mol Cellular &amp; Biomed Sci, Durham, NH 03824 USA; [Tigano, Anna] Univ New Hampshire, Hubbard Ctr Genome Studies, Durham, NH 03824 USA; [Boyle, Brian] Univ Laval, Inst Biol Integrat &amp; Syst, Quebec City, PQ, Canada</t>
  </si>
  <si>
    <t>Queens University - Canada; University System Of New Hampshire; University of New Hampshire; University System Of New Hampshire; University of New Hampshire; Laval University</t>
  </si>
  <si>
    <t>Colston-Nepali, L (corresponding author), Queens Univ, Dept Biol, Kingston, ON, Canada.</t>
  </si>
  <si>
    <t>12lmcn@queensu.ca</t>
  </si>
  <si>
    <t>Colston-Nepali, Lila/0000-0003-2787-4210</t>
  </si>
  <si>
    <t>Bird Studies Canada; Wildlife Habitat Canada; Stage program of Environment and Climate Change Canada; Mitacs</t>
  </si>
  <si>
    <t>We would like to thank Greg Robertson, members of the Friesen lab, Robert Colautti and Sarah Yakimowski for invaluable guidance and advice. We would like to thank Bird Studies Canada, Wildlife Habitat Canada, the Stage program of Environment and Climate Change Canada, and Mitacs for funding. Thank you to Gilles Chapdelaine, Kyle Elliot, Tony Gaston, Yuri Krasnov, Mark Mallory, Bill Montevecchi, Nataly Nikolaeva, Aevar Peterson, Tone Reiertsen, Greg Robertson, and Environment and Climate Change Canada for sample collection/provision. Further thanks to Katie Birchard and Jade Goodman for DNA extraction, and Genome Quebec for sequencing, and l'Institut de biologie integrative et des systemes de l'Universite Laval for genomic library preparation.</t>
  </si>
  <si>
    <t>1566-0621</t>
  </si>
  <si>
    <t>1572-9737</t>
  </si>
  <si>
    <t>CONSERV GENET</t>
  </si>
  <si>
    <t>Conserv. Genet.</t>
  </si>
  <si>
    <t>10.1007/s10592-019-01223-y</t>
  </si>
  <si>
    <t>Biodiversity Conservation; Genetics &amp; Heredity</t>
  </si>
  <si>
    <t>Biodiversity &amp; Conservation; Genetics &amp; Heredity</t>
  </si>
  <si>
    <t>JF0NS</t>
  </si>
  <si>
    <t>WOS:000491084800020</t>
  </si>
  <si>
    <t>Liu, Q; Jiang, Y; Wang, Q; Wane, M; McMinn, A; Zhao, QN; Xue, CL; Wang, XY; Dong, JY; Yu, Y; Han, YY; Zhao, JP</t>
  </si>
  <si>
    <t>Liu, Qian; Jiang, Yong; Wang, Qi; Wane, Min; McMinn, Andrew; Zhao, Qiannan; Xue, Chenglong; Wang, Xiaoyu; Dong, Jingyi; Yu, Yang; Han, Yuye; Zhao, Jinping</t>
  </si>
  <si>
    <t>Using picoeukaryote communities to indicate the spatial heterogeneity of the Nordic Seas</t>
  </si>
  <si>
    <t>Spatial pattern; Community structure; Picoeukaryotes; Heterogeneity; Nordic Seas</t>
  </si>
  <si>
    <t>WATER-MASS FORMATION; CILIATE COMMUNITIES; GENETIC DIVERSITY; NORTH-ATLANTIC; QUALITY STATUS; SPECIES POOL; MARINE; PHYTOPLANKTON; PATTERNS; ICE</t>
  </si>
  <si>
    <t>Picoeukaryotes are an important, diverse and spatially variable component of marine microbial communities. However, little is known of their distribution in response to environmental heterogeneity. In this study, to understand the Nordic Seas picoeukaryotic community, eleven surface samples from different water bodies were collected in June 2015. Archaeplastida, mainly Prasinophyceae, was present in all samples and was the largest component in cold waters, while Rhizaria and Alveoata were most abundant in the samples influenced by warm waters. Multivariate analyses showed that samples could be discriminated into groupings, each with its specific dominant species and community structure could precisely reflect the environmental heterogeneity caused by different water masses. This study details the relationships between the picoeukaryotes and complex currents in the Nordic Seas, and provides insight for application of using picoeukaryotes as indicator in future bioassessment for arctic or boreal waters.</t>
  </si>
  <si>
    <t>[Liu, Qian; Jiang, Yong; Wang, Qi; Wane, Min; McMinn, Andrew; Zhao, Qiannan; Xue, Chenglong; Han, Yuye] Ocean Univ China, Coll Marine Life Sci, Qingdao 266003, Shandong, Peoples R China; [Jiang, Yong; Wane, Min; Dong, Jingyi] Ocean Univ China, Inst Evolut &amp; Marine Biodivers, Qingdao 266003, Shandong, Peoples R China; [Jiang, Yong; Wane, Min; Wang, Xiaoyu; Zhao, Jinping] Ocean Univ China, Key Lab Polar Oceanog &amp; Global Ocean Change, Qingdao 266003, Shandong, Peoples R China; [Dong, Jingyi] Ocean Univ China, Key Lab Mariculture, Minist Educ, Qingdao 266003, Shandong, Peoples R China; [Yu, Yang] Ocean Univ China, Key Lab Marine Environm &amp; Ecol, Minist Educ, Qingdao 266003, Shandong, Peoples R China; [McMinn, Andrew] Univ Tasmania, Inst Marine &amp; Antarctic Studies, Hobart, Tas 7001, Australia</t>
  </si>
  <si>
    <t>Ocean University of China; Ocean University of China; Ocean University of China; Ocean University of China; Ocean University of China; University of Tasmania</t>
  </si>
  <si>
    <t>Jiang, Y; Wane, M (corresponding author), Ocean Univ China, Coll Marine Life Sci, Qingdao 266003, Shandong, Peoples R China.</t>
  </si>
  <si>
    <t>yongjiang@ouc.edu.cn; mingwang@ouc.edu.cr</t>
  </si>
  <si>
    <t>Wang, Xiaoyu/GXM-3262-2022; Wang, Min/AFR-9645-2022; qiannan, Zhao/AAK-6553-2020; Jiang, Yong/AGK-3016-2022; McMinn, Andrew/A-9910-2008; Yu, Yang/U-3373-2017</t>
  </si>
  <si>
    <t>Wang, Min/0000-0002-2357-589X; Jiang, Yong/0000-0002-4072-1668; Jiang, Yong/0000-0001-6055-488X; McMinn, Andrew/0000-0002-2133-3854; Yu, Yang/0000-0002-5527-1540</t>
  </si>
  <si>
    <t>Marine S&amp;T Fund of Shandong Province for Pilot National Laboratory for Marine Science and Technology (Qingdao), China [2018SDKJ0104-4, 2018SDKJ0406-6]; National Natural Foundation Science of China (NFSC) [41676178, 31500339, 41076088]; National Key Research and Development Program of China [2017YFA0603200, 2018YFC1406704]; Fundamental Research Funds for the Central Universities, China [201762017, 201562018]</t>
  </si>
  <si>
    <t>Marine S&amp;T Fund of Shandong Province for Pilot National Laboratory for Marine Science and Technology (Qingdao), China; National Natural Foundation Science of China (NFSC)(National Natural Science Foundation of China (NSFC)); National Key Research and Development Program of China; Fundamental Research Funds for the Central Universities, China(Fundamental Research Funds for the Central Universities)</t>
  </si>
  <si>
    <t>We thank the captain and crews of the RV 'STALBAS'. This study was supported by the Marine S&amp;T Fund of Shandong Province for Pilot National Laboratory for Marine Science and Technology (Qingdao), China (Nos. 2018SDKJ0104-4, 2018SDKJ0406-6); National Natural Foundation Science of China (NFSC) (Nos. 41676178, 31500339, 41076088); National Key Research and Development Program of China (Nos. 2017YFA0603200, 2018YFC1406704); Fundamental Research Funds for the Central Universities, China (Nos. 201762017, 201562018). We greatly appreciate the editor and anonymous reviewers for their constructive comments.</t>
  </si>
  <si>
    <t>10.1016/j.ecolind.2019.105582</t>
  </si>
  <si>
    <t>JE5UN</t>
  </si>
  <si>
    <t>WOS:000490757500044</t>
  </si>
  <si>
    <t>Trebilco, R; Melbourne-Thomas, J; Sumner, M; Wotherspoon, S; Constable, A</t>
  </si>
  <si>
    <t>Trebilco, Rowan; Melbourne-Thomas, Jess; Sumner, Michael; Wotherspoon, Simon; Constable, Andrew</t>
  </si>
  <si>
    <t>Assessing status and trends of open ocean habitats: A regionally resolved approach and Southern Ocean application</t>
  </si>
  <si>
    <t>Ecosystem impacts of climate change; Ecosystem management; Ecosystem status and trends; Marine Ecosystem Assessment for the Southern; Ocean; Science-policy; Southern Ocean ecosystems</t>
  </si>
  <si>
    <t>CLIMATE-CHANGE; EUPHAUSIA-SUPERBA; ECOSYSTEM; INDICATORS; VARIABLES; CCAMLR; HEALTH</t>
  </si>
  <si>
    <t>Assessing the status and trends of habitats, species, and ecosystems in the vast, remote, and difficult to observe open oceans is a pressing challenge for conserving and managing marine species and ecosystems under a changing climate. Here, we present a framework for assessing the status and trends of key ocean habitat components using synoptic data sources. It aims to quantify ecosystem variability and long-term change, and to provide summaries and indicators of change at scales that are both ecologically meaningful and relevant for management. We illustrate our approach using the Southern Ocean as a case-study and assess habitat based on remotely-sensed sea ice concentration, sea surface temperature (SST) and chlorophyll-a. We use Antarctic krill Euphausia superba as an illustrative example of how thresholds and optimum ranges for key taxa (and the ranges they define) can be used to delimit areas that are likely to constitute good habitat. Availability of good habitat, in terms of area, provides a simple indicator for quantifying change through time, and for assessing regional differences. Our assessment of sea ice reveals that the absence of a strong trend in the mean annual duration of sea ice cover around Antarctica masks a loss of areas with the longest periods of cover. In the polar latitudinal zone of the East Pacific, the area with the longest ice coverage has declined by 123,533 km(2) over the past four decades. Our assessment of chlorophyll-a and SST highlights that the area of good habitat for krill has increased in the high-latitude zone, but decreased in the polar zone close to the continent in all sectors other than the East Pacific, where the reverse has been true. These examples demonstrate how our general approach can visualise and identify (i) known trends in mean values but also diagnose where changes in the habitat area over time may not match the mean trend; (ii) key habitat thresholds across a range of variables and in different seasons; and (iii) changes in the degree of spatial overlap of areas with desirable ranges for different habitat components. Our approach provides a versatile method to generate summaries of status and trends of ocean habitats at scales meaningful to decision makers. It can readily be adapted to other habitat variables and for other areas, supporting ongoing efforts to assess status and trends of open ocean habitats worldwide.</t>
  </si>
  <si>
    <t>[Trebilco, Rowan; Melbourne-Thomas, Jess; Sumner, Michael; Wotherspoon, Simon; Constable, Andrew] Univ Tasmania, Antarctic Climate &amp; Ecosyst Cooperat Res Ctr, Hobart, Tas, Australia; [Melbourne-Thomas, Jess; Sumner, Michael; Constable, Andrew] Australian Antarctic Div, Dept Environm &amp; Energy, Kingston, Tas, Australia; [Wotherspoon, Simon] Univ Tasmania, Inst Marine &amp; Antarctic Studies, Hobart, Tas, Australia</t>
  </si>
  <si>
    <t>University of Tasmania; Antarctic Climate &amp; Ecosystems Cooperative Research Centre (ACE CRC); Australian Antarctic Division; University of Tasmania</t>
  </si>
  <si>
    <t>Trebilco, R (corresponding author), Antarctic Climate &amp; Ecosyst CRC, Private Bag 80, Hobart, Tas 7001, Australia.</t>
  </si>
  <si>
    <t>rowan.trebiko@utas.edu.au</t>
  </si>
  <si>
    <t>Melbourne-Thomas, Jess/N-2437-2019; Trebilco, Rowan/I-5311-2012; Wotherspoon, Simon J/B-2390-2013; Sumner, Michael D/J-3478-2013</t>
  </si>
  <si>
    <t>Melbourne-Thomas, Jess/0000-0001-6585-876X; Trebilco, Rowan/0000-0001-9712-8016; Wotherspoon, Simon J/0000-0002-6947-4445; Sumner, Michael/0000-0002-2471-7511</t>
  </si>
  <si>
    <t>Australian Government's Business Cooperative Research Centres Programme through the Antarctic Climate and Ecosystems Cooperative Research Centre (ACE CRC); Australian Government's Business Cooperative Research Centres Programme through the Australian Antarctic Science Program [4343]; RJL Hawke Postdoctoral Fellowship</t>
  </si>
  <si>
    <t>Australian Government's Business Cooperative Research Centres Programme through the Antarctic Climate and Ecosystems Cooperative Research Centre (ACE CRC)(Australian GovernmentDepartment of Industry, Innovation and ScienceCooperative Research Centres (CRC) Programme); Australian Government's Business Cooperative Research Centres Programme through the Australian Antarctic Science Program; RJL Hawke Postdoctoral Fellowship</t>
  </si>
  <si>
    <t>This work was supported by the Australian Government's Business Cooperative Research Centres Programme through the Antarctic Climate and Ecosystems Cooperative Research Centre (ACE CRC) and through the Australian Antarctic Science Program (Project 4343). We are grateful to Ben Raymond, So Kawaguchi and Tony Press for discussions that helped develop and clarify this work. We also thank Ben Raymond for input on data extractions. RT was supported by the RJL Hawke Postdoctoral Fellowship.</t>
  </si>
  <si>
    <t>10.1016/j.ecolind.2019.105616</t>
  </si>
  <si>
    <t>WOS:000490757500076</t>
  </si>
  <si>
    <t>Wang, XF; Kan, GF; Shi, CJ; Xie, QJ; Ju, Y; Wang, RQ; Qiao, YP; Ren, XL</t>
  </si>
  <si>
    <t>Wang, Xiaofei; Kan, Guangfeng; Shi, Cuijuan; Xie, Qiuju; Ju, Yun; Wang, Ruiqi; Qiao, Yongping; Ren, Xiulian</t>
  </si>
  <si>
    <t>Purification and characterization of a novel wild-type α-amylase from Antarctic sea ice bacterium Pseudoalteromonas sp. M175</t>
  </si>
  <si>
    <t>PROTEIN EXPRESSION AND PURIFICATION</t>
  </si>
  <si>
    <t>alpha-amylase; Wild-type; Cold-adapted; SDS-Resistant; Pseudoalteromonas sp. M175</t>
  </si>
  <si>
    <t>BIOCHEMICAL-CHARACTERIZATION; STRAIN; SURFACTANT; STABILITY; CLONING; SDS</t>
  </si>
  <si>
    <t>A novel wild-type alpha-amylase named wtAmy175 from Pseudoalteromonas sp. M175 strain was purified through ammonium sulphate precipitation, DEAE cellulose, and Sephadex G-75 sequentially (25.83-fold, 7.67%-yield) for biochemical characterization. SDS-PAGE and zymographic activity staining of purified enzyme showed a single band with a predicted molecular mass of about 61 kDa. The optimum temperature and pH for enzyme activity were 30 degrees C and 7.5, respectively. Additionally, the enzyme exhibited high activity and remarkable stability in 0-10 mM SDS. The values of K-m and V-max, for soluble starch as substrate were 2.47 mg/ml and 0.103 mg/ml/min, respectively. Analysis of hydrolysis products of soluble starch and maltooligosaccharides showed that wtAmy175 cleaved the interior and the terminal alpha-1,4-glycosidic linkage in starch, and had transglycosylation activity. The result of fluorescence spectroscopy showed that wtAmy175 had strong binding affinity with soluble starch. In brief, this study discovered the first wild-type alpha-amylase so far with several distinctive properties of cold activity, SDS-resistance, and the mixed activity of alpha-amylase and alpha-glucosidase, suggesting that wtAmy175 possess high adaptive capability to endure harsh industrial conditions and would be an excellent candidate in detergent and textile industries.</t>
  </si>
  <si>
    <t>[Wang, Xiaofei; Kan, Guangfeng; Shi, Cuijuan; Xie, Qiuju; Ju, Yun; Wang, Ruiqi; Ren, Xiulian] Harbin Inst Technol Weihai, Sch Marine Sci &amp; Technol, Weihai 264209, Peoples R China; [Wang, Xiaofei] Harbin Inst Technol, Sch Chem &amp; Chem Engn, Harbin 150001, Heilongjiang, Peoples R China; [Qiao, Yongping] Wendeng Osteopath Hosp, Wendeng 264400, Peoples R China</t>
  </si>
  <si>
    <t>Kan, GF; Ren, XL (corresponding author), Harbin Inst Technol Weihai, Sch Marine Sci &amp; Technol, Weihai 264209, Peoples R China.</t>
  </si>
  <si>
    <t>gfkan@hit.edu.cn; renxiulian@126.com</t>
  </si>
  <si>
    <t>Key Technologies R &amp; D Program of Shandong [2013G0021502, 2016ZDJQ0206]; Science and Technology Project of Weihai and Natural Scientific Research Innovation Foundation in HIT [.2013037]; NSRIF [2016085]</t>
  </si>
  <si>
    <t>Key Technologies R &amp; D Program of Shandong; Science and Technology Project of Weihai and Natural Scientific Research Innovation Foundation in HIT; NSRIF</t>
  </si>
  <si>
    <t>This work was supported by the Key Technologies R &amp; D Program of Shandong under Grant nos. 2013G0021502 and 2016ZDJQ0206; and Science and Technology Project of Weihai and Natural Scientific Research Innovation Foundation in HIT under Grant nos. HIT. IBRSEM.2013037 and HIT. NSRIF. 2016085.</t>
  </si>
  <si>
    <t>1046-5928</t>
  </si>
  <si>
    <t>1096-0279</t>
  </si>
  <si>
    <t>PROTEIN EXPRES PURIF</t>
  </si>
  <si>
    <t>Protein Expr. Purif.</t>
  </si>
  <si>
    <t>10.1016/j.pep.2019.06.004</t>
  </si>
  <si>
    <t>IY1DS</t>
  </si>
  <si>
    <t>WOS:000486132400014</t>
  </si>
  <si>
    <t>Qi, RR; Guo, J; Liu, YF; Zhang, R; Gan, ZW</t>
  </si>
  <si>
    <t>Qi, Ranran; Guo, Jing; Liu, Yuanfa; Zhang, Rui; Gan, Ziwen</t>
  </si>
  <si>
    <t>Effects of salt content on secondary structure of protein in sodium alginate/antarctic krill protein composite system and characterization of fiber properties</t>
  </si>
  <si>
    <t>DYES AND PIGMENTS</t>
  </si>
  <si>
    <t>NaCl content; Sodium alginate; Antarctic krill protein; Protein microstructure; Composites fiber</t>
  </si>
  <si>
    <t>ALGINATE; FABRICATION</t>
  </si>
  <si>
    <t>The sodium alginate (SA)/antarctic krill protein (AKP) composite fibers were prepared by wet spinning in 5% (w/w) CaCl2 coagulation bath. In this work, salt regulated protein secondary structure to prepare high performance fiber, and the relative content of secondary structure in the composite system was calculated by fourier transform infrared spectroscopy (FT-IR). The surface morphology, crystallinity, thermal stability, mechanical properties, thermal conductivity and conductivity of the composite fibers were characterized by scanning electron microscope (SEM), x-ray diffraction (XRD), differential scanning calorimeter (DSC), orientation tester, thermal conductivity meter and resistivity test bench. The results revealed that the salt changed the secondary structure of protein by affecting the intermolecular interaction and cross-linking degree of the SA/AKP composite system. After the fine partitioning of the salt content range, with the NaCl mass fraction of 0.7-1.0%, the controllable range of alpha-helix content, beta-sheet content and random coil content are 8.14-25.15%, 52.58-60.87%, 21.53-30.99% for the SA/AKP composite solution, respectively. And the controllable range of alpha-helix content, beta-sheet content and random coil content are 5.62-10.32%, 50.31-57.69%, 33.71-44.07% for the SA/AKP composite fiber, respectively. With the increase of salt content, the crystallinity showed an increasing-decreasing-increasing trend, the thermal conductivity, mechanical properties and orientation degree exhibited a trend of increase-to-decrease, and the thermal stability changed little. Besides, the conductivity of the composite fibers is affected more by the crystallinity of the material, and the surface morphology is also related to the salt content.</t>
  </si>
  <si>
    <t>[Qi, Ranran; Guo, Jing; Liu, Yuanfa; Zhang, Rui; Gan, Ziwen] Dalian Polytech Univ, Sch Text &amp; Mat Engn, Dalian 116034, Peoples R China; [Guo, Jing; Liu, Yuanfa] Liaoning Engn Technol Res Ctr Funct Fiber &amp; Its C, Dalian 116034, Peoples R China</t>
  </si>
  <si>
    <t>Dalian Polytechnic University</t>
  </si>
  <si>
    <t>Guo, J; Liu, YF (corresponding author), Dalian Polytech Univ, Sch Text &amp; Mat Engn, Dalian 116034, Peoples R China.</t>
  </si>
  <si>
    <t>guojing8161@163.com; Liuyf@dlpu.edu.cn</t>
  </si>
  <si>
    <t>Yuanfa, Liu/ABH-9944-2020; Liao, Hongmei/ABT-7677-2022</t>
  </si>
  <si>
    <t>Yuanfa, Liu/0000-0002-8259-8426;</t>
  </si>
  <si>
    <t>National Natural Science Foundation of China [51373027, 51773024]; National Science Foundation of Liaoning [2015020221]</t>
  </si>
  <si>
    <t>National Natural Science Foundation of China(National Natural Science Foundation of China (NSFC)); National Science Foundation of Liaoning</t>
  </si>
  <si>
    <t>This work was supported by the National Natural Science Foundation of China (grant numbers: 51373027 &amp; 51773024), and the National Science Foundation of Liaoning (grant numbers: 2015020221).</t>
  </si>
  <si>
    <t>0143-7208</t>
  </si>
  <si>
    <t>1873-3743</t>
  </si>
  <si>
    <t>DYES PIGMENTS</t>
  </si>
  <si>
    <t>Dyes Pigment.</t>
  </si>
  <si>
    <t>10.1016/j.dyepig.2019.107686</t>
  </si>
  <si>
    <t>Chemistry, Applied; Engineering, Chemical; Materials Science, Textiles</t>
  </si>
  <si>
    <t>Chemistry; Engineering; Materials Science</t>
  </si>
  <si>
    <t>IW3HI</t>
  </si>
  <si>
    <t>WOS:000484870700024</t>
  </si>
  <si>
    <t>Aneesh, TD; Srinivas, R; Singh, AT; Resmi, TR; Nair, AM; Redkar, BL</t>
  </si>
  <si>
    <t>Aneesh, T. D.; Srinivas, Reji; Singh, Ajit T.; Resmi, T. R.; Nair, Archana M.; Redkar, B. L.</t>
  </si>
  <si>
    <t>Stable water isotope signatures of dual monsoon precipitation: A case study of Greater Cochin region, south-west coast of India</t>
  </si>
  <si>
    <t>Stable water isotopes; LMWL; d-excess; back-trajectory; monsoon; Greater Cochin</t>
  </si>
  <si>
    <t>URBAN HEAT-ISLAND; BASIN; HYDROGEN; GOTEBORG; OXYGEN; VAPOR; HYDROLOGY; ROORKEE; SURFACE; KERALA</t>
  </si>
  <si>
    <t>Precipitation samples of various spatio-temporal scales were collected from coastal, midland and urban regions of Greater Cochin, Ernakulam district, Kerala for a period of 1 yr (2015-2016). The collected samples were analysed for stable water isotopes (SWI) (delta D and delta O-18), to understand these variations in the precipitation source and the factors governing its isotopic characteristics during precipitation. The delta O-18 in rainwater varies from -8.73 parts per thousand to 0.29 parts per thousand in urban, -12.21 parts per thousand to 2.59 parts per thousand in midland and -9.99% to 0.97 parts per thousand in lowland regions. Spatio-temporal variations in SWI were observed in various regions, suggesting altitude and continental effect followed by the establishment of a regional overall local meteoric water line (LMWL) delta D=8.06 (+/- 0.15) delta O-18+12.5 (+/- 0.68). Among the coastal, midland and urban regions, the highest slope (similar to 8.3) and intercept (similar to 13.0) were observed in the urban region, which designates the variations in temperature along spatial and different layers of the atmosphere in the urban region, resulting in the deviation of isotopic characteristics. The overall deuterium excess (d-excess) value is similar to 10 parts per thousand during the south-west monsoon (June-September), suggesting a moisture source of marine origin. A d-excess of similar to 13 parts per thousand is observed during the north-east monsoon, indicating a moisture source from the continental contribution (October-December). The results of the moisture source obtained from the d-excess value are also supported by back-trajectory analysis. Thus, the present study on isotopic characterisation of precipitation and its controlling factor may enhance our understanding of the Indian monsoon and its dynamics in the west coast region of India.</t>
  </si>
  <si>
    <t>[Aneesh, T. D.; Srinivas, Reji] Natl Ctr Earth Sci Studies, Thiruvananthapuram 695011, Kerala, India; [Singh, Ajit T.; Redkar, B. L.] Natl Ctr Antarctic &amp; Ocean Res, Vasco Da Gama 403804, Goa, India; [Resmi, T. R.] Ctr Water Resource Management &amp; Dev, Calicut 695121, Kerala, India; [Nair, Archana M.] Indian Inst Technol Guwahati, North Guwahati 781039, Assam, India</t>
  </si>
  <si>
    <t>Ministry of Earth Sciences (MoES) - India; National Centre for Earth Science Studies (NCESS); Ministry of Earth Sciences (MoES) - India; National Centre for Polar and Ocean Research (NCPOR); Indian Institute of Technology System (IIT System); Indian Institute of Technology (IIT) - Guwahati</t>
  </si>
  <si>
    <t>Aneesh, TD (corresponding author), Natl Ctr Earth Sci Studies, Thiruvananthapuram 695011, Kerala, India.</t>
  </si>
  <si>
    <t>tdaneesh@gmail.com</t>
  </si>
  <si>
    <t>T R, Resmi/HKO-5787-2023; Nair, Archana M/AAW-5010-2021</t>
  </si>
  <si>
    <t>T R, Resmi/0000-0001-5941-3502; Nair, Archana M/0000-0003-1793-0493; Aneesh T D, Dr./0000-0002-3552-2314; srinivas, reji/0000-0001-7517-2681</t>
  </si>
  <si>
    <t>Ministry of Earth Sciences (MoES), Government of India through the National Centre for Earth Science Studies (NCESS), Kerala</t>
  </si>
  <si>
    <t>This work is funded by the Ministry of Earth Sciences (MoES), Government of India through the National Centre for Earth Science Studies (NCESS), Kerala. The authors are thankful to the Director of National Centre for Earth Science Studies (NCEES) and Director of National Centre for Antarctic and Ocean Research (NCAOR). The authors also acknowledge Dr Thamban Meloth for his valuable suggestions and for allowing us to avail the laboratory facilities at NCAOR.</t>
  </si>
  <si>
    <t>10.1007/s12040-019-1234-2</t>
  </si>
  <si>
    <t>IL9LP</t>
  </si>
  <si>
    <t>WOS:000477606500005</t>
  </si>
  <si>
    <t>Scott, RM; Pickart, RS; Lin, PG; Münchow, A; Li, M; Stockwell, DA; Brearley, JA</t>
  </si>
  <si>
    <t>Scott, Ryan M.; Pickart, Robert S.; Lin, Peigen; Muenchow, Andreas; Li, Min; Stockwell, Dean A.; Brearley, J. Alexander</t>
  </si>
  <si>
    <t>Three-Dimensional Structure of a Cold-Core Arctic Eddy Interacting with the Chukchi Slope Current</t>
  </si>
  <si>
    <t>three-dimensional; cold-core Arctic eddy; Chuckchi Slope Current; newly ventilated Pacific water; anti-cyclonic</t>
  </si>
  <si>
    <t>PACIFIC WATER; CANADA BASIN; HYDROGRAPHIC CONDITIONS; PHYTOPLANKTON BLOOMS; BOUNDARY CURRENT; HERALD CANYON; WINTER WATER; SEA; OCEAN; EDDIES</t>
  </si>
  <si>
    <t>A rapid, high-resolution shipboard survey, using a combination of lowered and expendable hydrographic measurements and vessel-mounted acoustic Doppler current profiler data, provided a unique three-dimensional view of an Arctic anti-cyclonic cold-core eddy. The eddy was situated 50-km seaward of the Chukchi Sea shelfbreak over the 1,000 m isobath, embedded in the offshore side of the Chukchi slope current. The eddy core, centered near 150-m depth, consisted of newly ventilated Pacific winter water which was high in nitrate and dissolved oxygen. Its fluorescence signal was due to phaeopigments rather than chlorophyll, indicating that photosynthesis was no longer active, consistent with an eddy age on the order of months. Subtracting out the slope current signal demonstrated that the eddy velocity field was symmetrical with a peak azimuthal speed of order 10 cm s(-1). Its Rossby number was similar to 0.4, consistent with the fact that the measured cyclogeostrophic velocity was dominated by the geostrophic component. Different scenarios are discussed regarding how the eddy became embedded in the slope current, and what the associated ramifications are with respect to eddy spin-down and ventilation of the Canada Basin halocline. Plain Language Summary A critical feature of the interior Arctic Ocean is the sharp vertical change in salinity between roughly 100-m to 200-m depth, known as the cold halocline. This shields the warm Atlantic-origin water below from mixing upward to the surface and melting the pack ice. The cold halocline is believed to be partially maintained by eddies of cold water emanating from the Chukchi Sea continental shelf. This paper presents measurements from a rapid, high-resolution shipboard survey of a cold-core Arctic eddy offshore of the shelf edge, providing a unique three-dimensional view of the feature. The eddy's core contained water near the freezing point with a high level of nitrate, but the biological activity had largely ceased because the eddy had descended below the part of the water column exposed to sunlight. The eddy was imbedded in the offshore edge of the westward-flowing Chukchi slope current. Different scenarios are discussed regarding how the eddy became embedded in the slope current, and what the associated ramifications are with respect to disintegration of the eddy and the manner in which the cold water feeds the halocline.</t>
  </si>
  <si>
    <t>[Scott, Ryan M.; Brearley, J. Alexander] British Antarctic Survey, Cambridge, England; [Scott, Ryan M.] Univ Southampton, Ocean &amp; Earth Sci, Southampton, Hants, England; [Pickart, Robert S.; Lin, Peigen] Woods Hole Oceanog Inst, Dept Phys Oceanog, Woods Hole, MA 02543 USA; [Muenchow, Andreas] Univ Delaware, Coll Earth Ocean &amp; Environm, Newark, DE USA; [Li, Min] Guangdong Ocean Univ, Guangdong Prov Key Lab Coastal Ocean Variat &amp; Dis, Zhanjiang, Peoples R China; [Stockwell, Dean A.] Univ Alaska, Coll Fisheries &amp; Ocean Sci, Fairbanks, AK 99701 USA</t>
  </si>
  <si>
    <t>UK Research &amp; Innovation (UKRI); Natural Environment Research Council (NERC); NERC British Antarctic Survey; University of Southampton; Woods Hole Oceanographic Institution; University of Delaware; Guangdong Ocean University; University of Alaska System; University of Alaska Fairbanks</t>
  </si>
  <si>
    <t>Scott, RM (corresponding author), British Antarctic Survey, Cambridge, England.;Scott, RM (corresponding author), Univ Southampton, Ocean &amp; Earth Sci, Southampton, Hants, England.</t>
  </si>
  <si>
    <t>ryacot85@bas.ac.uk</t>
  </si>
  <si>
    <t>Muenchow, Andreas/J-8257-2012; Brearley, Alexander/C-3313-2012</t>
  </si>
  <si>
    <t>Muenchow, Andreas/0000-0001-8360-5686; Scott, Ryan/0000-0002-2141-7978; Brearley, Alexander/0000-0003-3700-8017; Lin, Peigen/0000-0002-2410-976X</t>
  </si>
  <si>
    <t>National Science Foundation [OPP-1702371, OPP-1733564, PLR1303617, OPP-0125466, OPP-1604076]; National Oceanic and Atmospheric Administration [NA14OAR4320158]; National Natural Science Foundation of China [41706025, 41506018]; Natural Environmental Research Council [NE/L011166/1]; NERC [1791103, NE/L011166/1, bas0100033] Funding Source: UKRI</t>
  </si>
  <si>
    <t>National Science Foundation(National Science Foundation (NSF)); National Oceanic and Atmospheric Administration(National Oceanic Atmospheric Admin (NOAA) - USA); National Natural Science Foundation of China(National Natural Science Foundation of China (NSFC)); Natural Environmental Research Council(UK Research &amp; Innovation (UKRI)Natural Environment Research Council (NERC)); NERC(UK Research &amp; Innovation (UKRI)Natural Environment Research Council (NERC))</t>
  </si>
  <si>
    <t>The authors are indebted to the crew of the USCGC Healy for making the eddy survey possible. Funding for the study was provided by the following sources: National Science Foundation Grants OPP-1702371, OPP-1733564, and PLR1303617 (RS, RP); OPP-0125466 (DS); and OPP-1604076 (AM). National Oceanic and Atmospheric Administration Grant NA14OAR4320158 (PL); National Natural Science Foundation of China Grants 41706025 and 41506018 (ML); Natural Environmental Research Council Grant NE/L011166/1 (AB). RS acknowledges the Challenger Society for helping facilitate the collaboration that resulted in this work. The data used in the study can be found at http://www.eol.ucar.edu/projects/sbi/all_data.shtml.</t>
  </si>
  <si>
    <t>10.1029/2019JC015523</t>
  </si>
  <si>
    <t>NOV 2019</t>
  </si>
  <si>
    <t>JZ9DR</t>
  </si>
  <si>
    <t>Green Submitted, Green Published, Green Accepted, hybrid</t>
  </si>
  <si>
    <t>WOS:000499546500001</t>
  </si>
  <si>
    <t>Frey, DI; Morozov, EG; Fomin, VV; Diansky, NA; Tarakanov, RY</t>
  </si>
  <si>
    <t>Frey, D. I.; Morozov, E. G.; Fomin, V. V.; Diansky, N. A.; Tarakanov, R. Y.</t>
  </si>
  <si>
    <t>Regional Modeling of Antarctic Bottom Water Flows in the Key Passages of the Atlantic</t>
  </si>
  <si>
    <t>Abyssal circulation; deep-water channels; Antarctic Bottom Water; numerical modeling; LADCP measurements</t>
  </si>
  <si>
    <t>WESTERN BOUNDARY CURRENT; ROMANCHE FRACTURE-ZONE; DEEP-WATER; OCEAN; CIRCULATION; TRANSPORT; CLIMATE; PART; VARIABILITY; EVOLUTION</t>
  </si>
  <si>
    <t>The goal of this research is to modify and apply a version of high-resolution three-dimensional numerical model for simulations of bottom circulation and to study the flows of Antarctic Bottom Water in abyssal channels of the Atlantic Ocean using this model. We adjusted the Institute of Numerical Mathematics Ocean Model sigma-level ocean circulation model for several regions with intense bottom currents in abyssal channels. High vertical resolution near the seafloor allowed us to study the abyssal part of the ocean circulation, while high horizontal resolution is necessary for modeling currents in narrow underwater channels and fracture zones. We used our direct velocity measurements carried out at key points of the currents in the channels for verification of the model. This approach was applied in the regions with different seafloor topography: in the long and narrow Vema Channel with a strong bottom current and in several fracture zones of the Mid-Atlantic Ridge with rough bathymetry. On the basis of simulated three-dimensional velocity fields, we analyzed the spatial structure of the bottom currents along the entire length of the channels, determined maximum velocities at different sections, investigated the influence of the Ekman flux on the structure of the flows, and compared our model results with in situ observations. We also calculated the total transports of Antarctic Bottom Water through the fractures in several underwater ridges of the Atlantic Ocean.</t>
  </si>
  <si>
    <t>[Frey, D. I.; Morozov, E. G.; Tarakanov, R. Y.] Russian Acad Sci, Shirshov Inst Oceanol, Moscow, Russia; [Fomin, V. V.; Diansky, N. A.] Zubov State Oceanog Inst, Dept Phys, Moscow, Russia; [Fomin, V. V.; Diansky, N. A.] Russian Acad Sci, Inst Numer Math, Moscow, Russia; [Diansky, N. A.] Lomonosov Moscow State Univ, Fac Phys, Moscow, Russia</t>
  </si>
  <si>
    <t>Russian Academy of Sciences; Shirshov Institute of Oceanology; Zubov State Oceanographic Institute; Russian Academy of Sciences; Lomonosov Moscow State University</t>
  </si>
  <si>
    <t>Frey, DI (corresponding author), Russian Acad Sci, Shirshov Inst Oceanol, Moscow, Russia.</t>
  </si>
  <si>
    <t>dima.frey@gmail.com</t>
  </si>
  <si>
    <t>Tarakanov, Roman/R-3325-2016; Diansky, Nikolay A/R-8307-2018; Fomin, Vladimir/C-2124-2017; Fomin, Vladimir/AAQ-2838-2020; Morozov, Eugene G/L-3023-2018; Frey, Dmitry/X-9812-2018; Frey, Dmitry/AAD-3366-2021</t>
  </si>
  <si>
    <t>Tarakanov, Roman/0000-0002-8711-1859; Frey, Dmitry/0000-0001-8141-9513; Morozov, Eugene/0000-0002-0251-3454; Fomin, Vladimir/0000-0001-8857-1518</t>
  </si>
  <si>
    <t>State Task of Russia [0128-2019-0008]; Russian Science Foundation [16-17-10149]; Russian Foundation for Basic Research [18-05-01107, 19-57-60001]; Russian Science Foundation [19-17-13021] Funding Source: Russian Science Foundation</t>
  </si>
  <si>
    <t>State Task of Russia; Russian Science Foundation(Russian Science Foundation (RSF)); Russian Foundation for Basic Research(Russian Foundation for Basic Research (RFBR)Spanish Government); Russian Science Foundation(Russian Science Foundation (RSF))</t>
  </si>
  <si>
    <t>The work supported by the State Task of Russia 0128-2019-0008, the Russian Science Foundation 16-17-10149 (field studies), and Russian Foundation for Basic Research 18-05-01107 (adjustment of the numerical model) and 19-57-60001 (verification of the model and analysis). We thank the editor and two reviewers for their time and efforts and for the very important comments to the manuscript that helped us to make the presentation better. The results of numerical simulations and all experimental data used in the publication are available in open access through Pangaea (https://doi.pangaea.de/10.1594/PANGAEA.907919).Calculations have been performed by means of MVS-100K supercomputer resources of the Joint Supercomputer Center of the Russian Academy of Sciences.</t>
  </si>
  <si>
    <t>10.1029/2019JC015315</t>
  </si>
  <si>
    <t>WOS:000499658400001</t>
  </si>
  <si>
    <t>Eidam, EF; Nittrouer, CA; Lundesgaard, O; Homolka, KK; Smith, CR</t>
  </si>
  <si>
    <t>Eidam, E. F.; Nittrouer, C. A.; Lundesgaard, O.; Homolka, K. K.; Smith, C. R.</t>
  </si>
  <si>
    <t>Variability of Sediment Accumulation Rates in an Antarctic Fjord</t>
  </si>
  <si>
    <t>fjord; sediment; West Antarctic Peninsula; tidewater glacier; radiochronology; accumulation</t>
  </si>
  <si>
    <t>PENINSULA; GLACIER; EROSION; SHELF; DEPOSITION; TRANSECT; RETREAT; FACIES; WEST; BAYS</t>
  </si>
  <si>
    <t>Fjords on the West Antarctic Peninsula (WAP) serve as sediment traps, preserving histories of glacial sediment supply. Regional warming trends are expected to change sediment supplies, altering water quality, depositional history, and ecosystem drivers. Our ability to assess magnitudes of these changes is limited by sparse data on modern sediment accumulation. Twelve new cores and four existing cores from Andvord Bay were used to characterize variability in sediment accumulation rates. These range from 1.5 to 7.9 mm/year (0.12 to 0.56 g center dot cm(-2)center dot year(-1)). Spatial differences and a weak down-fjord gradient in rates suggest diverse sediment sources, including from outside the fjord. This data set provides a comprehensive assessment of sedimentation during the past century, indicating little change in rates due to recent WAP warming, and sets a benchmark for assessing climate-related changes in sediment delivery and ecosystem drivers (e.g., burial disturbance) in the fjord over coming decades.</t>
  </si>
  <si>
    <t>[Eidam, E. F.] Univ North Carolina Chapel Hill, Dept Marine Sci, Chapel Hill, NC 27599 USA; [Nittrouer, C. A.; Homolka, K. K.] Univ Washington, Sch Oceanog, Seattle, WA 98195 USA; [Lundesgaard, O.] Norwegian Polar Res Inst, Tromso, Norway; [Smith, C. R.] Univ Hawaii Manoa, Sch Ocean &amp; Earth Sci &amp; Technol, Honolulu, HI 96822 USA</t>
  </si>
  <si>
    <t>University of North Carolina; University of North Carolina Chapel Hill; University of North Carolina School of Medicine; University of Washington; University of Washington Seattle; Norwegian Polar Institute; University of Hawaii System; University of Hawaii Manoa</t>
  </si>
  <si>
    <t>Eidam, EF (corresponding author), Univ North Carolina Chapel Hill, Dept Marine Sci, Chapel Hill, NC 27599 USA.</t>
  </si>
  <si>
    <t>efe@unc.edu</t>
  </si>
  <si>
    <t>Foss, Oyvind/0000-0002-3410-8904; Eidam, Emily/0000-0002-1906-8692; Smith, Craig/0000-0002-3976-0889; Homolka, Khadijah/0000-0002-5208-8740</t>
  </si>
  <si>
    <t>NSF Office of Polar Programs AOE grant [1443680]; UNC-Chapel Hill; UW; Directorate For Geosciences [1443680] Funding Source: National Science Foundation; Office of Polar Programs (OPP) [1443680] Funding Source: National Science Foundation</t>
  </si>
  <si>
    <t>NSF Office of Polar Programs AOE grant; UNC-Chapel Hill; UW; Directorate For Geosciences(National Science Foundation (NSF)NSF - Directorate for Geosciences (GEO)); Office of Polar Programs (OPP)(National Science Foundation (NSF)NSF - Directorate for Geosciences (GEO))</t>
  </si>
  <si>
    <t>This work was funded by NSF Office of Polar Programs AOE grant 1443680 (C. Smith, P.I.), UW, and UNC-Chapel Hill. The authors thank the captain and crew of the R/V Palmer for their field support; Amanda Ziegler, Astrid Leitner, Andrew Sweetman, Colin Butler, Kelcey Chung, and Katy Christiansen for assistance processing cores; and David DeMaster for insights about the WAP and shelf. Data are available through the U.S. Antarctic Program Data Center at http://www.usap-dc.org/view/dataset/601193 (https://doi.org/10.15784/601193).</t>
  </si>
  <si>
    <t>NOV 28</t>
  </si>
  <si>
    <t>10.1029/2019GL084499</t>
  </si>
  <si>
    <t>KA6AN</t>
  </si>
  <si>
    <t>WOS:000499482600001</t>
  </si>
  <si>
    <t>Qian, WH; Wu, KJ; Leung, JCH</t>
  </si>
  <si>
    <t>Qian, Weihong; Wu, Kaijun; Leung, Jeremy Cheuk-Hin</t>
  </si>
  <si>
    <t>Antarctic sea-ice variation associated with vertical geopotential height and temperature anomalies</t>
  </si>
  <si>
    <t>Antarctica sea ice anomaly; extreme year; geopotential height anomaly; long-term trend; temperature anomaly</t>
  </si>
  <si>
    <t>SOUTHERN-HEMISPHERE; LONG-TERM; VARIABILITY; CLIMATE; RECORD; OCEAN; TRENDS; OSCILLATION; IMPACTS; HEAT</t>
  </si>
  <si>
    <t>It is well-known that the increasing zonal-mean trend of sea-ice concentration (SIC) surrounding Antarctica is up to 2015 so this paper first summarized this trend with opposing regional trends in each season along the latitude band 60 degrees-70 degrees S during 1979-2015. The surface wind trends can partly explain the observed regional SIC trends. By analysing the surface wind, as well as the tropospheric geopotential height (GPH) and temperature trends, the study revealed that the increasing zonal-mean SIC trend and opposing regional SIC trends surrounding Antarctica are vertically associated with GPH and temperature trends in the troposphere. This relationship is also found in extreme years for seven SIC maximum and four SIC minimum autumns from 1979 to 2015, particularly reconfirmed in the two SIC minimum autumns of 2017 and 2018, indicating that a positive regional SIC anomaly is vertically associated with an anomalously cold air mass centred around 850 hPa in the troposphere which is located beneath a negative GPH anomaly at the upper troposphere, and vice versa.</t>
  </si>
  <si>
    <t>[Qian, Weihong; Leung, Jeremy Cheuk-Hin] Peking Univ, Dept Atmospher &amp; Ocean Sci, Beijing 100871, Peoples R China; [Qian, Weihong; Leung, Jeremy Cheuk-Hin] Xiamen Meteorol Bur, Lab Straits Meteorol, Xiamen, Peoples R China; [Wu, Kaijun] Civil Aviat Univ China, Dept Aviat Meteorol, Tianjin 300300, Peoples R China</t>
  </si>
  <si>
    <t>Peking University; Civil Aviation University of China</t>
  </si>
  <si>
    <t>Qian, WH (corresponding author), Peking Univ, Dept Atmospher &amp; Ocean Sci, Beijing 100871, Peoples R China.;Wu, KJ (corresponding author), Civil Aviat Univ China, Dept Aviat Meteorol, Tianjin 300300, Peoples R China.</t>
  </si>
  <si>
    <t>qianwh@pku.edu.cn; wukaijun.happy@aliyun.com</t>
  </si>
  <si>
    <t>Wu, Kaijun/AAE-9208-2020; Leung, Jeremy Cheuk-Hin/AAW-7595-2020</t>
  </si>
  <si>
    <t>Wu, Kaijun/0000-0002-2227-3582; Leung, Jeremy Cheuk-Hin/0000-0002-4325-1083</t>
  </si>
  <si>
    <t>NOV 30</t>
  </si>
  <si>
    <t>10.1002/joc.6161</t>
  </si>
  <si>
    <t>JH6SM</t>
  </si>
  <si>
    <t>WOS:000492898900012</t>
  </si>
  <si>
    <t>Grünenwald, M; Adams, MB; Carter, CG; Nichols, DS; Koppe, W; Verlhac-Trichet, V; Schierle, J; Adams, LR</t>
  </si>
  <si>
    <t>Gruenenwald, Martin; Adams, Mark B.; Carter, Chris G.; Nichols, David S.; Koppe, Wolfgang; Verlhac-Trichet, Viviane; Schierle, Joseph; Adams, Louise R.</t>
  </si>
  <si>
    <t>Pigment-depletion in Atlantic salmon (Salmo salar) post-smolt starved at elevated temperature is not influenced by dietary carotenoid type and increasing α-tocopherol level</t>
  </si>
  <si>
    <t>FOOD CHEMISTRY</t>
  </si>
  <si>
    <t>Atlantic salmon; Carotenoids; Pigmentation; Oxidative stress; Elevated temperature; alpha-Tocopherol</t>
  </si>
  <si>
    <t>FATTY-ACID-COMPOSITION; LIQUID-CHROMATOGRAPHY; OXIDATIVE STRESS; DELTA-TOCOPHEROL; VITAMIN-E; ASTAXANTHIN; L.; MUSCLE; MALONDIALDEHYDE; DEPOSITION</t>
  </si>
  <si>
    <t>Pigment-depletion in the fillets of farmed Atlantic salmon (Salmo salar) arises after periods of elevated water temperatures with voluntary starving. This study tested the effects of dietary pre-loading with different pigment carotenoids (astaxanthin and/or canthaxanthin) combined with two alpha-tocopherol levels (normal and high: 500 and 1000 mg/kg, respectively) on pigment-depletion in vivo in Atlantic salmon after four weeks of challenge. We also tested whether oxidative stress manifested as an underlying depletion mechanism. Carotenoid levels in whole fillet homogenates were not decreased significantly post-challenge but fillet alpha-tocopherol concentrations were increased significantly in contrast to decreased oxidative stress indices. However, image analysis revealed localised fillet pigment-depletion following all dietary treatments. These data imply that localised pigment-depletion was not prevented by pre-loading of the fillet with different carotenoid-types/mixtures and increased of alpha-tocopherol levels from normal to high, respectively. Further, we suggest that oxidative stress might not facilitate pigment-depletion in vivo.</t>
  </si>
  <si>
    <t>[Gruenenwald, Martin; Adams, Mark B.; Carter, Chris G.; Adams, Louise R.] Univ Tasmania, Inst Marine &amp; Antarctic Studies, Private Bag 49, Hobart, Tas 7001, Australia; [Nichols, David S.] Univ Tasmania, Cent Sci Lab, Private Bag 51, Hobart, Tas 7001, Australia; [Koppe, Wolfgang] Skretting Aquaculture Res Ctr, Sjohagen 3, N-4016 Stavanger, Norway; [Verlhac-Trichet, Viviane] DSM Nutr Prod France, Anim Nutr &amp; Hlth R&amp;D, 1 Bd Alsace, F-68128 Village Neuf, France; [Schierle, Joseph] ARC, DSM Nutr Prod, Wurmisweg 576, CH-4303 Kaiseraugst, Switzerland; [Koppe, Wolfgang] Simplyfish AS, Baldersgate 12, N-4011 Stavanger, Norway</t>
  </si>
  <si>
    <t>University of Tasmania; University of Tasmania; DSM NV; DSM NV</t>
  </si>
  <si>
    <t>Grünenwald, M (corresponding author), Biomar Pty Ltd, 212 York St, Launceston, Tas 7250, Australia.</t>
  </si>
  <si>
    <t>Margr@biomar.com; Mark.Adams@utas.edu.au; Chris.Carter@utas.edu.au; D.Nichols@utas.edu.au; Wolfgang.Koppe@simplyfish.no; Viviane.Verlhac@dsm.com; Joseph.Schierle@dsm.com; Louise.Adams@utas.edu.au</t>
  </si>
  <si>
    <t>Carter, Chris Guy/A-3438-2008; Adams, Louise/AAH-4511-2020</t>
  </si>
  <si>
    <t>Carter, Chris Guy/0000-0001-5210-1282; Adams, Louise/0000-0001-5535-5253; Verlhac Trichet, Viviane/0000-0001-5480-4424; Nichols, David/0000-0002-8066-3132</t>
  </si>
  <si>
    <t>Skretting; DSM; Petuna; Australian Government Research Training Program Scholarship</t>
  </si>
  <si>
    <t>Skretting; DSM; Petuna; Australian Government Research Training Program Scholarship(Australian GovernmentDepartment of Industry, Innovation and Science)</t>
  </si>
  <si>
    <t>We thank Skretting for the financial support to this project, as well as provision of the experimental diets and diet shipment, particularly Gunvor Struksnaes from Skretting ARC and Nicole Ruff from Skretting Australia. We greatly appreciated the financial input of DSM. Greatly appreciated was also financial support and provision of the experimental fish by Petuna. M. Grunenwald was supported by an Australian Government Research Training Program Scholarship.</t>
  </si>
  <si>
    <t>0308-8146</t>
  </si>
  <si>
    <t>1873-7072</t>
  </si>
  <si>
    <t>FOOD CHEM</t>
  </si>
  <si>
    <t>Food Chem.</t>
  </si>
  <si>
    <t>10.1016/j.foodchem.2019.125140</t>
  </si>
  <si>
    <t>Chemistry, Applied; Food Science &amp; Technology; Nutrition &amp; Dietetics</t>
  </si>
  <si>
    <t>Chemistry; Food Science &amp; Technology; Nutrition &amp; Dietetics</t>
  </si>
  <si>
    <t>IM0HM</t>
  </si>
  <si>
    <t>WOS:000477668100044</t>
  </si>
  <si>
    <t>Wilds, CT; Marsh, OJ; Rack, W</t>
  </si>
  <si>
    <t>Wilds, Christian T.; Marsh, Oliver J.; Rack, Wolfgang</t>
  </si>
  <si>
    <t>Differential interferometric synthetic aperture radar for tide modelling in Antarctic ice-shelf grounding zones</t>
  </si>
  <si>
    <t>CAMPBELL GLACIER TONGUE; EAST ANTARCTICA; FLEXURE; INSAR; SEA; MARGINS; STRAIN; SHEETS</t>
  </si>
  <si>
    <t>Differential interferometric synthetic aperture radar (DInSAR) is an essential tool for detecting ice-sheet motion near Antarctica's oceanic margin. These space-borne measurements have been used extensively in the past to map the location and retreat of ice-shelf grounding lines as an indicator for the onset of marine ice-sheet instability and to calculate the mass balance of ice sheets and individual catchments. The main difficulty in interpreting DInSAR is that images originate from a combination of several SAR images and do not indicate instantaneous ice deflection at the times of satellite data acquisitions. Here, we combine the sub-centimetre accuracy and spatial benefits of DInSAR with the temporal benefits of tide models to infer the spatio-temporal dynamics of ice-ocean interaction during the times of satellite overpasses. We demonstrate the potential of this synergy with TerraSAR-X data from the almost-stagnant southern McMurdo Ice Shelf (SMIS). We then validate our algorithm with GPS data from the fast-flowing Darwin Glacier, draining the Antarctic Plateau through the Transantarctic Mountains into the Ross Sea. We are able to reconstruct DInSAR-derived vertical displacements to 7 mm mean absolute residual error and generally improve traditional tide-model output by up to 39 % from 10.8 to 6.7 cm RMSE against GPS data from areas where ice is in local hydrostatic equilibrium with the ocean and by up to 74 % from 21.4 to 5.6 cm RMSE against GPS data in feature-rich coastal areas where tide models have not been applicable before. Numerical modelling then reveals Young's modulus of E = 1.0 +/- 0.56 GPa and an ice viscosity of nu = 10 +/- 3.65 TPa s when finite-element simulations of tidal flexure are matched to 16 d of tiltmeter data, supporting the hypothesis that straindependent anisotropy may significantly decrease effective viscosity compared to isotropic polycrystalline ice on large spatial scales. Applications of our method include the following: refining coarsely gridded tide models to resolve small-scale features at the spatial resolution and vertical accuracy of SAR imagery, separating elastic and viscoelastic contributions in the satellite-derived flexure measurement, and gaining information about large-scale ice heterogeneity in Antarctic ice-shelf grounding zones, the missing key to improving current ice-sheet flow models. The reconstruction of the individual components forming DInSAR images has the potential to become a standard remote-sensing method in polar tide modelling. Unlocking the algorithm's full potential to answer multi-disciplinary research questions is desired and demands collaboration within the scientific community.</t>
  </si>
  <si>
    <t>[Wilds, Christian T.; Marsh, Oliver J.; Rack, Wolfgang] Univ Canterbury, Gateway Antarctica, Private Bag 4800, Christchurch 8140, New Zealand; [Marsh, Oliver J.] British Antarctic Survey, Madingley Rd, Cambridge CB3 0ET, England</t>
  </si>
  <si>
    <t>University of Canterbury; UK Research &amp; Innovation (UKRI); Natural Environment Research Council (NERC); NERC British Antarctic Survey</t>
  </si>
  <si>
    <t>Wilds, CT (corresponding author), Univ Canterbury, Gateway Antarctica, Private Bag 4800, Christchurch 8140, New Zealand.</t>
  </si>
  <si>
    <t>christian.wild@canterbury.ac.nz</t>
  </si>
  <si>
    <t>Marsh, Oliver J/K-7436-2014; Rack, Wolfgang/U-8898-2017</t>
  </si>
  <si>
    <t>Marsh, Oliver/0000-0001-7874-514X; Wild, Christian/0000-0003-4586-1704; Rack, Wolfgang/0000-0003-2447-377X</t>
  </si>
  <si>
    <t>Marsden Fund [UOC-1404]; NERC [bas0100034] Funding Source: UKRI</t>
  </si>
  <si>
    <t>Marsden Fund(Royal Society of New ZealandMarsden Fund (NZ)); NERC(UK Research &amp; Innovation (UKRI)Natural Environment Research Council (NERC))</t>
  </si>
  <si>
    <t>This research has been supported by the Marsden Fund (grant no. UOC-1404).</t>
  </si>
  <si>
    <t>NOV 29</t>
  </si>
  <si>
    <t>10.5194/tc-13-3171-2019</t>
  </si>
  <si>
    <t>JS0PU</t>
  </si>
  <si>
    <t>Green Accepted, Green Submitted, gold</t>
  </si>
  <si>
    <t>WOS:000500017500001</t>
  </si>
  <si>
    <t>Castagno, P; Capozzi, V; DiTullio, GR; Falco, P; Fusco, G; Rintoul, SR; Spezie, G; Budillon, G</t>
  </si>
  <si>
    <t>Castagno, Pasquale; Capozzi, Vincenzo; DiTullio, Giacomo R.; Falco, Pierpaolo; Fusco, Giannetta; Rintoul, Stephen R.; Spezie, Giancarlo; Budillon, Giorgio</t>
  </si>
  <si>
    <t>Rebound of shelf water salinity in the Ross Sea</t>
  </si>
  <si>
    <t>ANTARCTIC BOTTOM WATER; VARIABILITY; AMUNDSEN</t>
  </si>
  <si>
    <t>Antarctic Bottom Water (AABW) supplies the lower limb of the global overturning circulation and ventilates the abyssal ocean. In recent decades, AABW has warmed, freshened and reduced in volume. Ross Sea Bottom Water (RSBW), the second largest source of AABW, has experienced the largest freshening. Here we use 23 years of summer measurements to document temporal variability in the salinity of the Ross Sea High Salinity Shelf Water (HSSW), a precursor to RSBW. HSSW salinity decreased between 1995 and 2014, consistent with freshening observed between 1958 and 2008. However, HSSW salinity rebounded sharply after 2014, with values in 2018 similar to those observed in the mid-late 1990s. Near-synchronous interannual fluctuations in salinity observed at five locations on the continental shelf suggest that upstream preconditioning and large-scale forcing influence HSSW salinity. The rate, magnitude and duration of the recent salinity increase are unusual in the context of the (sparse) observational record.</t>
  </si>
  <si>
    <t>[Castagno, Pasquale; Capozzi, Vincenzo; Falco, Pierpaolo; Fusco, Giannetta; Spezie, Giancarlo; Budillon, Giorgio] Univ Napoli Parthenope, Ctr Direz, Dipartimento Sci &amp; Tecnol, Isola C4, I-80143 Naples, Italy; [DiTullio, Giacomo R.] Univ Charleston, Grice Marine Lab, 205 Ft Johnson Rd, Charleston, SC 29412 USA; [Rintoul, Stephen R.] CSIRO Oceans &amp; Atmosphere, Hobart, Tas, Australia; [Rintoul, Stephen R.] Ctr Southern Hemisphere Oceans Res, Hobart, Tas, Australia; [Rintoul, Stephen R.] Australian Antarctic Program Partnership, Hobart, Tas, Australia</t>
  </si>
  <si>
    <t>Parthenope University Naples; College of Charleston; Commonwealth Scientific &amp; Industrial Research Organisation (CSIRO)</t>
  </si>
  <si>
    <t>Castagno, P (corresponding author), Univ Napoli Parthenope, Ctr Direz, Dipartimento Sci &amp; Tecnol, Isola C4, I-80143 Naples, Italy.</t>
  </si>
  <si>
    <t>pasquale.castagno@uniparthenope.it</t>
  </si>
  <si>
    <t>Castagno, Pasquale/JAC-6923-2023; Castagno, Pasquale/HCI-3939-2022</t>
  </si>
  <si>
    <t>DiTullio, Giacomo/0000-0002-3088-5423; FUSCO, Giannetta/0000-0003-1769-2456; Capozzi, Vincenzo/0000-0002-8279-9922; Castagno, Pasquale/0000-0002-5705-1066</t>
  </si>
  <si>
    <t>Italian National Programme for Antarctic Research (PNRA) [2016/AN2.02, 2016/A3.06, OSS-13, 2009/A2.04, 2004/08.03]; US National Science Foundation [OPP-1644073]; Centre for Southern Hemisphere Oceans Research; Australian Antarctic Programme Partnership; Earth Systems and Climate Change Hub of the Australian Government's National Environmental Science Programme</t>
  </si>
  <si>
    <t>Italian National Programme for Antarctic Research (PNRA); US National Science Foundation(National Science Foundation (NSF)); Centre for Southern Hemisphere Oceans Research(Commonwealth Scientific &amp; Industrial Research Organisation (CSIRO)); Australian Antarctic Programme Partnership; Earth Systems and Climate Change Hub of the Australian Government's National Environmental Science Programme</t>
  </si>
  <si>
    <t>Logistical and financial supports for these study was provided by the Italian National Programme for Antarctic Research (PNRA), grants: 2016/AN2.02 (CELEBeR); 2016/A3.06 (P-ROSE); OSS-13 (MORSea); 2009/A2.04 (T-Rex); 2004/08.03 (CLIMA IV). This study was partially supported by a grant from the US National Science Foundation to G.R.D. (OPP-1644073). S.R.R. was supported by the Centre for Southern Hemisphere Oceans Research, a collaboration between the Qingdao National Laboratory for Marine Science and Technology (QNLM) and CSIRO; by the Australian Antarctic Programme Partnership; and by the Earth Systems and Climate Change Hub of the Australian Government's National Environmental Science Programme. We are thankful to the Meteo-Climatological Observatory' of the PNRA for the meteorological data set. We are also thankful to CoNISMa for the management of P-ROSE project. We thank the CLIMA IV, T-Rex, MORSea, CELEBeR and P-ROSE teams and the crew of the RV Italica who provided excellent support during the field operations.</t>
  </si>
  <si>
    <t>10.1038/s41467-019-13083-8</t>
  </si>
  <si>
    <t>JS5PQ</t>
  </si>
  <si>
    <t>WOS:000500358400001</t>
  </si>
  <si>
    <t>Hayes, KR; Hosack, GR; Lawrence, E; Hedge, P; Barrett, NS; Przeslawski, R; Caley, MJ; Foster, SD</t>
  </si>
  <si>
    <t>Hayes, Keith R.; Hosack, Geoffrey R.; Lawrence, Emma; Hedge, Paul; Barrett, Neville S.; Przeslawski, Rachel; Caley, M. Julian; Foster, Scott D.</t>
  </si>
  <si>
    <t>Designing Monitoring Programs for Marine Protected Areas Within an Evidence Based Decision Making Paradigm</t>
  </si>
  <si>
    <t>monitoring; marine protected area; design methodology; EBDM; causality</t>
  </si>
  <si>
    <t>MODEL-BASED INFERENCE; GREAT-BARRIER-REEF; EXPERT KNOWLEDGE; ENVIRONMENTAL IMPACTS; CLIMATE-CHANGE; ELICITATION; OUTCOMES; MANAGEMENT; QUALITY; PSEUDOREPLICATION</t>
  </si>
  <si>
    <t>The Evidence Based Decision Making (EBDM) paradigm encourages managers to base their decisions on the strongest available evidence, but it has been criticized for placing too much emphasis on the choice of study design method without considering the types of questions that are being addressed as well as other relevant factors such as how well a study is implemented. Here we review the objectives of Australia's Marine Park network, and identify the types of questions and data analysis that would address these objectives. Critically, we consider how the design of a monitoring program influences our ability to adequately answer these questions, using the strength of evidence hierarchy from the EBDM paradigm to assess the adequacy of different design strategies and other sources of information. It is important for conservation managers to recognize that the types of questions monitoring programs are able to answer depends on how they are designed and how the collected data are analyzed. The socio-political process that dictates where protected areas are placed typically excludes the strongest types of evidence, Random Controlled Trials (RCTs), for certain questions. Evidence bases that are stronger than ones commonly employed to date, however, could be used to provide a causal inference, including for those questions where RCTs are excluded, but only if appropriate designs such as cohort or case-control studies are used, and supported where relevant by appropriate sample frames. Randomized, spatially balanced sampling, together with careful selection of control sites, and more extensive use of propensity scores and structured elicitation of expert judgment, are also practical ways to improve the evidence base for answering the questions that underlie marine park objectives and motivate long-term monitoring programs.</t>
  </si>
  <si>
    <t>[Hayes, Keith R.; Hosack, Geoffrey R.; Foster, Scott D.] CSIRO Data61, Hobart, Tas, Australia; [Lawrence, Emma] CSIRO Data61, Brisbane, Qld, Australia; [Hedge, Paul; Barrett, Neville S.] Univ Tasmania, IMAS, Hobart, Tas, Australia; [Przeslawski, Rachel] Geosci Australia, Canberra, ACT, Australia; [Caley, M. Julian] Queensland Univ Technol, ARC Ctr Excellence Math &amp; Stat Frontiers, Brisbane, Qld, Australia</t>
  </si>
  <si>
    <t>Commonwealth Scientific &amp; Industrial Research Organisation (CSIRO); Commonwealth Scientific &amp; Industrial Research Organisation (CSIRO); University of Tasmania; Geoscience Australia; Queensland University of Technology (QUT)</t>
  </si>
  <si>
    <t>Hayes, KR (corresponding author), CSIRO Data61, Hobart, Tas, Australia.</t>
  </si>
  <si>
    <t>keith.hayes@csiro.au</t>
  </si>
  <si>
    <t>Przeslawski, Rachel/IRZ-9563-2023; Hosack, Geoffrey/E-8566-2010; Hayes, Keith R/A-4550-2009; Lawrence, Emma/A-5584-2009; Foster, Scott/E-9311-2010; Barrett, Neville/J-7593-2014</t>
  </si>
  <si>
    <t>Hosack, Geoffrey/0000-0002-6462-6817; Foster, Scott/0000-0002-6719-8002; Barrett, Neville/0000-0002-6167-1356; Hedge, Paul/0000-0002-2040-9618</t>
  </si>
  <si>
    <t>Marine Biodiversity Hub through Australian Government's National Environmental Science Program (NESP)</t>
  </si>
  <si>
    <t>This work was supported by the Marine Biodiversity Hub, a collaborative partnership supported through funding from the Australian Government's National Environmental Science Program (NESP). NESP Marine Biodiversity Hub partners include the Institute for Marine and Antarctic Studies, University of Tasmania; CSIRO, Geoscience Australia, Australian Institute of Marine Science, Museum Victoria, Charles Darwin University, and the University of Western Australia.</t>
  </si>
  <si>
    <t>10.3389/fmars.2019.00746</t>
  </si>
  <si>
    <t>JR7LB</t>
  </si>
  <si>
    <t>WOS:000499801100001</t>
  </si>
  <si>
    <t>Touma, J; García, KK; Bravo, S; Leiva, F; Moya, J; Vargas-Chacoff, L; Reyes, A; Vidal, R</t>
  </si>
  <si>
    <t>Touma, Jorge; Ko Garcia, Killen; Bravo, Scarleth; Francisco Leiva; Moya, Javier; Vargas-Chacoff, Luis; Reyes, Alberto; Vidal, Rodrigo</t>
  </si>
  <si>
    <t>De novo Assembly and Characterization of Patagonian Toothfish Transcriptome and Develop of EST-SSR Markers for Population Genetics</t>
  </si>
  <si>
    <t>Patagonian toothfish; NGS; transcriptome; EST-SSR; genetic diversity</t>
  </si>
  <si>
    <t>DISSOSTICHUS-ELEGINOIDES; GENOMIC DISTRIBUTION; MICROSATELLITE; FISH; PROGRAM; SOFTWARE; RELATEDNESS; ATLANTIC; DATABASE; PROTEIN</t>
  </si>
  <si>
    <t>Patagonian toothfish (Dissostichus eleginoides) is a hefty notothenioid fish and a key species within the marine ecosystem with a high migratory capacity across sub-Antarctic and south American Pacific oceans. Transcriptome characterization and molecular markers associated with micro and macro-evolutionary studies are not available, which in turn limits the gain of knowledge about the genetic basis of this species. Therefore, in the present study, a de novo transcriptome from eight tissue and an embryonic state of Patagonian toothfish was developed, using the Illumina Hiseq 4000 platform. A total of 233,424 superTranscripts were assembled and 37,446 annotated against public databases. Moreover, we identified 71,107 expressed sequence tag-simple sequence repeats (EST-SSRs), with an average number of 0.3 SSRs per superTranscripts and one SSR per 1.12 kB. The most abundant SSR type was repeated dinucleotide (53.67%), followed by trinucleotide (13.73%) repeats. From the total of EST-SSRs identified, 34,196 primer pairs were properly designed and a subset of 25 immune loci were selected for its evaluation as potential EST-SSR population markers. Of this subset, 11 proved to have good technical features and were evaluated in 64 animals from four Patagonian toothfish populations. A number of 63 alleles were identified, with a mean of 4.9 alleles per locus and a polymorphism information content ranging from 0.224 to 0.591, with a mean of 0.50. Significant (F-ST, range 0.082-0.117 and G'(ST), range 0.069-0.291) genetic differentiation (P &lt; 0.05) was determined among the populations analyzed. Therefore, the results presented here represent a relevant genetic resource for biological studies on evolution, conservation, genetic diversity, population structure, and genetic management of breeding stocks of this important species.</t>
  </si>
  <si>
    <t>[Touma, Jorge; Ko Garcia, Killen; Bravo, Scarleth; Francisco Leiva; Vidal, Rodrigo] Univ Santiago de Chile, Dept Biol, Lab Mol Ecol Genom &amp; Evolutionary Studies, Santiago, Chile; [Touma, Jorge] Univ Diego Portales, Ctr Invest Biomed, Fac Med, Santiago, Chile; [Moya, Javier] Fish Vet Grp, Puerto Montt, Chile; [Vargas-Chacoff, Luis] Univ Austral Chile, Fondap IDEAL, Inst Ciencias Marinas &amp; Limnol, Valdivia, Chile; [Reyes, Alberto] Seabass Chile, Puerto Montt, Chile</t>
  </si>
  <si>
    <t>University Diego Portales; Universidad Austral de Chile</t>
  </si>
  <si>
    <t>Vidal, R (corresponding author), Univ Santiago de Chile, Dept Biol, Lab Mol Ecol Genom &amp; Evolutionary Studies, Santiago, Chile.</t>
  </si>
  <si>
    <t>ruben.vidal@usach.cl</t>
  </si>
  <si>
    <t>Vargas-Chacoff, Luis LVCh/A-5855-2012</t>
  </si>
  <si>
    <t>Strategic Technological Program of Aquaculture Diversification of Chile, CORFO-PTEC [15PTEC-47685]; Universidad de Santiago [USA 1899]</t>
  </si>
  <si>
    <t>Strategic Technological Program of Aquaculture Diversification of Chile, CORFO-PTEC; Universidad de Santiago</t>
  </si>
  <si>
    <t>This work was supported by the Strategic Technological Program of Aquaculture Diversification of Chile, CORFO-PTEC (15PTEC-47685). KG would like to thank the Universidad de Santiago for their support through the project USA 1899.</t>
  </si>
  <si>
    <t>10.3389/fmars.2019.00720</t>
  </si>
  <si>
    <t>JR7KA</t>
  </si>
  <si>
    <t>WOS:000499798400001</t>
  </si>
  <si>
    <t>Jones, AP; Jones, TD; Coxall, H; Pearson, PN; Nala, D; Hoggett, M</t>
  </si>
  <si>
    <t>Jones, Amy P.; Jones, Tom Dunkley; Coxall, Helen; Pearson, Paul N.; Nala, Dominika; Hoggett, Murray</t>
  </si>
  <si>
    <t>Low-Latitude Calcareous Nannofossil Response in the Indo-Pacific Warm Pool Across the Eocene-Oligocene Transition of Java, Indonesia</t>
  </si>
  <si>
    <t>MIDDLE EOCENE; ANTARCTIC GLACIATION; CARBON-CYCLE; OCEAN CIRCULATION; CLIMATE; NANNOPLANKTON; DYNAMICS; GROWTH; EVENT; COCCOLITHOPHORES</t>
  </si>
  <si>
    <t>We reconstruct the calcareous nannofossil response to the Eocene-Oligocene Transition (EOT)-the most significant climate transition of the Cenozoic-in the Indo-Pacific Warm Pool. Data from south central Java consist of species relative abundance counts of well-preserved nannofossil assemblages. From the late middle Eocene to early Oligocene species biodiversity declined, with the most rapid species loss occurring across the latest Eocene rosette-shaped discoaster extinction event (DEE; similar to 34.44-34.77 Ma). A decline in abundance of oligotrophic indicator taxa across the DEE indicates increased nutrient supply to the tropical surface ocean in the early stages of the EOT. The mean lith size of reticulofenestrids also increases across the DEE driven by a marked reduction in the abundance of small Reticulofenestra morphotypes (&lt;3.5 mu m). There is no preferential loss of larger Reticulofenestra cell sizes (coccoliths &gt; 8 mu m) across the EOT, indicating that coccolith size was apparently not limited by atmospheric CO2 concentrations at this time. Overall, the main phase of tropical phytoplankton ecosystem change preceded the interval of rapid Antarctic ice sheet growth and is closely associated with the biotic perturbations that define the start of the EOT. This suggests that enhancement of Southern Ocean controls on tropical ocean biogeochemistry and nutrient pathways may have played a role in triggering the transition to an icehouse climate state.</t>
  </si>
  <si>
    <t>[Jones, Amy P.; Jones, Tom Dunkley; Nala, Dominika; Hoggett, Murray] Univ Birmingham, Sch Geog Earth &amp; Environm Sci, Birmingham, W Midlands, England; [Coxall, Helen] Stockholm Univ, Dept Geol Sci, Stockholm, Sweden; [Pearson, Paul N.] Cardiff Univ, Sch Earth &amp; Ocean Sci, Cardiff, S Glam, Wales</t>
  </si>
  <si>
    <t>University of Birmingham; Stockholm University; Cardiff University</t>
  </si>
  <si>
    <t>Jones, AP (corresponding author), Univ Birmingham, Sch Geog Earth &amp; Environm Sci, Birmingham, W Midlands, England.</t>
  </si>
  <si>
    <t>apj527@bham.ac.uk</t>
  </si>
  <si>
    <t>Pearson, Paul N/B-2276-2009; Dunkley Jones, Tom/A-8441-2008</t>
  </si>
  <si>
    <t>Coxall, Helen/0000-0002-2843-2898; Jones, Amy/0000-0003-0048-8184; Dunkley Jones, Tom/0000-0002-9518-8143; Hoggett, Murray/0000-0002-4694-2621</t>
  </si>
  <si>
    <t>CENTA Doctoral Training Programme as part of the Natural Environmental Research Council; NERC [NE/C514523]; NERC [NE/C514523/1] Funding Source: UKRI</t>
  </si>
  <si>
    <t>CENTA Doctoral Training Programme as part of the Natural Environmental Research Council; NERC(UK Research &amp; Innovation (UKRI)Natural Environment Research Council (NERC)); NERC(UK Research &amp; Innovation (UKRI)Natural Environment Research Council (NERC))</t>
  </si>
  <si>
    <t>This research was funded by the CENTA Doctoral Training Programme as part of the Natural Environmental Research Council. We thank Richard Butler for his ongoing supervisory support and insightful discussion. The Java drilling was funded by NERC Small Grant NE/C514523 to P. N. P.; we thank the Java Drilling Team for field support and persistence through the tropical downpours. We also extend thanks to the reviewers: Isabella Raffi, Giuliana Villa, and Ellen Thomas for their constructive comments and remarks. No data restrictions apply for this study, and data are available online (at figshare: https://figshare.com/s/cbb90fe63d2a72e5f397).</t>
  </si>
  <si>
    <t>10.1029/2019PA003597</t>
  </si>
  <si>
    <t>KX8DZ</t>
  </si>
  <si>
    <t>WOS:000499318400001</t>
  </si>
  <si>
    <t>Masiokas, MH; Cara, L; Villalba, R; Pitte, P; Luckman, BH; Toum, E; Christie, DA; Le Quesne, C; Mauget, S</t>
  </si>
  <si>
    <t>Masiokas, M. H.; Cara, L.; Villalba, R.; Pitte, P.; Luckman, B. H.; Toum, E.; Christie, D. A.; Le Quesne, C.; Mauget, S.</t>
  </si>
  <si>
    <t>Streamflow variations across the Andes (18°-55°S) during the instrumental era</t>
  </si>
  <si>
    <t>RING BASED RECONSTRUCTION; UNITED-STATES; ROTATION; VARIABILITY</t>
  </si>
  <si>
    <t>The rivers originating in the southern Andes (18 degrees-55 degrees S) support numerous ecosystems and a large number of human populations and socio-economic activities in the adjacent lowlands of Chile, Argentina and Bolivia. Here we show that ca. 75% of the total variance in the streamflow records from this extensive region can be explained by only eight spatially coherent patterns of variability. Five (three) of these Andean patterns exhibit extreme dry (wet) conditions in recent years, with strong interannual variations in northern Chile; long-term drying trends between 31 degrees and 41 degrees S; a transitional pattern in the central Patagonian Andes; and increasing trends in northwestern Argentina and southern Bolivia, the Fueguian Andes, and the eastern portion of the South Patagonian Icefield. Multivariate regression analyses show that large-scale indices of ENSO variability can predict 20% to 45% of annual runoff variability between 28 degrees and 46 degrees S. The influence of Antarctic and North Pacific indices becomes more relevant south of 43 degrees S and in northwestern Argentina and southern Bolivia, respectively, but their overall skill as predictors of Andean streamflows is weak. The analyses provide relevant new information to improve understanding of the spatial coherence, the main temporal features, and the ocean-atmospheric forcings of surface runoff across the southern Andes.</t>
  </si>
  <si>
    <t>[Masiokas, M. H.; Cara, L.; Villalba, R.; Pitte, P.; Toum, E.] CCT CONICET Mendoza, Inst Argentino Nivol Glaciol &amp; Ciencias Ambiental, CC 330, RA-5500 Mendoza, Argentina; [Luckman, B. H.] Univ Western Ontario, Dept Geog, London, ON, Canada; [Christie, D. A.; Le Quesne, C.] Univ Austral Chile, Lab Dendrocronol &amp; Cambio Global, Inst Conservac Biodiversidad &amp; Terr, Fac Ciencias Forestales &amp; Recursos Nat, Valdivia, Chile; [Christie, D. A.] CR 2, Santiago, Chile; [Mauget, S.] ARS, Wind Eros &amp; Water Conservat Unit, USDA, Lubbock, TX USA</t>
  </si>
  <si>
    <t>Consejo Nacional de Investigaciones Cientificas y Tecnicas (CONICET); Western University (University of Western Ontario); Universidad Austral de Chile; United States Department of Agriculture (USDA)</t>
  </si>
  <si>
    <t>Masiokas, MH (corresponding author), CCT CONICET Mendoza, Inst Argentino Nivol Glaciol &amp; Ciencias Ambiental, CC 330, RA-5500 Mendoza, Argentina.</t>
  </si>
  <si>
    <t>mmasiokas@mendoza-conicet.gob.ar</t>
  </si>
  <si>
    <t>Christie, Duncan A./Q-7114-2016; Pitte, Pierre/GLT-9746-2022</t>
  </si>
  <si>
    <t>Christie, Duncan A./0000-0003-2540-0986; Pitte, Pierre/0000-0001-5625-8287; Villalba, Ricardo/0000-0001-8183-0310; Masiokas, Mariano/0009-0007-1437-415X</t>
  </si>
  <si>
    <t>Consejo Nacional de Investigaciones Cientificas y Tecnicas (CONICET, Argentina); [FONDECYT 1161381]; [1181956]; [CONICYT/FONDAP 15110009]</t>
  </si>
  <si>
    <t>Consejo Nacional de Investigaciones Cientificas y Tecnicas (CONICET, Argentina)(Consejo Nacional de Investigaciones Cientificas y Tecnicas (CONICET)); ; ;</t>
  </si>
  <si>
    <t>This work was funded by Consejo Nacional de Investigaciones Cientificas y Tecnicas (CONICET, Argentina), and Grants FONDECYT 1161381, 1181956, and CONICYT/FONDAP 15110009 (Chile). We greatly acknowledge Direccion General de Aguas, Chile (http://www.dga.cl), Secretaria de Infraestructura y Politica Hidrica, Argentina (https://www.argentina.gob.ar/interior/secretaria-de-infraestructura-y-politica-hidrica/base-dedatos-hidrologica-integrada), and Comision Trinacional para el Desarrollo de la Cuenca del Rio Pilcomayo (Bolivia, Paraguay and Argentina; https://www.pilcomayo.net/) for providing most of the raw streamflow data used in this study. The Chilean data were downladed from the Explorador Climatico website (http://explorador.cr2.cl/) developed by Centro de Ciencias del Clima y la Resiliencia (CR)2. We are also grateful to Zulma Menna and Omar Castillo (Universidad Nacional de San Juan, Argentina) for providing the runoff records from Rio Blanco at Piedra Pintada.</t>
  </si>
  <si>
    <t>10.1038/s41598-019-53981-x</t>
  </si>
  <si>
    <t>JR7UU</t>
  </si>
  <si>
    <t>WOS:000499826500001</t>
  </si>
  <si>
    <t>Bargelloni, L; Babbucci, M; Ferraresso, S; Papetti, C; Vitulo, N; Carraro, R; Pauletto, M; Santovito, G; Lucassen, M; Mark, FC; Zane, L; Patarnello, T</t>
  </si>
  <si>
    <t>Bargelloni, Luca; Babbucci, Massimiliano; Ferraresso, Serena; Papetti, Chiara; Vitulo, Nicola; Carraro, Roberta; Pauletto, Marianna; Santovito, Gianfranco; Lucassen, Magnus; Mark, Felix Christopher; Zane, Lorenzo; Patarnello, Tomaso</t>
  </si>
  <si>
    <t>Draft genome assembly and transcriptome data of the icefish Chionodraco myersi reveal the key role of mitochondria for a life without hemoglobin at subzero temperatures</t>
  </si>
  <si>
    <t>COMMUNICATIONS BIOLOGY</t>
  </si>
  <si>
    <t>NUCLEAR RESPIRATORY FACTOR-2; SKELETAL-MUSCLE; EXPRESSION; EVOLUTION; FISH; COLD; BIOGENESIS; CRISTAE; DIVERSIFICATION; ULTRASTRUCTURE</t>
  </si>
  <si>
    <t>Antarctic fish belonging to Notothenioidei represent an extraordinary example of radiation in the cold. In addition to the absence of hemoglobin, icefish show a number of other striking peculiarities including large-diameter blood vessels, high vascular densities, mitochondriarich muscle cells, and unusual mitochondrial architecture. In order to investigate the bases of icefish adaptation to the extreme Southern Ocean conditions we sequenced the complete genome of the icefish Chionodraco myersi. Comparative analyses of the icefish genome with those of other teleost species, including two additional white-blooded and five red-blooded notothenioids, provided a new perspective on the evolutionary loss of globin genes. Muscle transcriptome comparative analyses against red-blooded notothenioids as well as temperate fish revealed the peculiar regulation of genes involved in mitochondrial function in icefish. Gene duplication and promoter sequence divergence were identified as genome-wide patterns that likely contributed to the broad transcriptional program underlying the unique features of icefish mitochondria.</t>
  </si>
  <si>
    <t>[Bargelloni, Luca; Babbucci, Massimiliano; Ferraresso, Serena; Carraro, Roberta; Pauletto, Marianna; Patarnello, Tomaso] Univ Padua, Dept Comparat Biomed &amp; Food Sci, Viale Univ 16, I-35020 Legnaro, Italy; [Bargelloni, Luca; Zane, Lorenzo] Univ Padua, Dept Land Environm Agr &amp; Forestry, Viale Univ 16, I-35020 Legnaro, Italy; [Bargelloni, Luca; Papetti, Chiara; Santovito, Gianfranco; Zane, Lorenzo; Patarnello, Tomaso] Consorzio Nazl Interuniv Sci Mare CoNISMa, Piazzale Flaminio 9, I-00196 Rome, Italy; [Papetti, Chiara] Univ Padua, Dept Biol, Via G Colombo 3, I-35131 Padua, Italy; [Vitulo, Nicola] Univ Verona, Dept Biotechnol, Str Grazie 15, I-37134 Verona, Italy; [Lucassen, Magnus; Mark, Felix Christopher] Helmholtz Ctr Polar &amp; Marine Res, Alfred Wegener Inst, Sect Integrat Ecophysiol, Handelshafen 12, D-27570 Bremerhaven, Germany</t>
  </si>
  <si>
    <t>University of Padua; University of Padua; CoNISMa; University of Padua; University of Verona; Helmholtz Association; Alfred Wegener Institute, Helmholtz Centre for Polar &amp; Marine Research</t>
  </si>
  <si>
    <t>Bargelloni, L (corresponding author), Univ Padua, Dept Comparat Biomed &amp; Food Sci, Viale Univ 16, I-35020 Legnaro, Italy.;Bargelloni, L (corresponding author), Univ Padua, Dept Land Environm Agr &amp; Forestry, Viale Univ 16, I-35020 Legnaro, Italy.;Bargelloni, L (corresponding author), Consorzio Nazl Interuniv Sci Mare CoNISMa, Piazzale Flaminio 9, I-00196 Rome, Italy.</t>
  </si>
  <si>
    <t>luca.bargelloni@unipd.it</t>
  </si>
  <si>
    <t>Santovito, Gianfranco/ABB-9484-2021; Pauletto, Marianna/K-5518-2019; Lucassen, Magnus/E-8433-2011; Vitulo, Nicola/GVT-2319-2022; Mark, Felix Christopher/P-4759-2016; Vitulo, Nicola/JAC-9629-2023; Zane, Lorenzo/G-6249-2010; Lucassen, Magnus/ABA-8396-2021</t>
  </si>
  <si>
    <t>Santovito, Gianfranco/0000-0001-8260-7006; Pauletto, Marianna/0000-0002-2424-7484; Mark, Felix Christopher/0000-0002-5586-6704; Zane, Lorenzo/0000-0002-6963-2132; Lucassen, Magnus/0000-0003-4276-4781; Ferraresso, Serena/0000-0001-5928-9361; BARGELLONI, Luca/0000-0003-4351-2826; Vitulo, Nicola/0000-0002-9571-0747; Papetti, Chiara/0000-0002-4567-459X</t>
  </si>
  <si>
    <t>University of Padua [BIRD164793/16]; European Marie Curie project Polarexpress [622320]; [PNRA 2013/A21.10]; [PNRA 16_00226]; [PNRA 16_00099]; [PNRA 2016_00307]</t>
  </si>
  <si>
    <t>University of Padua; European Marie Curie project Polarexpress(European Union (EU)Marie Curie Actions); ; ; ;</t>
  </si>
  <si>
    <t>This paper is dedicated to the memory of our colleague Dr. Guido di Prisco, a pioneer in Antarctic science, who recently passed away. This research was supported by Italian PNRA 2013/A21.10, PNRA 16_00226, PNRA 16_00099, and PNRA 2016_00307. We would like to thank Nils Koschnick (AWI) and Emilio Riginella (Stazione Zoologica Anton Dohrn, Napoli) for collecting the samples during Polarstern ANT-PS82 and ANT-PS86 cruises. We are indebted to the Polarstern crew for their indispensable help during fishery activities. C.P. acknowledges financial support from the University of Padua (BIRD164793/16) and from the European Marie Curie project Polarexpress Grant No. 622320.</t>
  </si>
  <si>
    <t>2399-3642</t>
  </si>
  <si>
    <t>COMMUN BIOL</t>
  </si>
  <si>
    <t>Commun. Biol.</t>
  </si>
  <si>
    <t>10.1038/s42003-019-0685-y</t>
  </si>
  <si>
    <t>Biology; Multidisciplinary Sciences</t>
  </si>
  <si>
    <t>Life Sciences &amp; Biomedicine - Other Topics; Science &amp; Technology - Other Topics</t>
  </si>
  <si>
    <t>JS4WG</t>
  </si>
  <si>
    <t>WOS:000500306600001</t>
  </si>
  <si>
    <t>Sauer, WH; Gleadall, IG; Downey-Breedt, N; Doubleday, Z; Gillespie, G; Haimovici, M; Ibanez, CM; Katugin, ON; Leporati, S; Lipinski, M; Markaida, U; Ramos, JE; Rosa, R; Villanueva, R; Arguelles, J; Briceño, FA; Carrasco, SA; Che, LJ; Chen, CS; Cisneros, R; Conners, E; Crespi-Abril, AC; Kulik, VV; Drobyazin, EN; Emery, T; Fernández-Alvarez, FA; Furuya, H; González, LW; Gough, C; Krishnan, P; Kumar, B; Leite, T; Lu, CC; Mohamed, KS; Nabhitabhata, J; Noro, K; Petchkamnerd, J; Putra, D; Rocliffe, S; Sajikumar, KK; Sakaguchi, H; Samuel, D; Sasikumar, G; Wada, T; Zhen, XD; Tian, YJ; Pang, YM; Yamrungrueng, A</t>
  </si>
  <si>
    <t>Sauer, Warwick H.; Gleadall, Ian G.; Downey-Breedt, Nicola; Doubleday, Zoe; Gillespie, Graham; Haimovici, Manuel; Ibanez, Christian M.; Katugin, Oleg N.; Leporati, Stephen; Lipinski, Marek; Markaida, Unai; Ramos, Jorge E.; Rosa, Rui; Villanueva, Roger; Arguelles, Juan; Briceno, Felipe A.; Carrasco, Sergio A.; Che, Leo J.; Chen, Chih-Shin; Cisneros, Rosario; Conners, Elizabeth; Crespi-Abril, Augusto C.; Kulik, Vladimir V.; Drobyazin, Evgenyi N.; Emery, Timothy; Fernandez-Alvarez, Fernando A.; Furuya, Hidetaka; Gonzalez, Leo W.; Gough, Charlie; Krishnan, P.; Kumar, Biju; Leite, Tatiana; Lu, Chung-Cheng; Mohamed, Kolliyil S.; Nabhitabhata, Jaruwat; Noro, Kyosei; Petchkamnerd, Jinda; Putra, Delta; Rocliffe, Steve; Sajikumar, K. K.; Sakaguchi, Hideo; Samuel, Deepak; Sasikumar, Geetha; Wada, Toshifumi; Zhen, Xiaodong; Tian, Yongjun; Pang, Yumeng; Yamrungrueng, Anyanee</t>
  </si>
  <si>
    <t>World Octopus Fisheries</t>
  </si>
  <si>
    <t>REVIEWS IN FISHERIES SCIENCE &amp; AQUACULTURE</t>
  </si>
  <si>
    <t>Octopus; fisheries; review; global</t>
  </si>
  <si>
    <t>HUBBSORUM CEPHALOPODA OCTOPODIDAE; EARLY-LIFE-STAGES; ENTEROCTOPUS-MEGALOCYATHUS CEPHALOPODA; ROBSONELLA-FONTANIANA CEPHALOPODA; GIANT PACIFIC OCTOPUSES; ELEDONE-CIRRHOSA CEPHALOPODA; STYLET ELEMENTAL SIGNATURES; MICROSATELLITE DNA MARKERS; AMPHIOCTOPUS-AEGINA GRAY; ABUSIVE WATER ADDITION</t>
  </si>
  <si>
    <t>Recent studies have shown that coastal and shelf cephalopod populations have increased globally over the last six decades. Although cephalopod landings are dominated by the squid fishery, which represents nearly 80% of the worldwide cephalopod catches, octopuses and cuttlefishes represent similar to 10% each. Total reported global production of octopuses over the past three decades indicates a relatively steady increase in catch, almost doubling from 179,042 t in 1980 to 355,239 t in 2014. Octopus fisheries are likely to continue to grow in importance and magnitude as many finfish stocks are either fully or over-exploited. More than twenty described octopus species are harvested from some 90 countries worldwide. The current review describes the major octopus fisheries around the globe, providing an overview of species targeted, ecological and biological features of exploited stocks, catches and the key aspects of management.</t>
  </si>
  <si>
    <t>[Sauer, Warwick H.; Downey-Breedt, Nicola; Lipinski, Marek] Rhodes Univ, Dept Ichthyol &amp; Fisheries Sci, Grahamstown, South Africa; [Gleadall, Ian G.; Che, Leo J.; Putra, Delta] Tohoku Univ, Grad Sch Agr Sci, Sendai, Miyagi, Japan; [Doubleday, Zoe] Univ South Australia, Future Ind Inst, Adelaide, SA, Australia; [Gillespie, Graham] Fisheries &amp; Oceans Canada, Sci Branch, Pacific Biol Stn, Marine Ecosyst &amp; Aquaculture Div, Nanaimo, BC, Canada; [Haimovici, Manuel; Leite, Tatiana] Fed Univ Rio Grande, Oceanog Inst, Rio Grande, Brazil; [Ibanez, Christian M.] Univ Andres Bello, Fac Ciencias Vida, Dept Ecol &amp; Biodiversidad, Santiago, Chile; [Katugin, Oleg N.; Kulik, Vladimir V.; Drobyazin, Evgenyi N.] Russian Fed Res Inst Fisheries &amp; Oceanog TINRO, Pacific Branch, Vladivostok, Russia; [Leporati, Stephen] Bioinspecta, Ackerstr, Frick, Switzerland; [Lipinski, Marek] SA Inst Aquat Biodivers, Grahamstown, South Africa; [Markaida, Unai] CONACyT, Colegio Frontera Sur, Lab Pesquerias Artesanales, Lerma, Campeche, Mexico; [Ramos, Jorge E.; Briceno, Felipe A.; Emery, Timothy] Univ Tasmania, Inst Marine &amp; Antarctic Studies, Hobart, Tas, Australia; [Ramos, Jorge E.] Falkland Isl Fisheries Dept, Directorate Nat Resources, Stanley, Falkland Island; [Rosa, Rui] Univ Lisbon, Fac Ciencias, Lab Maritimo Guia, Marine &amp; Environm Sci Ctr, Cascais, Portugal; [Villanueva, Roger; Fernandez-Alvarez, Fernando A.] CSIC, Inst Ciencies Mar, Barcelona, Spain; [Arguelles, Juan; Cisneros, Rosario] Inst Mar Peru, Direcc Gen Invest Recursos Demersales &amp; Litorales, Callao, Peru; [Briceno, Felipe A.] Norwegian Inst Water Res NIVA, Puerto Varas, Chile; [Carrasco, Sergio A.] Univ Catolica Norte, Fac Ciencias Mar, Dept Biol Marina, Coquimbo, Chile; [Carrasco, Sergio A.] Millennium Nucleus Ecol &amp; Sustainable Management, Coquimbo, Chile; [Chen, Chih-Shin] Natl Taiwan Ocean Univ, Keelung, Taiwan; [Conners, Elizabeth] NOAA, Resource Ecol &amp; Fisheries Management Div, Alaska Fisheries Sci Ctr, Natl Marine Fisheries Serv, Seattle, WA USA; [Crespi-Abril, Augusto C.] CESIMAR CCT CENPAT CONICET Puerto Madryn, Ctr Estudio Sistemas Marinos, Lab Oceanog Biol, Chubut, Argentina; [Fernandez-Alvarez, Fernando A.] Natl Univ Ireland, Ryan Inst, Galway, Ireland; [Fernandez-Alvarez, Fernando A.] Natl Univ Ireland, Sch Nat Sci, Galway, Ireland; [Furuya, Hidetaka] Osaka Univ, Grad Sch Sci, Osaka, Japan; [Gonzalez, Leo W.] Univ Oriente, Inst Invest Cient, Boca Del Rio, Isla De Margari, Venezuela; [Gough, Charlie; Rocliffe, Steve] Blue Ventures, London, England; [Krishnan, P.; Samuel, Deepak] Govt India, Anna Univ, Minist Environm Forest &amp; Climate Change, Natl Ctr Sustainable Coastal Management, Koodal Bldg, Chennai, Tamil Nadu, India; [Kumar, Biju] Univ Kerala, Deptartment Aquat Biol &amp; Fisheries, Thiruvananthapuram, Kerala, India; [Lu, Chung-Cheng] Natl Chung Hsing Univ, Taichung, Taiwan; [Mohamed, Kolliyil S.; Sajikumar, K. K.; Sasikumar, Geetha] Cent Marine Fisheries Res Inst, Kochi, Kerala, India; [Nabhitabhata, Jaruwat] Prince Songkla Univ, Fac Sci, Excellence Ctr Biodivers Peninsular Thailand CBIP, Hat Yai, Songkhla, Thailand; [Noro, Kyosei] Aomori Prefectural Ind Technol Res Ctr, Fisheries Res Inst, Aomori, Japan; [Petchkamnerd, Jinda] Chumporn Marine Fisheries Res &amp; Dev Ctr, Dept Fisheries 408 Paknam, Chumporn, Thailand; [Sakaguchi, Hideo] Ehime Res Inst Agr Forestry &amp; Fisheries, Fisheries Res Ctr, Shikoku, Ehime, Japan; [Wada, Toshifumi] Univ Hyogo, Inst Nat &amp; Environm Sci, Sanda, Japan; [Zhen, Xiaodong; Tian, Yongjun; Pang, Yumeng] Ocean Univ China, Fisheries Coll, Qingdao, Shandong, Peoples R China; [Yamrungrueng, Anyanee] Upper Gulf Marine Fisheries Res &amp; Dev Ctr, Dept Fisheries, Samut Prakan, Thailand</t>
  </si>
  <si>
    <t>Rhodes University; Tohoku University; University of South Australia; Fisheries &amp; Oceans Canada; Universidade Federal do Rio Grande; Universidad Andres Bello; Research lnstitute of Fisheries &amp; Oceanography; El Colegio de la Frontera Sur (ECOSUR); University of Tasmania; Universidade de Lisboa; Consejo Superior de Investigaciones Cientificas (CSIC); CSIC - Centro Mediterraneo de Investigaciones Marinas y Ambientales (CMIMA); CSIC - Instituto de Ciencias del Mar (ICM); Instituto del Mar del Peru; Universidad Catolica del Norte; National Taiwan Ocean University; National Oceanic Atmospheric Admin (NOAA) - USA; Ollscoil na Gaillimhe-University of Galway; Ollscoil na Gaillimhe-University of Galway; Osaka University; Anna University; Anna University Chennai; Ministry of Earth Sciences (MoES) - India; National Institute of Ocean Technology (NIOT); University of Kerala; National Chung Hsing University; Indian Council of Agricultural Research (ICAR); ICAR - Central Marine Fisheries Research Institute; Prince of Songkla University; Japan Fisheries Research &amp; Education Agency (FRA); University of Hyogo; Ocean University of China</t>
  </si>
  <si>
    <t>Sauer, WH (corresponding author), Rhodes Univ, Dept Ichthyol &amp; Fisheries Sci, Grahamstown, South Africa.</t>
  </si>
  <si>
    <t>w.sauer@ru.ac.za</t>
  </si>
  <si>
    <t>Dasari, Bhoomaiah/I-6562-2017; Doubleday, Zoe/AAU-6278-2020; Villanueva, Roger/D-6911-2011; Sauer, Warwick/GJI-2267-2022; Ibáñez, Christian/AGK-8830-2022; Doubleday, Zoe/N-9955-2013; Markaida, Unai/B-1288-2013; Mohamed, Kolliyil/AAU-5142-2021; Robledo, Jorge Alejandro Kurczyn/I-8473-2017; Lu, Jason/ABB-8796-2020; Rosa, Rui/A-4580-2009; Leite, Tatiana/AIC-9756-2022; Chen, Chih-Shin/ABE-3760-2020; Kulik, Vladimir/N-8667-2013; Chen, Chih-Shin/ABE-2293-2020; Putra, Delta/GRE-8069-2022; Samuel, Deepak/B-6482-2017; Fernández-Álvarez, Fernando Ángel/B-6196-2014; Pecl, Gretta/D-7267-2011</t>
  </si>
  <si>
    <t>Villanueva, Roger/0000-0001-8122-3449; Sauer, Warwick/0000-0002-9756-1757; Ibáñez, Christian/0000-0002-7390-2617; Doubleday, Zoe/0000-0003-0045-6377; Markaida, Unai/0000-0001-6655-4979; Mohamed, Kolliyil/0000-0002-7720-4090; Rosa, Rui/0000-0003-2801-5178; Chen, Chih-Shin/0000-0003-2002-0933; Kulik, Vladimir/0000-0003-0920-5312; Chen, Chih-Shin/0000-0003-2002-0933; Fernández-Álvarez, Fernando Ángel/0000-0002-8679-7377; Cisneros, Rosario/0000-0003-4290-3817; Gough, Charlotte/0000-0002-5313-4868; Arguelles, Juan/0000-0002-4227-0952; Emery, Timothy/0000-0002-4203-671X; Leite, Tatiana/0000-0001-9117-9648; Ramos, Jorge E/0000-0002-8690-761X; Kumar, Biju/0000-0001-5477-2119; Pecl, Gretta/0000-0003-0192-4339; Haimovici, Manuel/0000-0003-1741-8182; Crespi-Abril, Augusto Cesar/0000-0002-6278-2787; Carrasco, Sergio A./0000-0002-8179-4222; Putra, Delta/0000-0002-3018-2242</t>
  </si>
  <si>
    <t>Japan Science and Technology Agency [J130000263, AS2715164U]; Spanish Ministry of Education and Culture [PRX17/00090]; Spanish Ministry of Science, Innovation and Universities (OCTOSET project) [RTI2018-097908-B-I00]; Direccio General de Pesca i Afers Mar~itims, Generalitat de Catalunya; MINECO [BES-2013-063551]; Irish Research Council - Government of Ireland Postdoctoral Fellowship [GOIPD/2019/460]</t>
  </si>
  <si>
    <t>Japan Science and Technology Agency(Japan Science &amp; Technology Agency (JST)); Spanish Ministry of Education and Culture(Spanish Government); Spanish Ministry of Science, Innovation and Universities (OCTOSET project); Direccio General de Pesca i Afers Mar~itims, Generalitat de Catalunya(Generalitat de Catalunya); MINECO(Spanish Government); Irish Research Council - Government of Ireland Postdoctoral Fellowship(Irish Research Council for Science, Engineering and Technology)</t>
  </si>
  <si>
    <t>IGG has been supported by the Japan Science and Technology Agency (Grants J130000263 and AS2715164U). RV has been supported by the Spanish Ministry of Education and Culture (Grant PRX17/00090), Spanish Ministry of Science, Innovation and Universities (OCTOSET project, RTI2018-097908-B-I00, MCIU/AEI/FEDER, EU) and by the Direccio General de Pesca i Afers Mar~itims, Generalitat de Catalunya. FAFA was supported by a predoctoral fellowship of the MINECO (BES-2013-063551) and an Irish Research Council - Government of Ireland Postdoctoral Fellowship (Ref. GOIPD/2019/460).</t>
  </si>
  <si>
    <t>2330-8249</t>
  </si>
  <si>
    <t>2330-8257</t>
  </si>
  <si>
    <t>REV FISH SCI AQUAC</t>
  </si>
  <si>
    <t>Rev. Fish. Sci. Aquac..</t>
  </si>
  <si>
    <t>JUL 6</t>
  </si>
  <si>
    <t>10.1080/23308249.2019.1680603</t>
  </si>
  <si>
    <t>TE0WV</t>
  </si>
  <si>
    <t>WOS:000500891700001</t>
  </si>
  <si>
    <t>Jurányi, Z; Weller, R</t>
  </si>
  <si>
    <t>Juranyi, Zsofia; Weller, Rolf</t>
  </si>
  <si>
    <t>One year of aerosol refractive index measurement from a coastal Antarctic site</t>
  </si>
  <si>
    <t>ATMOSPHERIC AEROSOL; OPTICAL-CONSTANTS; LONG-TERM; NEUMAYER; CLIMATE; RETRIEVAL; ALGORITHM; MOBILITY; SULFATE; STATION</t>
  </si>
  <si>
    <t>Though the environmental conditions of the Weddell Sea region and Dronning Maud Land are still relatively stable compared to the fast-changing Antarctic Peninsula, we may suspect pronounced effects of global climate change for the near future (Thompson et al., 2011). Reducing the uncertainties in climate change modeling requires a better understanding of the aerosol optical properties, and for this we need accurate data on the aerosol refractive index (RI). Due to the remoteness of Antarctica only very few RI data are available from this region (Hogan et al., 1979; Virkkula et al., 2006; Shepherd et al., 2018). We calculate the real refractive index of natural atmospheric aerosols from number size distribution measurements at the German coastal Antarctic station Neumayer III. Given the high average scattering albedo of 0.992 (Weller et al., 2013), we assumed that the imaginary part of the RI is zero. Our method uses the overlapping size range (particle diameter D between 120 and 340 nm) of a scanning mobility particle sizer (SMPS), which sizes the particles by their electrical mobility, and a laser aerosol spectrometer (LAS), which sizes the particles by their optical scattering signal at the 633 nm wavelength. Based on almost a complete year of measurement, the average effective refractive index (RIeff, as we call our retrieved RI because of the used assumptions) for the dry aerosol particles turned out to be 1.44 with a standard deviation of 0.08, in a good agreement with the RI value of 1.47, which we derived from the chemical composition of bulk aerosol sampling measurements. At Neumayer the aerosol shows a pronounced seasonal pattern in both number concentration and chemical composition. Despite this, the variability of the monthly averaged RIeff values remained between 1.40 and 1.50. Compared to the annual mean, two austral winter months (July and September) showed slightly but significantly increased values (1.50 and 1.47, respectively). The size dependency of the RIeff could be determined from time-averaged LAS and SMPS number size distributions measured between December 2017 and January 2018. Here we calculated RIeff for four different particle size ranges and observed a slight decrease from 1.47 (D range 116-168 nm) to 1.37 (D range 346-478 nm). We find no significant dependence of the derived RIeff values on the wind direction. Thus we conclude that RIeff is largely independent of the general weather situation, roughly classified as (i) advection of marine boundary layer air masses during easterly winds caused by passing cyclones in contrast to (ii) air mass transport from continental Antarctica under southern katabatic winds. Neumayer, the only relevant contamination source, is located 1.5 km north of the air chemistry observatory, where the measurements were performed. Given that northerly winds are almost absent, the potential impact of local contamination is minimized in general. Indeed our data show no impact of local contamination on RIeff. Just in one case a temporary high-contamination episode with diesel engines operating right next to the measurement site resulted in an unusual high RIeff of 1.59, probably caused by the high black carbon content of the exhaust fumes. To conclude, our study revealed largely constant RIeff values throughout the year without any sign of seasonality. Therefore, it seems reasonable to use a single, constant RIeff value of 1.44 for modeling optical properties of natural, coastal Antarctic sub-micrometer aerosol.</t>
  </si>
  <si>
    <t>[Juranyi, Zsofia; Weller, Rolf] Helmholtz Zentrum Polar &amp; Meeresforsch, Alfred Wegener Inst, Bremerhaven, Germany; [Juranyi, Zsofia] German Aerosp Ctr DLR, Inst Protect Maritime Infrastruct, Bremerhaven, Germany</t>
  </si>
  <si>
    <t>Helmholtz Association; Alfred Wegener Institute, Helmholtz Centre for Polar &amp; Marine Research; Helmholtz Association; German Aerospace Centre (DLR)</t>
  </si>
  <si>
    <t>Jurányi, Z (corresponding author), Helmholtz Zentrum Polar &amp; Meeresforsch, Alfred Wegener Inst, Bremerhaven, Germany.;Jurányi, Z (corresponding author), German Aerosp Ctr DLR, Inst Protect Maritime Infrastruct, Bremerhaven, Germany.</t>
  </si>
  <si>
    <t>zsofia.juranyi@gmail.com</t>
  </si>
  <si>
    <t>Rolf, Weller/0000-0003-4880-5572; Juranyi, Zsofia/0000-0002-5798-4798</t>
  </si>
  <si>
    <t>10.5194/acp-19-14417-2019</t>
  </si>
  <si>
    <t>JS0FA</t>
  </si>
  <si>
    <t>WOS:000499988700004</t>
  </si>
  <si>
    <t>Rolim, WR; Lamilla, C; Pieretti, JC; Nascimento, MHM; Ferreira, FF; Tortella, GR; Diez, MC; Barrientos, L; Rubilar, O; Seabra, AB</t>
  </si>
  <si>
    <t>Rolim, Wallace R.; Lamilla, Claudio; Pieretti, Joana C.; Nascimento, Monica H. M.; Ferreira, Fabio F.; Tortella, Gonzalo R.; Diez, Maria C.; Barrientos, Leticia; Rubilar, Olga; Seabra, Amedea B.</t>
  </si>
  <si>
    <t>Antibacterial Activity and Cytotoxicity of Silver Chloride/Silver Nanocomposite Synthesized by a Bacterium Isolated from Antarctic Soil</t>
  </si>
  <si>
    <t>BIONANOSCIENCE</t>
  </si>
  <si>
    <t>Arthrobacter sp; Biogenic synthesis; Cytotoxicity; Silver chloride nanoparticles; Silver nanoparticles; Antibacterial activity</t>
  </si>
  <si>
    <t>EXTRACT-MEDIATED SYNTHESIS; RAY-POWDER DIFFRACTOMETER; AG-AT-AGCL; EXTRACELLULAR SYNTHESIS; ANTIMICROBIAL ACTIVITY; GREEN SYNTHESIS; CULTURE SUPERNATANT; BIOGENIC SYNTHESIS; OXIDATIVE STRESS; LOW-TEMPERATURE</t>
  </si>
  <si>
    <t>This study aims to describe the antibacterial and cytotoxic properties of a nanocomposite composed of silver chloride and silver nanoparticles (AgCl/Ag) biogenically synthesized using Arthrobacter sp., a non-pathogenic Antarctic soil bacterium. Spherical nanoparticles (hydrodynamic size of 42 nm) coated with biomolecules derived from Arthrobacter sp. were obtained. The antibacterial activity of the nanocomposite was demonstrated against Gram-positive and Gram-negative bacterial strains, including the multidrug-resistant Pseudomonas aeruginosa KPC 37. Furthermore, the cytotoxicity of AgCl/Ag nanocomposite was evaluated against the non-tumoral (Vero) and tumoral (SW-1353) cell lines. The nanocomposite was not cytotoxic to the Vero cells at concentrations below 150 mu g/mL, whereas at concentrations above 25 mu g/mL, a significant cytotoxic effect was observed for the SW-1353 cells. Interestingly, at 150 mu g/mL, the nanocomposite demonstrated a potent antibacterial activity for all bacterial strains evaluated. To the best of our knowledge, this is the first report describing the green synthesis of AgCl/Ag nanocomposite by the bacterium Arthrobacter sp. isolated from Antarctic soil. The obtained nanocomposite may find important biomedical applications, with potent antibacterial and antitumoral effects and low toxicity to healthy cells.</t>
  </si>
  <si>
    <t>[Rolim, Wallace R.; Pieretti, Joana C.; Nascimento, Monica H. M.; Ferreira, Fabio F.; Seabra, Amedea B.] Fed Univ ABC UFABC, Ctr Nat &amp; Human Sci CCNH, Av Estados 5001, BR-09210580 Santo Andre, SP, Brazil; [Rolim, Wallace R.; Pieretti, Joana C.; Nascimento, Monica H. M.; Ferreira, Fabio F.; Seabra, Amedea B.] Fed Univ ABC UFABC, Nanomed Res Unit NANOMED, Santo Andre, SP, Brazil; [Lamilla, Claudio] Fed Univ ABC UFABC, Ctr Engn Modeling &amp; Appl Social Sci, Santo Andre, SP, Brazil; [Lamilla, Claudio; Tortella, Gonzalo R.; Diez, Maria C.; Rubilar, Olga] Univ La Frontera, Dept Chem Engn, Temuco, Chile; [Tortella, Gonzalo R.; Diez, Maria C.; Barrientos, Leticia; Rubilar, Olga] Univ La Frontera, Biotechnol Res Ctr Appl Environm CIBAMA BIOREN, Temuco, Chile; [Barrientos, Leticia] Univ La Frontera, Lab Appl Mol Biol, Ave Alemania 0458, Temuco, Chile</t>
  </si>
  <si>
    <t>Universidade Federal do ABC (UFABC); Universidade Federal do ABC (UFABC); Universidad de La Frontera; Universidad de La Frontera; Universidad de La Frontera</t>
  </si>
  <si>
    <t>Seabra, AB (corresponding author), Fed Univ ABC UFABC, Ctr Nat &amp; Human Sci CCNH, Av Estados 5001, BR-09210580 Santo Andre, SP, Brazil.;Seabra, AB (corresponding author), Fed Univ ABC UFABC, Nanomed Res Unit NANOMED, Santo Andre, SP, Brazil.</t>
  </si>
  <si>
    <t>amedea.seabra@ufabc.edu.br</t>
  </si>
  <si>
    <t>Lamilla, Claudio/HSF-0976-2023; Ferreira, F.F./C-8952-2009; Claudio Pieretti, Joana/ABA-4172-2021; Diez, Cristina/C-9130-2015; Seabra, Amedea Barozzi/G-4247-2012; Rubilar, Olga/U-1834-2017; TORTELLA, GONZALO RODRIGO/Q-7213-2019; Barrientos, Leticia/R-6205-2017; Pieretti, Joana C/D-7426-2018</t>
  </si>
  <si>
    <t>Ferreira, F.F./0000-0003-1516-1221; Claudio Pieretti, Joana/0000-0003-2917-7064; TORTELLA, GONZALO RODRIGO/0000-0001-7069-7454; Barrientos, Leticia/0000-0002-5344-054X; Seabra, Amedea/0000-0003-0591-0380; Lamilla, Claudio Andres/0000-0003-0490-6945</t>
  </si>
  <si>
    <t>FAPESPCONICYT [2018/08194-2, 2018/02832-7, CONICYT/FONDAP/15130015]; CONICYT-REDES [180003]; CNPq [404815/2018-9, 307664/2015-5]; FONDECYT [1191089]; Coordenacao de Aperfeicoamento de Pessoal de Nivel Superior-Brasil (CAPES) [001]</t>
  </si>
  <si>
    <t>FAPESPCONICYT; CONICYT-REDES; CNPq(Conselho Nacional de Desenvolvimento Cientifico e Tecnologico (CNPQ)); FONDECYT(Comision Nacional de Investigacion Cientifica y Tecnologica (CONICYT)CONICYT FONDECYT); Coordenacao de Aperfeicoamento de Pessoal de Nivel Superior-Brasil (CAPES)(Coordenacao de Aperfeicoamento de Pessoal de Nivel Superior (CAPES))</t>
  </si>
  <si>
    <t>We have received support from FAPESPCONICYT (2018/08194-2, 2018/02832-7), CONICYT/FONDAP/15130015, CONICYT-REDES 180003, CNPq (404815/2018-9 and 307664/2015-5), and FONDECYT 1191089. This study was financed in part by the Coordenacao de Aperfeicoamento de Pessoal de Nivel Superior-Brasil (CAPES)-Finance Code 001.</t>
  </si>
  <si>
    <t>2191-1630</t>
  </si>
  <si>
    <t>2191-1649</t>
  </si>
  <si>
    <t>BioNanoScience</t>
  </si>
  <si>
    <t>10.1007/s12668-019-00693-1</t>
  </si>
  <si>
    <t>Materials Science, Biomaterials</t>
  </si>
  <si>
    <t>Materials Science</t>
  </si>
  <si>
    <t>LG2DL</t>
  </si>
  <si>
    <t>WOS:000499659500005</t>
  </si>
  <si>
    <t>Guo, XR; Zhao, LY; Gladstone, RM; Sun, SN; Moore, JC</t>
  </si>
  <si>
    <t>Guo, Xiaoran; Zhao, Liyun; Gladstone, Rupert M.; Sun, Sainan; Moore, John C.</t>
  </si>
  <si>
    <t>Simulated retreat of Jakobshavn Isbrae during the 21st century</t>
  </si>
  <si>
    <t>EARTH SYSTEM MODEL; ANTARCTIC ICE-SHEET; BASIC EVALUATION; SPEED-UP; GREENLAND; VARIABILITY; GLACIERS; ACCELERATION; STABILITY; DYNAMICS</t>
  </si>
  <si>
    <t>The early 21st century retreat of Jakobshavn Isbrae into its overdeepened bedrock trough was accompanied by acceleration to unprecedented ice stream speeds. Such dramatic changes suggested the possibility of substantial mass loss over the rest of this century. Here we use a three-dimensional ice sheet model with parameterizations to represent the effects of ice melange buttressing, crevasse-depth-based calving and submarine melting to adequately reproduce its recent evolution. We are the first study on Jakobshavn Isbrae that solves for three-dimensional ice flow coupled with representations of hydro-fracturing-induced calving and melange buttressing. Additionally, the model can accurately replicate interannual variations in grounding line and terminus position, including seasonal fluctuations that emerged after arriving at the overdeepened basin and the disappearance of its floating ice shelf. Our simulated ice viscosity variability due to shear margin evolution is particularly important in reproducing the large observed interannual changes in terminus velocity. We use this model to project Jakobshavn's evolution over this century, forced by ocean temperatures from seven Earth system models and surface runoff derived from RACMO, all under the IPCC RCP4.5 climate scenario. In our simulations, Jakobshavn's grounding line continues to retreat similar to 18.5 km by the end of this century, leading to a total mass loss of similar to 2068 Gt (5.7 mm sea level rise equivalent). Despite the relative success of the model in simulating the recent behavior of the glacier, the model does not simulate winter calving events that have become relatively more important.</t>
  </si>
  <si>
    <t>[Guo, Xiaoran; Zhao, Liyun; Moore, John C.] Beijing Normal Univ, Coll Global Change &amp; Earth Syst Sci, Beijing 100875, Peoples R China; [Gladstone, Rupert M.; Moore, John C.] Univ Lapland, Arctic Ctr, POB 122, Rovaniemi 96101, Finland; [Sun, Sainan] Univ Libre Bruxelles, Lab Glaciol, Brussels, Belgium; [Moore, John C.] CAS Ctr Excellence Tibetan Plateau Earth Sci, Beijing 100101, Peoples R China; [Zhao, Liyun] Southern Marine Sci &amp; Engn Guangdong Lab, Zhuhai 519000, Peoples R China</t>
  </si>
  <si>
    <t>Beijing Normal University; University of Lapland; Universite Libre de Bruxelles; Southern Marine Science &amp; Engineering Guangdong Laboratory</t>
  </si>
  <si>
    <t>Moore, JC (corresponding author), Beijing Normal Univ, Coll Global Change &amp; Earth Syst Sci, Beijing 100875, Peoples R China.;Moore, JC (corresponding author), Univ Lapland, Arctic Ctr, POB 122, Rovaniemi 96101, Finland.;Moore, JC (corresponding author), CAS Ctr Excellence Tibetan Plateau Earth Sci, Beijing 100101, Peoples R China.</t>
  </si>
  <si>
    <t>john.moore.bnu@gmail.com</t>
  </si>
  <si>
    <t>Moore, John C/B-2868-2013; Gladstone, Rupert/C-1086-2013</t>
  </si>
  <si>
    <t>Moore, John C/0000-0001-8271-5787; Gladstone, Rupert/0000-0002-1582-3857; Sun, Sainan/0000-0002-1614-2658</t>
  </si>
  <si>
    <t>National Key Research and Development Program of China [2018YFC1406104]; National Key Science Program for Global Change Research [2015CB953601]; National Natural Science Foundation of China [41506212]</t>
  </si>
  <si>
    <t>National Key Research and Development Program of China; National Key Science Program for Global Change Research; National Natural Science Foundation of China(National Natural Science Foundation of China (NSFC))</t>
  </si>
  <si>
    <t>This research has been supported by the National Key Research and Development Program of China (grant no. 2018YFC1406104), the National Key Science Program for Global Change Research (grant no. 2015CB953601), and the National Natural Science Foundation of China (grant no. 41506212).</t>
  </si>
  <si>
    <t>10.5194/tc-13-3139-2019</t>
  </si>
  <si>
    <t>JS0GS</t>
  </si>
  <si>
    <t>WOS:000499993100001</t>
  </si>
  <si>
    <t>Demidov, N; Wetterich, S; Verkulich, S; Ekaykin, A; Meyer, H; Anisimov, M; Schirrmeister, L; Demidov, V; Hodson, AJ</t>
  </si>
  <si>
    <t>Demidov, Nikita; Wetterich, Sebastian; Verkulich, Sergey; Ekaykin, Aleksey; Meyer, Hanno; Anisimov, Mikhail; Schirrmeister, Lutz; Demidov, Vasily; Hodson, Andrew J.</t>
  </si>
  <si>
    <t>Geochemical signatures of pingo ice and its origin in Grondalen, west Spitsbergen</t>
  </si>
  <si>
    <t>ISOTOPIC COMPOSITION; WATER; GROWTH</t>
  </si>
  <si>
    <t>Pingos are common features in permafrost regions that form by subsurface massive-ice aggradation and create hill-like landforms. Pingos on Spitsbergen have been previously studied to explore their structure, formation timing and connection to springs as well as their role in postglacial landform evolution. However, detailed hydrochemical and stable-isotope studies of massive-ice samples recovered by drilling have yet to be used to study the origin and freezing conditions in pingos. Our core record of 20.7m thick massive pingo ice from Grondalen is differentiated into four units: two characterised by decreasing delta O-18 and delta D and increasing d (units I and III) and two others showing the opposite trend (units II and IV). These delineate changes between episodes of closed-system freezing with only slight recharge inversions of the water reservoir and more complicated episodes of groundwater freezing under semi-closed conditions when the reservoir was recharged. The water source for pingo formation shows similarity to spring water data from the valley with prevalent Na+ and HCO3- ions. The sub-permafrost groundwater originates from subglacial meltwater that most probably followed the fault structures of Grondalen and Bohmdalen. The presence of permafrost below the pingo ice body suggests that the talik is frozen, and the water supply and pingo growth are terminated. The maximum thaw depth of the active layer reaching the top of the massive ice leads to its successive melt with crater development and makes the pingo extremely sensitive to further warming.</t>
  </si>
  <si>
    <t>[Demidov, Nikita; Verkulich, Sergey; Ekaykin, Aleksey; Anisimov, Mikhail; Demidov, Vasily] Arctic &amp; Antarctic Res Inst, Bering St 38, St Petersburg 199397, Russia; [Wetterich, Sebastian; Meyer, Hanno; Schirrmeister, Lutz] Helmholtz Ctr Polar &amp; Marine Res, Alfred Wegener Inst, Telegrafenberg A45, D-14473 Potsdam, Germany; [Ekaykin, Aleksey; Anisimov, Mikhail] St Petersburg State Univ, 10th Line 33-35, St Petersburg 199178, Russia; [Hodson, Andrew J.] Univ Ctr Svalbard, N-9171 Longyearbyen, Norway; [Hodson, Andrew J.] Western Norway Univ Appl Sci, Royrgata 6, N-6856 Sogndal, Norway</t>
  </si>
  <si>
    <t>Arctic &amp; Antarctic Research Institute; Helmholtz Association; Alfred Wegener Institute, Helmholtz Centre for Polar &amp; Marine Research; Saint Petersburg State University; University Centre Svalbard (UNIS); Western Norway University of Applied Sciences</t>
  </si>
  <si>
    <t>Demidov, N (corresponding author), Arctic &amp; Antarctic Res Inst, Bering St 38, St Petersburg 199397, Russia.</t>
  </si>
  <si>
    <t>nikdemidov@mail.ru</t>
  </si>
  <si>
    <t>Schirrmeister, Lutz/AGW-0545-2022; Meyer, Hanno/AAQ-4260-2021; Schirrmeister, Lutz/O-5584-2015; Wetterich, Sebastian/AAD-6569-2019</t>
  </si>
  <si>
    <t>Schirrmeister, Lutz/0000-0001-9455-0596; Meyer, Hanno/0000-0003-4129-4706; Schirrmeister, Lutz/0000-0001-9455-0596; Wetterich, Sebastian/0000-0001-9234-1192; Hodson, Andrew/0000-0002-1255-7987</t>
  </si>
  <si>
    <t>Russian Science Foundation [19-77-10066]; Deutsche Forschungsgemeinschaft [WE4390/7-1]; JPI-Climate Topic 2: Russian Arctic and Boreal Systems [71126]; Russian Science Foundation [19-77-10066] Funding Source: Russian Science Foundation</t>
  </si>
  <si>
    <t>Russian Science Foundation(Russian Science Foundation (RSF)); Deutsche Forschungsgemeinschaft(German Research Foundation (DFG)); JPI-Climate Topic 2: Russian Arctic and Boreal Systems; Russian Science Foundation(Russian Science Foundation (RSF))</t>
  </si>
  <si>
    <t>This research has been supported by the Russian Science Foundation (grant no. 19-77-10066), Deutsche Forschungsgemeinschaft (grant no. WE4390/7-1) and JPI-Climate Topic 2: Russian Arctic and Boreal Systems (grant no. 71126).</t>
  </si>
  <si>
    <t>10.5194/tc-13-3155-2019</t>
  </si>
  <si>
    <t>WOS:000499993100002</t>
  </si>
  <si>
    <t>Yildirim, C</t>
  </si>
  <si>
    <t>Yildirim, Cengiz</t>
  </si>
  <si>
    <t>Geomorphology of Horseshoe Island, Marguerite Bay, Antarctica</t>
  </si>
  <si>
    <t>JOURNAL OF MAPS</t>
  </si>
  <si>
    <t>Antarctic Peninsula; Marquerite Bay; Horseshoe Island; glacial landforms; periglacial landforms; glacio-isostatic landforms</t>
  </si>
  <si>
    <t>SOUTH SHETLAND ISLANDS; KING GEORGE ISLAND; GEOLOGICAL CONSTRAINTS; ICE-CAP; PENINSULA; DEGLACIATION; HISTORY; UPLIFT; AREA</t>
  </si>
  <si>
    <t>Here, a geomorphological map of Horseshoe Island, which is one of the most ice-free islands in Marguerite Bay of the Antarctic Peninsula, is provided. The landforms on the island were mapped by using Google Earth images. Field reconnaissance of the landforms was carried out in March 2018. The island is subdivided into three major geomorphologically different sectors. The northern sector is mostly covered by a remnant of a non-erosive ice cap and has limited glacial landforms and deposits. The central sector is rich in terms of glacial and periglacial landforms and deposits. Glaciers are still sculpting the southern sector and it has extensive features of glacial erosion and deposition. The most common landforms on the island are talus cones, moraines, patterned ground, and raised beaches. The geomorphological map of the island will be a useful base for further geomorphic and/or glaciologic research in this climate-sensitive region.</t>
  </si>
  <si>
    <t>[Yildirim, Cengiz] Istanbul Tech Univ, Eurasia Inst Earth Sci, TR-34469 Sariyer, Turkey</t>
  </si>
  <si>
    <t>Istanbul Technical University</t>
  </si>
  <si>
    <t>Yildirim, C (corresponding author), Istanbul Tech Univ, Eurasia Inst Earth Sci, TR-34469 Sariyer, Turkey.</t>
  </si>
  <si>
    <t>cyildirim@itu.edu.tr</t>
  </si>
  <si>
    <t>YILDIRIM, Cengiz/K-8405-2018</t>
  </si>
  <si>
    <t>YILDIRIM, Cengiz/0000-0001-5253-028X</t>
  </si>
  <si>
    <t>Istanbul Technical University Research Fund (BAP) [10]; National Institutes of Health Research (NIHR) [10] Funding Source: National Institutes of Health Research (NIHR)</t>
  </si>
  <si>
    <t>Istanbul Technical University Research Fund (BAP)(Istanbul Technical University); National Institutes of Health Research (NIHR)(National Institutes of Health Research (NIHR))</t>
  </si>
  <si>
    <t>\This study was funded by Istanbul Technical University Research Fund (BAP) Project No: 10.</t>
  </si>
  <si>
    <t>1744-5647</t>
  </si>
  <si>
    <t>J MAPS</t>
  </si>
  <si>
    <t>J. Maps</t>
  </si>
  <si>
    <t>10.1080/17445647.2019.1692700</t>
  </si>
  <si>
    <t>Geography; Geography, Physical</t>
  </si>
  <si>
    <t>Geography; Physical Geography</t>
  </si>
  <si>
    <t>KC6HQ</t>
  </si>
  <si>
    <t>WOS:000499837000001</t>
  </si>
  <si>
    <t>Wood, AT; Andrewartha, SJ; Elliott, NG; Frappell, PB; Clark, TD</t>
  </si>
  <si>
    <t>Wood, Andrew T.; Andrewartha, Sarah J.; Elliott, Nicholas G.; Frappell, Peter B.; Clark, Timothy D.</t>
  </si>
  <si>
    <t>Hypoxia during incubation does not affect aerobic performance or haematology of Atlantic salmon (Salmo salar) when re-exposed in later life</t>
  </si>
  <si>
    <t>hypoxia; Atlantic salmon; aerobic capacity</t>
  </si>
  <si>
    <t>ONCORHYNCHUS-MYKISS EMBRYOS; RAINBOW-TROUT; DISSOLVED-OXYGEN; SWIMMING PERFORMANCE; BOUNDARY-LAYER; METABOLIC-RATE; TERM HYPOXIA; ACCLIMATION; TOLERANCE; RESPONSES</t>
  </si>
  <si>
    <t>Hypoxia in aquatic ecosystems is becoming increasingly prevalent, potentially reducing fish performance and survival by limiting the oxygen available for aerobic activities. Hypoxia is a challenge for conserving and managing fish populations and demands a better understanding of the short- and long-term impacts of hypoxic environments on fish performance. Fish acclimate to hypoxia via a variety of short- and long-term physiological modifications in an attempt to maintain aerobic performance. In particular, hypoxia exposure during early development may result in enduring cardio-respiratory modifications that affect future hypoxia acclimation capacity, yet this possibility remains poorly investigated. We incubated Atlantic salmon (Salmo salar) in normoxia (similar to 100% dissolved oxygen [DO, as percent air saturation]), moderate hypoxia (similar to 63% DO) or cyclical hypoxia (100-25% DO daily) from fertilization until 113 days post-fertilization prior to rearing all groups in normoxia for a further 8 months. At similar to 11 months of age, subsets of each group were acclimated to hypoxia (50% DO) for up to 44 days prior to haematology, aerobic metabolic rate and hypoxia tolerance measurements. Hypoxia exposure during incubation (fertilization to 113 days post-fertilization) did not affect the haematology, aerobic performance or hypoxia tolerance of juvenile salmon in later life. Juveniles acclimated to hypoxia increased maximum aerobic metabolic rate and aerobic scope by similar to 23 and similar to 52%, respectively, when measured at 50% DO but not at 100% DO. Hypoxia-incubated juveniles also increased haematocrit and haemoglobin concentration but did not affect acute hypoxia tolerance (critical oxygen level and DO at LOE). Thus, while Atlantic salmon possess a considerable capacity to physiologically acclimate to hypoxia by improving aerobic performance in low oxygen conditions, we found no evidence that this capacity is influenced by early-life hypoxia exposure.</t>
  </si>
  <si>
    <t>[Wood, Andrew T.] Commonwealth Sci &amp; Ind Res Org, Agr &amp; Food, 3-4 Castray Esplanade, Battery Point, Tas 7004, Australia; [Andrewartha, Sarah J.] Univ Tasmania, Tasmanian Inst Agr, Private Bag 98, Hobart, Tas 7001, Australia; [Elliott, Nicholas G.; Frappell, Peter B.] Univ Tasmania, Inst Marine &amp; Antarctic Studies, 20 Castray Esplanade, Battery Point, Tas 7004, Australia; [Clark, Timothy D.] Deakin Univ, Sch Life &amp; Environm Sci, Geelong, Vic 3216, Australia</t>
  </si>
  <si>
    <t>Commonwealth Scientific &amp; Industrial Research Organisation (CSIRO); University of Tasmania; University of Tasmania; Deakin University</t>
  </si>
  <si>
    <t>Wood, AT (corresponding author), Commonwealth Sci &amp; Ind Res Org, Agr &amp; Food, 3-4 Castray Esplanade, Battery Point, Tas 7004, Australia.</t>
  </si>
  <si>
    <t>Andrew.wood@csiro.au</t>
  </si>
  <si>
    <t>Wood, Andrew/A-3837-2014; Clark, Timothy/K-7129-2012</t>
  </si>
  <si>
    <t>Wood, Andrew/0000-0002-3351-8397; Clark, Timothy/0000-0001-8738-3347</t>
  </si>
  <si>
    <t>Salmon Enterprises of Tasmania (SALTAS); Australian Government Research Training Program Scholarship; Australian Research Council - Australian Government [FT180100154]; Australian Research Council [FT180100154] Funding Source: Australian Research Council</t>
  </si>
  <si>
    <t>Salmon Enterprises of Tasmania (SALTAS); Australian Government Research Training Program Scholarship(Australian GovernmentDepartment of Industry, Innovation and Science); Australian Research Council - Australian Government(Australian Research Council); Australian Research Council(Australian Research Council)</t>
  </si>
  <si>
    <t>This research was financially supported in part by Salmon Enterprises of Tasmania (SALTAS). An Australian Government Research Training Program Scholarship was awarded to A.T.W. T.D.C. is the recipient of an Australian Research Council Future Fellowship (project number FT180100154) funded by the Australian Government.</t>
  </si>
  <si>
    <t>NOV 27</t>
  </si>
  <si>
    <t>coz088</t>
  </si>
  <si>
    <t>10.1093/conphys/coz088</t>
  </si>
  <si>
    <t>KY8GP</t>
  </si>
  <si>
    <t>WOS:000522812900001</t>
  </si>
  <si>
    <t>Fernández-Marín, B; López-Pozo, M; Perera-Castro, AV; Arzac, MI; Sáenz-Ceniceros, A; Colesie, C; de los Ríos, A; Sancho, LG; Pintado, A; Laza, JM; Pérez-Ortega, S; Garcia-Plazaola, JI</t>
  </si>
  <si>
    <t>Fernandez-Marin, Beatriz; Lopez-Pozo, Marina; Perera-Castro, Alicia, V; Irati Arzac, Miren; Saenz-Ceniceros, Ana; Colesie, Claudia; de los Rios, Asuncion; Sancho, Leo G.; Pintado, Ana; Laza, Jose M.; Perez-Ortega, Sergio; Garcia-Plazaola, Jose, I</t>
  </si>
  <si>
    <t>Symbiosis at its limits: ecophysiological consequences of lichenization in the genus Prasiola in Antarctica</t>
  </si>
  <si>
    <t>ANNALS OF BOTANY</t>
  </si>
  <si>
    <t>Abiotic stress; alga; desiccation tolerance; freezing tolerance; glassy state; lichen; Mastodia tessellata; photobiont; photoprotection; photosynthesis; polar; Turgidosculum</t>
  </si>
  <si>
    <t>MASTODIA-TESSELLATA ASCOMYCOTA; TURGIDOSCULUM-COMPLICATULUM; DESICCATION-TOLERANCE; ENERGY-DISSIPATION; GREEN-ALGA; PHOTOSYNTHETIC PROCESSES; PIGMENT COMPOSITION; REACTION CENTERS; LICHEN; LIGHT</t>
  </si>
  <si>
    <t>Background and Aims Lichens represent a symbiotic relationship between at least one fungal and one photosynthetic partner. The association between the lichen-forming fungus Mastodia tessellata (Verrucariaceae) and different species of Prasiola (Trebouxiophyceae) has an amphipolar distribution and represents a unique case study for the understanding of lichen symbiosis because of the macroalgal nature of the photobiont, the flexibility of the symbiotic interaction and the co-existence of free-living and lichenized forms in the same microenvironment. In this context, we aimed to (1) characterize the photosynthetic performance of co-occurring populations of free-living and lichenized Prasiola and (2) assess the effect of the symbiosis on water relations in Prasiola, including its tolerance of desiccation and its survival and performance under sub-zero temperatures. Methods Photochemical responses to irradiance, desiccation and freezing temperature and pressure-volume curves of co-existing free-living and lichenized Prasiola thalli were measured in situ in Livingston Island (Maritime Antarctica). Analyses of photosynthetic pigment, glass transition and ice nucleation temperatures, surface hydrophobicity extent and molecular analyses were conducted in the laboratory. Key Results Free-living and lichenized forms of Prasiola were identified as two different species: P. crispa and Prasiola sp., respectively. While lichenization appears to have no effect on the photochemical performance of the alga or its tolerance of desiccation (in the short term), the symbiotic lifestyle involves (1) changes in water relations, (2) a considerable decrease in the net carbon balance and (3) enhanced freezing tolerance. Conclusions Our results support improved tolerance of sub-zero temperature as the main benefit of lichenization for the photobiont, but highlight that lichenization represents a delicate equilibrium between a mutualistic and a less reciprocal relationship. In a warmer climate scenario, the spread of the free-living Prasiola to the detriment of the lichen form would be likely, with unknown consequences for Maritime Antarctic ecosystems.</t>
  </si>
  <si>
    <t>[Fernandez-Marin, Beatriz; Lopez-Pozo, Marina; Irati Arzac, Miren; Saenz-Ceniceros, Ana; Garcia-Plazaola, Jose, I] Univ Basque Country, Dept Plant Biol &amp; Ecol, UPV EHU, Barrio Sarriena Sn, Leioa 48940, Spain; [Perera-Castro, Alicia, V] UIB, Res Grp Plant Biol Mediterranean Condit, Inst Invest Agroambientales &amp; Econ Agua INAGEA, Carretera Valldemossa Km 7-5, San Cristobal la Laguna 38200, Spain; [Colesie, Claudia] Univ Edinburgh, Sch GeoSci, Global Change Inst, Alexander Crum Brown Rd, Edinburgh EH9 3FF, Midlothian, Scotland; [de los Rios, Asuncion] CSIC, MNCN, Serrano 115 Dpdo, Madrid 28006, Spain; [Sancho, Leo G.; Pintado, Ana] Univ Complutense, Fac Farm, Bot Sect, E-28040 Madrid, Spain; [Laza, Jose M.] Univ Basque Country, UPV EHU, Dept Phys Chem, Lab Macromol Chem Labquimac, Barrio Sarriena Sn, Leioa 48940, Spain; [Perez-Ortega, Sergio] CSIC, RJB, Plaza Murillo 2, Madrid 28014, Spain; [Fernandez-Marin, Beatriz] ULL, Dept Bot Ecol &amp; Physiol, San Cristobal la Laguna 38200, Canarias, Spain</t>
  </si>
  <si>
    <t>University of Basque Country; University of Edinburgh; Consejo Superior de Investigaciones Cientificas (CSIC); Complutense University of Madrid; University of Basque Country; Consejo Superior de Investigaciones Cientificas (CSIC); CSIC - Real Jardin Botanico de Madrid; Universidad de la Laguna</t>
  </si>
  <si>
    <t>Fernández-Marín, B (corresponding author), Univ Basque Country, Dept Plant Biol &amp; Ecol, UPV EHU, Barrio Sarriena Sn, Leioa 48940, Spain.;Fernández-Marín, B (corresponding author), ULL, Dept Bot Ecol &amp; Physiol, San Cristobal la Laguna 38200, Canarias, Spain.</t>
  </si>
  <si>
    <t>beatriz.fernandezm@ehu.es</t>
  </si>
  <si>
    <t>Fernandez-Marin, Beariz/D-6701-2016; LAZA, JOSE MANUEL/AAA-6291-2021; Perera Castro, Alicia V./C-4856-2019; de los Rios, Asuncion/L-3694-2014; López-Pozo, Marina/AFJ-4452-2022; Colesie, Claudia/H-4258-2015; Perez-Ortega, Sergio/G-1257-2016; Garcia-Plazaola, Jose Ignacio/B-8188-2009</t>
  </si>
  <si>
    <t>Fernandez-Marin, Beariz/0000-0001-9951-0489; LAZA, JOSE MANUEL/0000-0003-0412-621X; Perera Castro, Alicia V./0000-0001-8451-6052; de los Rios, Asuncion/0000-0002-0266-3516; López-Pozo, Marina/0000-0002-0425-4062; Colesie, Claudia/0000-0003-1136-0290; Arzac, Miren Irati/0000-0003-0184-470X; Perez-Ortega, Sergio/0000-0002-5411-3698; Garcia-Plazaola, Jose Ignacio/0000-0001-6498-975X</t>
  </si>
  <si>
    <t>Spanish Ministry of Economy and Competitiveness (MINECO); ERDF (FEDER) [CTM2014-53902-C2-2-P, CTM2014-53902-C2-1-P, CTM2015-64728-C2-2-R, CTM2015-64728-C2-1-R]; 'Juan de la Cierva-Incorporation' postdoctoral fellowship [IJCI-2014-22489]; Spanish Ministry of Education, Culture and Sport (MECD) [FPU-02054]; Spanish Ministry of Science, Innovation and Universities [RYC-2014-16784]; Basque Government [UPV/EHU IT-1018-16, UPV/EHU IT-718-13]; Alexander von Humboldt Foundation</t>
  </si>
  <si>
    <t>Spanish Ministry of Economy and Competitiveness (MINECO); ERDF (FEDER)(European Union (EU)); 'Juan de la Cierva-Incorporation' postdoctoral fellowship; Spanish Ministry of Education, Culture and Sport (MECD); Spanish Ministry of Science, Innovation and Universities; Basque Government(Basque Government); Alexander von Humboldt Foundation(Alexander von Humboldt Foundation)</t>
  </si>
  <si>
    <t>Spanish Ministry of Economy and Competitiveness (MINECO) and the ERDF (FEDER) funded the projects (CTM2014-53902-C2-2-P, CTM2014-53902-C2-1-P, CTM2015-64728-C2-2-R and CTM2015-64728-C2-1-R) and also funded the 'Juan de la Cierva-Incorporation' postdoctoral fellowship (IJCI-2014-22489) to B.F.-M. The Spanish Ministry of Education, Culture and Sport (MECD) supported a predoctoral fellowship (FPU-02054) awarded to A.V.P.-C. The Spanish Ministry of Science, Innovation and Universities supported S.P.-O. through a 'Ramon y Cajal' contract (RYC-2014-16784). The Basque Government funded the projects (UPV/EHU IT-1018-16 and UPV/EHU IT-718-13), and a predoctoral fellowship to M.L.-P. Alexander von Humboldt Foundation is gratefully acknowledged for financial support to C.C. via the Feodor Lynen Research Fellowship.</t>
  </si>
  <si>
    <t>0305-7364</t>
  </si>
  <si>
    <t>1095-8290</t>
  </si>
  <si>
    <t>ANN BOT-LONDON</t>
  </si>
  <si>
    <t>Ann. Bot.</t>
  </si>
  <si>
    <t>10.1093/aob/mcz149</t>
  </si>
  <si>
    <t>Plant Sciences</t>
  </si>
  <si>
    <t>KN1KW</t>
  </si>
  <si>
    <t>Green Published, Bronze, Green Accepted</t>
  </si>
  <si>
    <t>WOS:000514599400008</t>
  </si>
  <si>
    <t>Bassoi, M; Acevedo, J; Secchi, ER; Aguayo-Lobo, A; Dalla Rosa, L; Torres, D; Santos, MCO; Azevedo, AF</t>
  </si>
  <si>
    <t>Bassoi, Manuela; Acevedo, Jorge; Secchi, Eduardo R.; Aguayo-Lobo, Anelio; Dalla Rosa, Luciano; Torres, Daniel; Santos, Marcos C. O.; Azevedo, Alexandre F.</t>
  </si>
  <si>
    <t>Cetacean distribution in relation to environmental parameters between Drake Passage and northern Antarctic Peninsula</t>
  </si>
  <si>
    <t>Drake passage; Cetacean; Distribution; Antarctica peninsula; Oceanographic parameters; Southern ocean</t>
  </si>
  <si>
    <t>SOUTH ORKNEY ISLANDS; SCOTIA SEA; FIN WHALES; BALAENOPTERA-ACUTOROSTRATA; SEASONAL VARIABILITY; HUMPBACK WHALES; ELEPHANT-ISLAND; MARINE MAMMALS; CLIMATE-CHANGE; LONG-TERM</t>
  </si>
  <si>
    <t>The Drake Passage (DP) is a dynamic oceanographic region influenced by the main frontal systems of the Southern Ocean, with little information about cetacean distribution and their relationship with environmental parameters. This study explored the use of generalized additive models (GAMs) to model the relationships of some cetacean species according to sea surface temperature (SST) and a suite of physiographic variables adjacent to the Antarctic Peninsula and DP during the austral summer. The results suggest that SST and distances from oceanographic boundaries, mainly the Southern Antarctic Circumpolar Current Front (SACCF) and Polar Front (PF), were the most significant parameters related to the presence/absence of cetaceans. SST showed an effect on humpback whale (Megaptera novaeangliae) presence around lower temperatures and sei whale (Balaenoptera borealis) and hourglass dolphin (Lagenorhynchus cruciger) at warmer waters. Four species of baleen whales prefer areas near SACCF and Elephant Island and two odontocetes in waters near the PF. Clustering analysis reflected three major groupings based on distances from oceanic fronts and coast: cetaceans that occurred in the northern sector of the DP but with the PF as the southernmost range; a second group with species occurring along the DP and not preferring Antarctic waters further south of the SACCF; and the third group, mainly baleen whales, mostly occupying Antarctic waters southern of the SACCF. We encourage further dedicated cetacean surveys in this particular dynamic region, based on in situ oceanographic data and krill acoustic sampling, and either taking into consideration cetacean species density or abundance.</t>
  </si>
  <si>
    <t>[Bassoi, Manuela] Univ Fed Rio de Janeiro, Dept Zool, CAML, Ave Pau Brasil 211, BR-21941590 Rio De Janeiro, RJ, Brazil; [Bassoi, Manuela; Secchi, Eduardo R.; Dalla Rosa, Luciano] Univ Fed Rio Grande FURG, Inst Oceanog, Lab Ecol &amp; Conservacao Megafauna Marinha EcoMega, BR-96201900 Rio Grande, RS, Brazil; [Acevedo, Jorge] Fdn Ctr Estudios Cuaternario CEQUA, Ave Espana 184, Punta Arenas, Chile; [Aguayo-Lobo, Anelio] Inst Antartico Chileno INACH, Dept Cient, Plaza Benjamin Munoz Gamero 1055, Punta Arenas, Chile; [Torres, Daniel] Univ Las Amer, Fac Ciencias Agr &amp; Ambientales, Escuela Med Vet, Ave Walker Martinez 1360, Santiago, Chile; [Santos, Marcos C. O.] Univ Sao Paulo, Inst Oceanog, Lab Biol Conservacao Mamiferos Aquat, BR-05508120 Butanta, SP, Brazil; [Azevedo, Alexandre F.] Univ Estado Rio de Janeiro, Dept Oceanog, Lab Mamiferos Aquat &amp; Bioindicadores MAQUA, BR-20550013 Rio De Janeiro, RJ, Brazil</t>
  </si>
  <si>
    <t>Universidade Federal do Rio de Janeiro; Universidade Federal do Rio Grande; Universidad de Las Americas - Chile; Universidade de Sao Paulo; Universidade do Estado do Rio de Janeiro</t>
  </si>
  <si>
    <t>Bassoi, M (corresponding author), Univ Fed Rio de Janeiro, Dept Zool, CAML, Ave Pau Brasil 211, BR-21941590 Rio De Janeiro, RJ, Brazil.;Bassoi, M (corresponding author), Univ Fed Rio Grande FURG, Inst Oceanog, Lab Ecol &amp; Conservacao Megafauna Marinha EcoMega, BR-96201900 Rio Grande, RS, Brazil.</t>
  </si>
  <si>
    <t>manu.bassoi@gmail.com</t>
  </si>
  <si>
    <t>Azevedo, Alexandre/B-9660-2013; Secchi, Eduardo R./ABF-1191-2020; Santos, Marcos/AAE-6679-2019; Acevedo, Jorge/AAV-3574-2020; AZEVEDO, ALEXANDRENDRE REIS DE/HII-5648-2022; Rosa, Luciano Dalla/D-5660-2012; Santos, Marcos/F-3588-2012</t>
  </si>
  <si>
    <t>Azevedo, Alexandre/0000-0002-3754-9035; Secchi, Eduardo R./0000-0001-9087-9909; Rosa, Luciano Dalla/0000-0002-1583-6471; Santos, Marcos/0000-0002-6642-2658</t>
  </si>
  <si>
    <t>Conselho Nacional de Desenvolvimento Cientifico e Tecnologico (CNPq) [15.0535/2009-0, PQ 305219/2008-1]; Instituto Antartico Chileno (INACH) [INACH 08-93, 163, INACH 018]</t>
  </si>
  <si>
    <t>Conselho Nacional de Desenvolvimento Cientifico e Tecnologico (CNPq)(Conselho Nacional de Desenvolvimento Cientifico e Tecnologico (CNPQ)); Instituto Antartico Chileno (INACH)</t>
  </si>
  <si>
    <t>Financial support to M. Bassoi (Process 15.0535/2009-0) and E. R. Secchi (PQ 305219/2008-1) was provided by the Conselho Nacional de Desenvolvimento Cientifico e Tecnologico (CNPq). Financial support to A. Aguayo-Lobo (INACH 08-93 and 163 projects) and D. Torres (INACH 018 project) was provided by Instituto Antartico Chileno (INACH).</t>
  </si>
  <si>
    <t>10.1007/s00300-019-02607-z</t>
  </si>
  <si>
    <t>WOS:000498956500001</t>
  </si>
  <si>
    <t>Poncet, S; Wolfaarde, AC; Barbraud, C; Reyes-Arriagada, R; Black, A; Powel, RB; Phillips, RA</t>
  </si>
  <si>
    <t>Poncet, Sally; Wolfaarde, Anton C.; Barbraud, Christophe; Reyes-Arriagada, Ronnie; Black, Andrew; Powel, Robert B.; Phillips, Richard A.</t>
  </si>
  <si>
    <t>The distribution, abundance, status and global importance of giant petrels (Macronectes giganteus and M. halli) breeding at South Georgia</t>
  </si>
  <si>
    <t>Allochrony; Distribution patterns; Macronectes giganteus; Macronectes halli; Population size; Population trends</t>
  </si>
  <si>
    <t>PENGUIN APTENODYTES-PATAGONICUS; SEALS ARCTOCEPHALUS-GAZELLA; KING PENGUIN; BIRD-ISLAND; POPULATION STATUS; FALKLAND ISLANDS; PUP PRODUCTION; ALBATROSSES; TRENDS; SEGREGATION</t>
  </si>
  <si>
    <t>Information on the status of giant petrels breeding at South Georgia was previously based on studies at a small number of the archipelago's breeding sites. Here, we report the results of the first complete archipelago-wide survey of breeding northern Macronectes halli and southern M. giganteus giant petrels in the austral summers 2005/2006 and 2006/2007. We estimate that 15,398 pairs of northern and 8803 pairs of southern giant petrels bred at South Georgia. These are the largest and second largest populations at any island group, representing 71.0% and 17.3%, respectively, of updated global estimates of 21,682 pairs of northern and 50,819 pairs of southern giant petrels. A comparison of counts at locations surveyed in both 1986/1987-1987/1988 and 2005/2006-2006/2007 indicated increases of 74% and 27% in northern and southern giant petrels, respectively, over the intervening 18-20 years. The greater increase in northern giant petrels was likely influenced by the recovery of the Antarctic fur seal Arctocephalus gazella population at South Georgia, which provides an abundant but transient food resource (carrion). Due to allochrony, this provides greater benefits to northern giant petrels. The large, and increasing, population of king penguins Aptenodytes patagonicus at South Georgia also provides a potentially valuable food resource. The flexible and opportunistic foraging behaviour of giant petrels has contributed to their positive population trends. Other, more specialised, seabirds such as albatrosses have declined at South Georgia in recent decades mainly because of problems at sea, compounded by greater predation pressure from the increasing populations of giant petrels.</t>
  </si>
  <si>
    <t>[Poncet, Sally] South Georgia Surveys, POB 538, Stanley F1QQ 1ZZ, Falkland Island; [Wolfaarde, Anton C.; Black, Andrew] Govt South Georgia &amp; South Sandwich Isl, Govt House, Stanley F1QQ 1ZZ, Falkland Island; [Barbraud, Christophe] CNRS UMR7372, Ctr Etud Biol Chize, F-79360 Villiers En Bois, France; [Reyes-Arriagada, Ronnie] Univ Austral Chile, Direcc Vinculac Con Medio, Casilla 567, Valdivia, Chile; [Powel, Robert B.] Clemson Univ, Dept Pk Recreat Sr Tourism Management, 281 Lehotsky Hall, Clemson, SC 29634 USA; [Powel, Robert B.] Clemson Univ, Dept Forestry &amp; Environm Conservat, 281 Lehotsky Hall, Clemson, SC 29634 USA; [Phillips, Richard A.] NERC, British Antarctic Survey, Madingley Rd, Cambridge CB3 0ET, England</t>
  </si>
  <si>
    <t>Centre National de la Recherche Scientifique (CNRS); CNRS - Institute of Ecology &amp; Environment (INEE); Universidad Austral de Chile; Clemson University; Clemson University; UK Research &amp; Innovation (UKRI); Natural Environment Research Council (NERC); NERC British Antarctic Survey</t>
  </si>
  <si>
    <t>Wolfaarde, AC (corresponding author), Govt South Georgia &amp; South Sandwich Isl, Govt House, Stanley F1QQ 1ZZ, Falkland Island.</t>
  </si>
  <si>
    <t>acwolfaardt@gmail.com</t>
  </si>
  <si>
    <t>Barbraud, Christophe/A-5870-2012</t>
  </si>
  <si>
    <t>Barbraud, Christophe/0000-0003-0146-212X</t>
  </si>
  <si>
    <t>Government of South Georgia &amp; the South Sandwich Islands; United Kingdom's Foreign and Commonwealth Office Overseas Territories Environment Programme; Natural Environment Research Council (NERC); NERC [bas0100035] Funding Source: UKRI</t>
  </si>
  <si>
    <t>Government of South Georgia &amp; the South Sandwich Islands; United Kingdom's Foreign and Commonwealth Office Overseas Territories Environment Programme; Natural Environment Research Council (NERC)(UK Research &amp; Innovation (UKRI)Natural Environment Research Council (NERC)); NERC(UK Research &amp; Innovation (UKRI)Natural Environment Research Council (NERC))</t>
  </si>
  <si>
    <t>Data collection for this study was achieved by the combined efforts and expertise of fieldworkers and crew working from the vessels S/V Golden Fleece and S/V Tara V, and in particular we thank Dion Poncet, Russell Evans, Stevie Cartwright, Ken Passfield, Kilian du Couedic, Leiv Poncet, Olly Watts, Carolina Mantella, Micky Reeves, Ellen MacArthur, Fran Prince and Andy Whittaker. We are very grateful to Helen Taylor and other British Antarctic Survey fieldworkers for assistance with the Bird Island surveys. This study was funded by the Government of South Georgia &amp; the South Sandwich Islands, and the United Kingdom's Foreign and Commonwealth Office Overseas Territories Environment Programme. It represents a contribution to the Ecosystems Component of the British Antarctic Survey Polar Science for Planet Earth Programme, funded by the Natural Environment Research Council (NERC). We thank Ben Dilley, Kris Carlyon and an anonymous reviewer for valuable comments on an earlier version of the manuscript.</t>
  </si>
  <si>
    <t>10.1007/s00300-019-02608-y</t>
  </si>
  <si>
    <t>WOS:000498956500002</t>
  </si>
  <si>
    <t>Stellema, A; Sen Gupta, A; Taschetto, AS</t>
  </si>
  <si>
    <t>Stellema, Annette; Sen Gupta, Alex; Taschetto, Andrea S.</t>
  </si>
  <si>
    <t>Projected slow down of South Indian Ocean circulation</t>
  </si>
  <si>
    <t>EQUATORIAL CURRENT BIFURCATION; BOUNDARY CURRENTS EAST; LEEUWIN CURRENT SYSTEM; INDONESIAN THROUGHFLOW; AGULHAS CURRENT; VOLUME TRANSPORT; TIME-SERIES; MADAGASCAR; VARIABILITY; DYNAMICS</t>
  </si>
  <si>
    <t>Using an ensemble of 28 climate models, we examine hindcasts and 'business as usual' future changes to large-scale South Indian Ocean dynamics. We compare model ensemble seasonal-to-annual volume transports to observations and explore drivers of past and future circulation variability and change. Off the west coast of Australia, models consistently project a weakening of the Leeuwin Current and Undercurrent due to reduced onshore flow and downwelling. The reduced onshore flow is related to changes in the alongshore pressure gradient. While the alongshore pressure gradient change is consistent with the Indonesian Throughflow projected weakening, we found no inter-model relationship between these changes. In the south-western Indian Ocean, the models project a robust weakening of the North East and South East Madagascar Currents, Agulhas Current and transport through the Mozambique Channel. This reduced Indian Ocean western boundary flow is partly associated with a weaker Indonesian Throughflow and overturning circulation, where the latter is related to a decrease in the convergence of deep Southern Ocean waters into the Indian Ocean. In contrast to the weakening of other features, the westward flowing Agulhas Current extension south of Africa is projected to strengthen, which is consistent with an intensification of the Antarctic Circumpolar Current.</t>
  </si>
  <si>
    <t>[Stellema, Annette; Sen Gupta, Alex; Taschetto, Andrea S.] Univ New South Wales, Climate Change Res Ctr, Sydney, NSW 2052, Australia; [Stellema, Annette; Sen Gupta, Alex; Taschetto, Andrea S.] Univ New South Wales, Australian Res Council, Ctr Excellence Climate Extremes, Sydney, NSW 2052, Australia</t>
  </si>
  <si>
    <t>Stellema, A (corresponding author), Univ New South Wales, Climate Change Res Ctr, Sydney, NSW 2052, Australia.</t>
  </si>
  <si>
    <t>a.stellema@unsw.edu.au</t>
  </si>
  <si>
    <t>; Sen Gupta, Alexander/B-7995-2011</t>
  </si>
  <si>
    <t>Taschetto, Andrea/0000-0001-6020-1603; Stellema, Annette/0000-0001-8370-2662; Sen Gupta, Alexander/0000-0001-5226-871X</t>
  </si>
  <si>
    <t>Australian Research Council (ARC) Centre of Excellence for Climate Extremes [CE110001028]; National Computational Infrastructure at the Australian National University, Canberra; ARC [FT160100495, DP180101251]</t>
  </si>
  <si>
    <t>Australian Research Council (ARC) Centre of Excellence for Climate Extremes(Australian Research Council); National Computational Infrastructure at the Australian National University, Canberra; ARC(Australian Research Council)</t>
  </si>
  <si>
    <t>This research was supported by the Australian Research Council (ARC) Centre of Excellence for Climate Extremes (CE110001028) and National Computational Infrastructure at the Australian National University, Canberra. Andrea S. Taschetto is supported by ARC grant FT160100495, and Alex Sen Gupta is supported by ARC grant DP180101251. For their roles in producing, coordinating and making available CMIP5 model output, we acknowledge the climate modelling groups (listed in Supplementary Table S1), the World Climate Research Programme's Working Group on Coupled Modelling and the Global Organization for Earth System Science Portals.</t>
  </si>
  <si>
    <t>10.1038/s41598-019-54092-3</t>
  </si>
  <si>
    <t>JQ8OH</t>
  </si>
  <si>
    <t>WOS:000499197300001</t>
  </si>
  <si>
    <t>Gogarty, B; McGee, J; Barnes, DKA; Sands, CJ; Bax, N; Haward, M; Downey, R; Moreau, C; Moreno, B; Held, C; Paulsen, ML</t>
  </si>
  <si>
    <t>Gogarty, Brendan; McGee, Jeff; Barnes, David K. A.; Sands, Chester J.; Bax, Narissa; Haward, Marcus; Downey, Rachel; Moreau, Camille; Moreno, Bernabe; Held, Christoph; Paulsen, Maria Lund</t>
  </si>
  <si>
    <t>Protecting Antarctic blue carbon: as marine ice retreats can the law fill the gap?</t>
  </si>
  <si>
    <t>CLIMATE POLICY</t>
  </si>
  <si>
    <t>Blue carbon; Antarctica; Antarctic Treaty System; Paris Agreement; non market approach</t>
  </si>
  <si>
    <t>SEA-ICE; CONSERVATION; SHELF; SCIENCE; LOSSES; TREATY; GAINS; AREAS</t>
  </si>
  <si>
    <t>As marine-ice around Antarctica retracts, a vast 'blue carbon' sink, in the form of living biomass, is emerging. Properly protected and promoted Antarctic blue carbon will form the world's largest natural negative feedback on climate change. However, fulfilling this promise may be challenging, given the uniqueness of the region and the legal systems that govern it. In this interdisciplinary study, we explain: the global significance of Antarctic blue carbon to international carbon mitigation efforts; the urgent need for international legal protections for areas where it is emerging; and the hurdles that need to be overcome to realize those goals. In order to progress conservation efforts past political blockages we recommend the development of an inter-instrument governance framework that quantifies the sequestration value of Antarctic blue carbon for attribution to states' climate mitigation commitments under the 2015 Paris Agreement. Key policy insights Blue-carbon emergence around Antarctica's coastlines will potentially store up to 160,000,000 tonnes of carbon annually. Blue-carbon will emerge in areas of rich biomass that will make it vulnerable to harvesting and other human activities; it is essential to incentivise conserving, rather than commercial exploitation of newly ice-free areas of the Southern Ocean. Antarctic blue carbon is a practical and prime candidate to build a cooperative, inter-instrument, non-market mitigation around; this should be considered at the 'blue COP' UN Climate change discussions in Spain. Allowing Antarctic fishing states to account for the carbon storage value of blue carbon zones through a non-market approach under the Paris Agreement could provide a vital incentive to their protection under the Antarctic Treaty System. The Scientific Committee on Antarctic Research would be the ideal body to facilitate the necessary connections between the relevant climate and Antarctic governance regimes.</t>
  </si>
  <si>
    <t>[Gogarty, Brendan; McGee, Jeff] UTAS, Fac Law, Hobart, Tas, Australia; [McGee, Jeff; Bax, Narissa; Haward, Marcus] Inst Marine &amp; Antarctic Studies, Hobart, Tas, Australia; [Barnes, David K. A.; Sands, Chester J.] British Antarctic Survey, Nat Environm Res Council, Cambridge, England; [Bax, Narissa] Ctr Marine Socioecol, Hobart, Tas, Australia; [Downey, Rachel] Australian Natl Univ, Fenner Sch Environm &amp; Soc, Canberra, ACT, Australia; [Moreau, Camille] Univ Libre Bruxelles, Dept Biol Organisms, Brussels, Belgium; [Moreno, Bernabe] Univ Cient Sur, Marine Ecol Lab, Lima, Peru; [Held, Christoph] Alfred Wegener Inst, Dept Funct Ecol, Bremerhaven, Germany; [Paulsen, Maria Lund] Univ Bergen, Dept Biosci, Bergen, Norway</t>
  </si>
  <si>
    <t>University of Tasmania; University of Tasmania; UK Research &amp; Innovation (UKRI); Natural Environment Research Council (NERC); NERC British Antarctic Survey; Australian National University; Universite Libre de Bruxelles; Universidad Cientifica del Sur (CIENTIFICA); Helmholtz Association; Alfred Wegener Institute, Helmholtz Centre for Polar &amp; Marine Research; University of Bergen</t>
  </si>
  <si>
    <t>Gogarty, B (corresponding author), Private Bag 89, Hobart, Tas 7001, Australia.</t>
  </si>
  <si>
    <t>brendan.gogarty@utas.edu.au</t>
  </si>
  <si>
    <t>Paulsen, Maria Lund/ABB-3172-2020; Downey, Rachel/Q-4156-2019; Paulsen, Maria Lund/AAZ-1045-2020; Haward, Marcus/G-3369-2014; McGee, Jeffrey/K-7322-2015</t>
  </si>
  <si>
    <t>Paulsen, Maria Lund/0000-0002-1474-7258; Haward, Marcus/0000-0003-4775-0864; Downey, Rachel/0000-0001-9275-8879; Moreau, Camille/0000-0002-0981-7442; Bax, Narissa/0000-0002-4338-1080; Moreno, Bernabe/0000-0002-9751-6307; Sands, Chester/0000-0003-1028-0328; Barnes, David/0000-0002-9076-7867; Gogarty, Brendan/0000-0002-9494-6598; McGee, Jeffrey/0000-0002-2093-5896</t>
  </si>
  <si>
    <t>NERC [bas0100036, NE/R000107/1] Funding Source: UKRI</t>
  </si>
  <si>
    <t>1469-3062</t>
  </si>
  <si>
    <t>1752-7457</t>
  </si>
  <si>
    <t>CLIM POLICY</t>
  </si>
  <si>
    <t>Clim. Policy</t>
  </si>
  <si>
    <t>FEB 7</t>
  </si>
  <si>
    <t>10.1080/14693062.2019.1694482</t>
  </si>
  <si>
    <t>Environmental Studies; Public Administration</t>
  </si>
  <si>
    <t>Environmental Sciences &amp; Ecology; Public Administration</t>
  </si>
  <si>
    <t>KO4SC</t>
  </si>
  <si>
    <t>WOS:000498783100001</t>
  </si>
  <si>
    <t>Chance, RJ; Tinel, L; Sherwen, T; Baker, AR; Bell, T; Brindle, J; Campos, MLAM; Croot, P; Ducklow, H; Peng, H; Hopkins, F; Hoogakker, B; Hughes, C; Jickells, TD; Loades, D; Macaya, DANR; Mahajan, AS; Malin, G; Phillips, D; Roberts, I; Roy, R; Sarkar, A; Sinha, AK; Song, XX; Winkelbauer, H; Wuttig, K; Yang, MX; Peng, Z; Carpenter, LJ</t>
  </si>
  <si>
    <t>Chance, Rosie J.; Tinel, Liselotte; Sherwen, Tomas; Baker, Alex R.; Bell, Thomas; Brindle, John; Campos, Maria Lucia A. M.; Croot, Peter; Ducklow, Hugh; Peng, He; Hopkins, Frances; Hoogakker, Babette; Hughes, Claire; Jickells, Timothy D.; Loades, David; Macaya, Dharma A. Ndrea Reyes; Mahajan, Anoop S.; Malin, Gill; Phillips, Daniel; Roberts, Ieuan; Roy, Rajdeep; Sarkar, Amit; Sinha, Alok Kumar; Song, Xiuxian; Winkelbauer, Helge; Wuttig, Kathrin; Yang, Mingxi; Peng, Zhou; Carpenter, Lucy J.</t>
  </si>
  <si>
    <t>Global sea-surface iodide observations, 1967-2018</t>
  </si>
  <si>
    <t>SCIENTIFIC DATA</t>
  </si>
  <si>
    <t>DISSOLVED IODINE; AUTOMATIC-DETERMINATION; CAPILLARY-ELECTROPHORESIS; OZONE DEPOSITION; INORGANIC IODINE; SOUTH-ATLANTIC; ORGANIC IODINE; NATURAL-WATERS; IODATE; SPECIATION</t>
  </si>
  <si>
    <t>The marine iodine cycle has significant impacts on air quality and atmospheric chemistry. Specifically, the reaction of iodide with ozone in the top few micrometres of the surface ocean is an important sink for tropospheric ozone (a pollutant gas) and the dominant source of reactive iodine to the atmosphere. Sea surface iodide parameterisations are now being implemented in air quality models, but these are currently a major source of uncertainty. Relatively little observational data is available to estimate the global surface iodide concentrations, and this data has not hitherto been openly available in a collated, digital form. Here we present all available sea surface (&lt;20 m depth) iodide observations. The dataset includes values digitised from published manuscripts, published and unpublished data supplied directly by the originators, and data obtained from repositories. It contains 1342 data points, and spans latitudes from 70 degrees S to 68 degrees N, representing all major basins. The data may be used to model sea surface iodide concentrations or as a reference for future observations.</t>
  </si>
  <si>
    <t>[Chance, Rosie J.; Tinel, Liselotte; Sherwen, Tomas; Loades, David; Roberts, Ieuan; Carpenter, Lucy J.] Univ York, Dept Chem, Wolfson Atmospher Chem Labs, York, N Yorkshire, England; [Sherwen, Tomas] Univ York, Dept Chem, NCAS, York, N Yorkshire, England; [Baker, Alex R.; Brindle, John; Hughes, Claire; Jickells, Timothy D.; Malin, Gill] Univ East Anglia, Sch Environm Sci, Ctr Ocean &amp; Atmospher Sci, Norwich Res Pk, Norwich NR4 7TJ, Norfolk, England; [Bell, Thomas; Hopkins, Frances; Phillips, Daniel; Yang, Mingxi] Plymouth Marine Lab, Plymouth PL1 3DH, Devon, England; [Campos, Maria Lucia A. M.] Univ Sao Paulo, Dept Quim, FFCLRP, BR-14040901 Ribeirao Preto, SP, Brazil; [Croot, Peter] Natl Univ Ireland Galway, Sch Nat Sci, NUI Galway, Galway H91 TK33, Ireland; [Ducklow, Hugh] Columbia Univ, Earth &amp; Environm Sci, POB 1000, Palisades, NY 10964 USA; [Peng, He] Chengdu Univ Technol, State Key Lab Geohazard Prevent &amp; Geoenvironm Pro, Chengdu 610059, Sichuan, Peoples R China; [Peng, He] Chengdu Univ Technol, Sch Environm, Chengdu 610059, Sichuan, Peoples R China; [Hoogakker, Babette; Winkelbauer, Helge] Heriot Watt Univ, Sch Energy Geosci Infrastruct &amp; Soc, Edinburgh EH14 4AS, Midlothian, Scotland; [Hughes, Claire] Univ York, Dept Environm &amp; Geog, Wentworth Way, York YO10 5NG, N Yorkshire, England; [Macaya, Dharma A. Ndrea Reyes] Univ Bremen, Ctr Marine Environm Sci, D-28359 Bremen, Germany; [Mahajan, Anoop S.] IITM, Ctr Climate Change Res, Pune, Maharashtra, India; [Roy, Rajdeep] ISRO, Natl Remote Sensing Ctr, Hyderabad, India; [Sarkar, Amit; Sinha, Alok Kumar] Natl Ctr Polar &amp; Ocean Res, Vasco Da Gama 403804, Goa, India; [Sarkar, Amit] Kuwait Inst Sci Res, Environm &amp; Life Sci Res Ctr, EBMMR, Salmiya, Kuwait; [Song, Xiuxian; Peng, Zhou] Chinese Acad Sci, Inst Oceanol, Key Lab Marine Ecol &amp; Environm Sci, 7 Nanhai Rd, Qingdao 266071, Shandong, Peoples R China; [Wuttig, Kathrin] GEOMAR Helmholtz Ctr Ocean Res Kiel, D-24015 Kiel, Germany; [Wuttig, Kathrin] Univ Tasmania, ACE CRC, Private Bag 80, Hobart, Tas 7001, Australia</t>
  </si>
  <si>
    <t>University of York - UK; University of York - UK; University of East Anglia; Plymouth Marine Laboratory; Universidade de Sao Paulo; Columbia University; Chengdu University of Technology; Chengdu University of Technology; Heriot Watt University; University of York - UK; University of Bremen; Ministry of Earth Sciences (MoES) - India; Indian Institute of Tropical Meteorology (IITM); Centre for Climate Change Research - India; Department of Space (DoS), Government of India; Indian Space Research Organisation (ISRO); National Remote Sensing Centre (NRSC); Ministry of Earth Sciences (MoES) - India; National Centre for Polar and Ocean Research (NCPOR); Kuwait Institute for Scientific Research; Chinese Academy of Sciences; Institute of Oceanology, CAS; Helmholtz Association; GEOMAR Helmholtz Center for Ocean Research Kiel; Antarctic Climate &amp; Ecosystems Cooperative Research Centre (ACE CRC); University of Tasmania</t>
  </si>
  <si>
    <t>Chance, RJ (corresponding author), Univ York, Dept Chem, Wolfson Atmospher Chem Labs, York, N Yorkshire, England.</t>
  </si>
  <si>
    <t>rosie.chance@york.ac.uk</t>
  </si>
  <si>
    <t>Tinel, Liselotte/ABE-1893-2021; Yang, Mingxi/ABC-7118-2020; Roy, Rajdeep/G-7790-2011; Baker, Alex R/D-1233-2011; Phillips, Daniel/AAD-3449-2021; Hopkins, Frances/HPD-4708-2023; Bell, Tom/E-8488-2011; Carpenter, Laura/JPY-0437-2023; Sherwen, Tomás/A-1810-2013; Carpenter, Lucy J/E-6742-2013; He, Peng/AAI-2369-2020; Mahajan, Anoop S/D-2714-2012; Tinel, Liselotte/I-8755-2018; Wuttig, Kathrin/F-5793-2015; Croot, Peter/C-8460-2009</t>
  </si>
  <si>
    <t>Yang, Mingxi/0000-0002-8321-5984; Bell, Tom/0000-0002-4108-7048; Sherwen, Tomás/0000-0002-3006-3876; Tinel, Liselotte/0000-0003-1742-2755; Wuttig, Kathrin/0000-0003-4010-5918; Reyes Macaya, Dharma Andrea/0000-0003-3913-6004; Croot, Peter/0000-0003-1396-0601; Winkelbauer, Helge Arne/0000-0002-8760-1452; Roberts, Ieuan Joseff/0000-0001-7701-2825; Carpenter, Lucy/0000-0002-6257-3950; Baker, Alex/0000-0002-8365-8953; Hoogakker, Babette/0000-0002-8171-9679; roy, rajdeep/0000-0001-5509-257X</t>
  </si>
  <si>
    <t>Natural Environment Research Council (NERC) in the UK [NE/N00109983/1, NE/D006538/1, NE/D006511/1, NE/C001737/1, NER/S/A/2003/11224]; British Antarctic Survey [NER/G/S/2003/00024]; Ministry of Earth Sciences, India; Chinese Academy of Sciences [XDA11020601]; US National Science Foundation Office of Polar Programs [PLR-1440435]; German Research Foundation (DFG), via Collaborative Research Centre 754 [SFB 754]; Federal Ministry of Education and Research (BMBF), Germany; European Research Council [669947]; World Bank Millennium Science Initiative [IC 120019]; National Natural Science Foundation of China [41603122]; NERC [NE/N009983/1]; Antarctic Funding Initiative [NER/G/S/2003/00024]; [NE/L01291X/1]; European Research Council (ERC) [669947] Funding Source: European Research Council (ERC); FLF [MR/S034293/1] Funding Source: UKRI; NERC [NE/R015953/1, NE/N009983/1, ncas10015, NE/L01291X/1] Funding Source: UKRI</t>
  </si>
  <si>
    <t>Natural Environment Research Council (NERC) in the UK(UK Research &amp; Innovation (UKRI)Natural Environment Research Council (NERC)); British Antarctic Survey; Ministry of Earth Sciences, India; Chinese Academy of Sciences(Chinese Academy of Sciences); US National Science Foundation Office of Polar Programs(National Science Foundation (NSF)); German Research Foundation (DFG), via Collaborative Research Centre 754(German Research Foundation (DFG)); Federal Ministry of Education and Research (BMBF), Germany(Federal Ministry of Education &amp; Research (BMBF)); European Research Council(European Research Council (ERC)); World Bank Millennium Science Initiative; National Natural Science Foundation of China(National Natural Science Foundation of China (NSFC)); NERC(UK Research &amp; Innovation (UKRI)Natural Environment Research Council (NERC)); Antarctic Funding Initiative; ; European Research Council (ERC)(European Research Council (ERC)Spanish Government); FLF; NERC(UK Research &amp; Innovation (UKRI)Natural Environment Research Council (NERC))</t>
  </si>
  <si>
    <t>We would like to thank the research teams, support staff and ships' crews on all of our field campaigns, for invaluable assistance with the collection, transport and analysis of iodide samples. For funding details of published paper sets, please refer to the original publications. For unpublished and directly provided data sets, we particularly thank the following funding bodies who have made our research possible: Natural Environment Research Council (NERC) in the UK (grants NE/N00109983/1, NE/D006538/1, NE/D006511/1, NE/C001737/1, and studentship NER/S/A/2003/11224); The British Antarctic Survey, and Antarctic Funding Initiative (project NER/G/S/2003/00024); The Ministry of Earth Sciences, India; The Strategic Priority Research Program of the Chinese Academy of Sciences (grant XDA11020601); US National Science Foundation Office of Polar Programs (award PLR-1440435); German Research Foundation (DFG), via Collaborative Research Centre 754 (SFB 754); The Federal Ministry of Education and Research (BMBF), Germany. European Research Council (Advanced Grant agreement No. 669947); The World Bank Millennium Science Initiative (grant IC 120019); National Natural Science Foundation of China (no. 41603122). We acknowledge BODC, PANGAEA, the US JGOFS Data System for the provision of archived data sets, and BODC for hosting the compiled dataset. Assembly and dissemination of this data set has taken place as part of our project 'Iodide in the ocean: distribution and impact on iodine flux and ozone loss.' (NERC NE/N009983/1). Earlier work on the compilation also took place as part of Dr Chance's PhD thesis (studentship NER/S/A/2003/11224), and as unfunded work during the period 2007-2016. Dr Sherwen's contribution was also partially supported by NE/L01291X/1.</t>
  </si>
  <si>
    <t>2052-4463</t>
  </si>
  <si>
    <t>SCI DATA</t>
  </si>
  <si>
    <t>Sci. Data</t>
  </si>
  <si>
    <t>NOV 26</t>
  </si>
  <si>
    <t>10.1038/s41597-019-0288-y</t>
  </si>
  <si>
    <t>JU7SY</t>
  </si>
  <si>
    <t>WOS:000501873300002</t>
  </si>
  <si>
    <t>Tanaka, YM; Nishiyama, T; Kadokura, A; Ozaki, M; Miyoshi, Y; Shiokawa, K; Oyama, SI; Kataoka, R; Tsutsumi, M; Nishimura, K; Sato, K; Kasahara, Y; Kumamoto, A; Tsuchiya, F; Fukizawa, M; Hikishima, M; Matsuda, S; Matsuoka, A; Shinohara, I; Nosé, M; Nagatsuma, T; Shinohara, M; Fujimoto, A; Teramoto, M; Nomura, R; Yukimatu, AS; Hosokawa, K; Shoji, M; Latteck, R</t>
  </si>
  <si>
    <t>Tanaka, Y-M; Nishiyama, T.; Kadokura, A.; Ozaki, M.; Miyoshi, Y.; Shiokawa, K.; Oyama, S-, I; Kataoka, R.; Tsutsumi, M.; Nishimura, K.; Sato, K.; Kasahara, Y.; Kumamoto, A.; Tsuchiya, F.; Fukizawa, M.; Hikishima, M.; Matsuda, S.; Matsuoka, A.; Shinohara, I; Nose, M.; Nagatsuma, T.; Shinohara, M.; Fujimoto, A.; Teramoto, M.; Nomura, R.; Yukimatu, A. Sessai; Hosokawa, K.; Shoji, M.; Latteck, R.</t>
  </si>
  <si>
    <t>Direct Comparison Between Magnetospheric Plasma Waves and Polar Mesosphere Winter Echoes in Both Hemispheres</t>
  </si>
  <si>
    <t>polar mesosphere winter echoes; EMIC waves; chorus waves; Arase; conjugate observation; MST radar</t>
  </si>
  <si>
    <t>SPEED SOLAR-WIND; ENERGETIC ELECTRON-PRECIPITATION; PULSATING AURORA; RADIATION BELT; GEOMAGNETIC STORMS; PROTON AURORA; THERMOSPHERE; STREAMS; SUMMER; ANDOYA</t>
  </si>
  <si>
    <t>We present the first and direct comparison between magnetospheric plasma waves and polar mesosphere winter echoes (PMWE) simultaneously observed by the conjugate observation with Arase satellite and high-power atmospheric radars in both hemispheres, namely, the Program of the Antarctic Syowa Mesosphere, Stratosphere, and Troposphere/Incoherent Scatter Radar at Syowa Station (SYO; -69.00 degrees S, 39.58 degrees E), Antarctica, and the Middle Atmosphere Alomar Radar System at Andoya (AND; 69.30 degrees N, 16.04 degrees E), Norway. The PMWE were observed during 03-07 UT on 21 March 2017, just after the arrival of corotating interaction region in front of high-speed solar wind stream. An isolated substorm occurred at 04 UT during this interval. Electromagnetic ion cyclotron (EMIC) waves and whistler mode chorus waves were simultaneously observed near the magnetic equator and showed similar temporal variations to that of the PMWE. These results indicate that chorus waves as well as EMIC waves are drivers of precipitation of energetic electrons, including relativistic electrons, which make PMWE detectable at 55- to 80-km altitude. Cosmic noise absorption measured with a 38.2-MHz imaging riometer and low-altitude echoes at 55-70 km measured with an medium-frequency radar at SYO also support the relativistic electron precipitation. We suggest a possible scenario in which the various phenomena observed in near-Earth space, such as magnetospheric plasma waves (EMIC waves and chorus waves), pulsating auroras, cosmic noise absorption, and PMWE, can be explained by the interaction between the high-speed solar wind containing corotating interaction regions and the magnetosphere.</t>
  </si>
  <si>
    <t>[Tanaka, Y-M; Nishiyama, T.; Kadokura, A.; Oyama, S-, I; Kataoka, R.; Tsutsumi, M.; Nishimura, K.; Yukimatu, A. Sessai] Natl Inst Polar Res, Tokyo, Japan; [Tanaka, Y-M; Kadokura, A.; Nishimura, K.] Res Org Informat &amp; Syst, Joint Support Ctr Data Sci Res, Polar Environm Data Sci Ctr, Tokyo, Japan; [Tanaka, Y-M; Nishiyama, T.; Kadokura, A.; Kataoka, R.; Tsutsumi, M.; Nishimura, K.; Yukimatu, A. Sessai] SOKENDAI, Dept Polar Sci, Hayama, Kanagawa, Japan; [Ozaki, M.; Kasahara, Y.] Kanazawa Univ, Grad Sch Nat Sci &amp; Technol, Kanazawa, Ishikawa, Japan; [Miyoshi, Y.; Shiokawa, K.; Oyama, S-, I; Nose, M.; Teramoto, M.; Shoji, M.] Kyushu Inst Technol, Dept Space Syst Engn, Fac Engn, Kitakyushu, Fukuoka, Japan; [Oyama, S-, I] Univ Oule, Ionosphere Res Unit, Oulu, Finland; [Sato, K.] Univ Tokyo, Dept Earth &amp; Planetary Sci, Tokyo, Japan; [Kumamoto, A.; Tsuchiya, F.; Fukizawa, M.] Tohoku Univ, Grad Sch Sci, Sendai, Miyagi, Japan; [Hikishima, M.; Matsuda, S.; Matsuoka, A.; Shinohara, I] Japan Aerosp Explorat Agcy, Inst Space &amp; Astronaut Sci, Tokyo, Japan; [Nagatsuma, T.] Natl Inst Informat &amp; Commun Technol, Tokyo, Japan; [Shinohara, M.] Natl Inst Technol Kagoshima Coll, Dept Liberal Arts &amp; Sci, Kirishima, Japan; [Fujimoto, A.] Kyushu Inst Technol, Fac Comp Sci &amp; Syst Engn, Dept Artificial Intelligence, Kitakyushu, Fukuoka, Japan; [Nomura, R.] Natl Astron Observ Japan, Tokyo, Japan; [Hosokawa, K.] Univ Electrocommun, Grad Sch Informat &amp; Engn, Tokyo, Japan; [Latteck, R.] Leibniz Inst Atmospher Phys, Kuhlungsborn, Germany</t>
  </si>
  <si>
    <t>Research Organization of Information &amp; Systems (ROIS); National Institute of Polar Research (NIPR) - Japan; Research Organization of Information &amp; Systems (ROIS); Graduate University for Advanced Studies - Japan; Kanazawa University; Kyushu Institute of Technology; University of Tokyo; Tohoku University; Japan Aerospace Exploration Agency (JAXA); Institute of Space &amp; Astronautical Science (ISAS); National Institute of Information &amp; Communications Technology (NICT) - Japan; Kyushu Institute of Technology; National Institutes of Natural Sciences (NINS) - Japan; National Astronomical Observatory of Japan (NAOJ); University of Electro-Communications - Japan; Leibniz Institut fur Atmospharenphysik e.V. an der Universitat Rostock (IAP)</t>
  </si>
  <si>
    <t>Tanaka, YM (corresponding author), Natl Inst Polar Res, Tokyo, Japan.;Tanaka, YM (corresponding author), Res Org Informat &amp; Syst, Joint Support Ctr Data Sci Res, Polar Environm Data Sci Ctr, Tokyo, Japan.;Tanaka, YM (corresponding author), SOKENDAI, Dept Polar Sci, Hayama, Kanagawa, Japan.</t>
  </si>
  <si>
    <t>ytanaka@nipr.ac.jp; kaoru@eps.s.u-tokyo.ac.jp</t>
  </si>
  <si>
    <t>Tsuchiya, Fuminori/T-1957-2019; Nose, Masahito/ISU-3248-2023; KATAOKA, RYUHO/AAJ-4570-2020; 熊本, 篤志/JBS-8512-2023; Nagatsuma, Tsutomu/AAS-8526-2020; Miyoshi, Yoshizumi/T-5748-2019; Nose, Masahito/B-1900-2015; Nishiyama, Takanori/ABA-2671-2020; KASAHARA, Yoshiya/E-7073-2015; Sato, Kaoru/E-1693-2012</t>
  </si>
  <si>
    <t>Tsuchiya, Fuminori/0000-0003-3386-6794; 熊本, 篤志/0000-0002-3988-1488; Nagatsuma, Tsutomu/0000-0002-9334-0738; Miyoshi, Yoshizumi/0000-0001-7998-1240; Nose, Masahito/0000-0002-2789-3588; Nishiyama, Takanori/0000-0002-3648-6589; Shoji, Masafumi/0000-0001-6573-525X; KADOKURA, AKIRA/0000-0002-6105-9562; Sato, Kaoru/0000-0002-6225-6066; Kataoka, Ryuho/0000-0001-9400-1765; Nishimura, Koji/0000-0001-8824-9844; Hikishima, Mitsuru/0000-0003-1685-5655</t>
  </si>
  <si>
    <t>Japan Society for the Promotion of Science (JSPS) [15H05747, 25247075, 15H02628, 24340121]; Japan Ministry of Education, Culture, Sports, and Technology (MEXT) [16H06286, 15H05815]; National Institute of Polar Research (NIPR) [KP-2, KP-5, KP-301]; JST CREST, Japan [JPMJCR1663]; Research Program of Japanese Antarctic Research Expedition (JARE) of the MEXT; Interuniversity Upper atmosphere Global Observation NETwork (IUGONET) project; NIPR; Grants-in-Aid for Scientific Research [15H02628] Funding Source: KAKEN</t>
  </si>
  <si>
    <t>Japan Society for the Promotion of Science (JSPS)(Ministry of Education, Culture, Sports, Science and Technology, Japan (MEXT)Japan Society for the Promotion of Science); Japan Ministry of Education, Culture, Sports, and Technology (MEXT)(Ministry of Education, Culture, Sports, Science and Technology, Japan (MEXT)); National Institute of Polar Research (NIPR)(National Institute of Polar Research (NIPR) - Japan); JST CREST, Japan(Core Research for Evolutional Science and Technology (CREST)); Research Program of Japanese Antarctic Research Expedition (JARE) of the MEXT; Interuniversity Upper atmosphere Global Observation NETwork (IUGONET) project; NIPR(National Institute of Polar Research (NIPR) - Japan); Grants-in-Aid for Scientific Research(Ministry of Education, Culture, Sports, Science and Technology, Japan (MEXT)Japan Society for the Promotion of ScienceGrants-in-Aid for Scientific Research (KAKENHI))</t>
  </si>
  <si>
    <t>Mark Kurban, M.Sc., from Edanz Group (www.edanzediting.com/ac) edited a draft of this manuscript. This study was supported by the Japan Society for the Promotion of Science (JSPS), Grants-in-Aid for Scientific Research (S) 15H05747, (A) 25247075, (A) 15H02628, and (B) 24340121 and Specially Promoted Research Grant 16H06286 and Scientific Research on Innovative Areas Grant 15H05815 of the Japan Ministry of Education, Culture, Sports, and Technology (MEXT). This study was also supported by projects KP-2, KP-5, and KP-301 of the National Institute of Polar Research (NIPR), and JST CREST Grant Number JPMJCR1663, Japan. PANSY is a multiinstitutional project with a core comprising the University of Tokyo and NIPR. The observations at Syowa Station were mainly supported by the Research Program of Japanese Antarctic Research Expedition (JARE) of the MEXT. The database construction for the ground-based instruments was partly supported by the Interuniversity Upper atmosphere Global Observation NETwork (IUGONET) project (http://www.iugonet.org/).The production of this paper was supported by a subsidy from the NIPR. Science data from the ERG (Arase satellite) were obtained from the ERG Science Center operated by ISAS/JAXA and ISEE/Nagoya University (https://ergsc.isee.nagoya-u.ac.jp/data_info/index.shtml.en).The MGF v02.01, PWE/OFA v02.01, PWE/HFA v01.01, and ERG Orbit L2 v02 were analyzed in this study. The MAARSY radar data are available at the IAP FTP site (ftp://ftp.iap-kborn.de/data-in-publications/TanakaJGR2019/). The PANSY radar observation data are available at the project website (http://pansy.eps.s.u-tokyo.ac.jp/en/data/).PANSY high-resolution data used in this study are described in Sato et al. (2014) and available by request. Contact Kaoru Sato (kaoru@eps.s.u-tokyo.ac.jp).The data obtained with the fluxgate magnetometer, induction magnetometer, imaging riometer, and MF radar at Syowa Station are available at the NIPR IUGONET website (http://iugonet0.nipr.ac.jp/data/).The solar wind data and AE index were downloaded from the NASA's Space Physics Data Facility (https://spdf.gsfc.nasa.gov/pub/data/omni/omni_cdaweb/).The AE index was originally provided by the World Data Center for Geomagnetism, Kyoto University. These data can be downloaded and analyzed using the software SPEDAS (http://spedas.org) with the plugins IUGONET and ERG.</t>
  </si>
  <si>
    <t>10.1029/2019JA026891</t>
  </si>
  <si>
    <t>JZ9DS</t>
  </si>
  <si>
    <t>WOS:000498480900001</t>
  </si>
  <si>
    <t>Kocí, T; Vodrázka, R; Veselská, MK; Buckeridge, J</t>
  </si>
  <si>
    <t>Koci, Tomas; Vodrazka, Radek; Veselska, Martina Kocova; Buckeridge, John</t>
  </si>
  <si>
    <t>An intertidal balanomorph Hexaminius venerai sp. nov. (Austrobalanidae) colonizing a log of Podocarpoxylon from the La Meseta Formation (Eocene), Seymour Island, Antarctica: a glimpse of Antarctic antiquity</t>
  </si>
  <si>
    <t>HISTORICAL BIOLOGY</t>
  </si>
  <si>
    <t>Eocene; La Meseta Formation; Seymour Island; Antarctica; barnacles; Hexaminius venerai sp; nov; Podocarpoxylon</t>
  </si>
  <si>
    <t>CONIFER FOSSIL WOODS; BARNACLES CRUSTACEA; CIRRIPEDIA; BASIN; STRATIGRAPHY; THORACICA</t>
  </si>
  <si>
    <t>The sessile barnacle Hexaminius venerai sp. nov. (Tetraclitoidea: Austrobalanidae) is described from the middle Eocene La Meseta Formation of Seymour Island, Antarctic Peninsula. Hexaminius venerai sp. nov. is the earliest known record of the genus in the Antarctic, the first occurrence of Hexaminius from outside Australian waters and the first record of a fossil cirripede attached to the substrate from the Antarctic. Exceptional preservation of more than 200 specimens, some of which retain opercula within the shell, is discussed. In life, the cirripedes were attached to a tree trunk tentatively identified as Podocarpoxylon, a South Hemisphere conifer. Hexaminius venerai sp. nov. is a survivor of an early phase in balanid radiation, prior to the development of strong radially-interlocked parietes.</t>
  </si>
  <si>
    <t>[Koci, Tomas] Natl Museum, Palaeontol Dept, Nat Hist Museum, Prague, Czech Republic; [Vodrazka, Radek] Czech Geol Survey, Prague, Czech Republic; [Veselska, Martina Kocova] Charles Univ Prague, Fac Sci, Inst Geol &amp; Palaeontol, Prague, Czech Republic; [Veselska, Martina Kocova] Czech Acad Sci, Dept Paleobiol &amp; Paleoecol, Inst Geol, Lysolaje, Czech Republic; [Buckeridge, John] RMIT Univ, Earth &amp; Ocean Syst Grp, Melbourne, Vic, Australia</t>
  </si>
  <si>
    <t>National Museum; Czech Geological Survey; Charles University Prague; Czech Academy of Sciences; Institute of Geology of the Czech Academy of Sciences; Royal Melbourne Institute of Technology (RMIT); Melbourne Genomics Health Alliance</t>
  </si>
  <si>
    <t>Kocí, T (corresponding author), Natl Museum, Palaeontol Dept, Nat Hist Museum, Prague, Czech Republic.</t>
  </si>
  <si>
    <t>protula@seznam.cz</t>
  </si>
  <si>
    <t>Kočí, Tomáš/GOJ-7403-2022; Vodrazka, Radek/I-8801-2014; Kocova Veselska, Martina/M-5667-2017</t>
  </si>
  <si>
    <t>Kočí, Tomáš/0000-0002-6719-4650; Kocova Veselska, Martina/0000-0003-4322-9019</t>
  </si>
  <si>
    <t>Ministry of Culture of the Czech Republic [National Museum] [DKRVO 2018/06, 00023272]; Grant Agency of the Czech Republic [GP14-31662P]; Center for Geosphere Dynamics [UNCE/SCI/006]; Institute of Geology of the Czech Academy of Sciences, v. v. i. [RVO 67985831]</t>
  </si>
  <si>
    <t>Ministry of Culture of the Czech Republic [National Museum]; Grant Agency of the Czech Republic(Grant Agency of the Czech RepublicNorwegian Agency for Development Cooperation - NORAD); Center for Geosphere Dynamics; Institute of Geology of the Czech Academy of Sciences, v. v. i.</t>
  </si>
  <si>
    <t>TK work was financially supported by Ministry of Culture of the Czech Republic [DKRVO 2018/06, National Museum, 00023272]. RV research was funded by the Grant Agency of the Czech Republic [grant number GP14-31662P]. MKV research was funded by Center for Geosphere Dynamics [UNCE/SCI/006] and by the [RVO 67985831] of the Institute of Geology of the Czech Academy of Sciences, v. v. i.</t>
  </si>
  <si>
    <t>0891-2963</t>
  </si>
  <si>
    <t>1029-2381</t>
  </si>
  <si>
    <t>HIST BIOL</t>
  </si>
  <si>
    <t>Hist. Biol.</t>
  </si>
  <si>
    <t>10.1080/08912963.2018.1452206</t>
  </si>
  <si>
    <t>Biology; Paleontology</t>
  </si>
  <si>
    <t>Life Sciences &amp; Biomedicine - Other Topics; Paleontology</t>
  </si>
  <si>
    <t>JF2ON</t>
  </si>
  <si>
    <t>WOS:000491225000006</t>
  </si>
  <si>
    <t>Dattler, ME; Lenaerts, JTM; Medley, B</t>
  </si>
  <si>
    <t>Dattler, Marissa E.; Lenaerts, Jan T. M.; Medley, Brooke</t>
  </si>
  <si>
    <t>Significant Spatial Variability in Radar-Derived West Antarctic Accumulation Linked to Surface Winds and Topography</t>
  </si>
  <si>
    <t>surface mass balance; snow accumulation; snow erosion; airborne radar; Antarctic Ice Sheet; near-surface winds</t>
  </si>
  <si>
    <t>GROUND-PENETRATING RADAR; MASS-BALANCE; SNOW-ACCUMULATION; AIRBORNE-RADAR; GREENLAND; ELEVATION; MODEL; PLATEAU; RATES; FIELD</t>
  </si>
  <si>
    <t>Across the Antarctic Ice Sheet, accumulation heavily influences firn compaction and surface height changes. Therefore, accumulation varies over short distances (&lt;25 km), complicating the derivation of ice sheet mass changes from altimetry and reducing how accurately field measurements can be spatially extrapolated. However, current atmospheric reanalyses have grid spacings (&gt;25 km) that are too coarse to resolve this variability. To address this limitation, we construct a fine-scale accumulation product from airborne snow radar observations by superimposing along-track fluctuations in accumulation onto an atmospheric reanalysis product. Our resulting airborne product reflects large-scale (&gt;25 km) orographic precipitation patterns while providing robust and unprecedented insight into Antarctic accumulation variability on subgrid scales. On these smaller scales, we find significant, regionally dependent accumulation variability (sigma(relative)&gt;40%). This variability in accumulation is correlated with variability in topographic surface slope in the wind direction (p&lt;0.01), confirming that subgrid-scale accumulation variability is driven by snow redistribution by wind.</t>
  </si>
  <si>
    <t>[Dattler, Marissa E.; Lenaerts, Jan T. M.] Univ Colorado, Dept Atmospher &amp; Ocean Sci, Boulder, CO 80309 USA; [Dattler, Marissa E.] Univ Maryland, Dept Atmospher &amp; Ocean Sci, College Pk, MD 20742 USA; [Dattler, Marissa E.; Medley, Brooke] NASA, Goddard Space Flight Ctr, Cryospher Sci Lab, Greenbelt, MD 20771 USA</t>
  </si>
  <si>
    <t>University of Colorado System; University of Colorado Boulder; University System of Maryland; University of Maryland College Park; National Aeronautics &amp; Space Administration (NASA); NASA Goddard Space Flight Center</t>
  </si>
  <si>
    <t>Dattler, ME (corresponding author), Univ Colorado, Dept Atmospher &amp; Ocean Sci, Boulder, CO 80309 USA.;Dattler, ME (corresponding author), Univ Maryland, Dept Atmospher &amp; Ocean Sci, College Pk, MD 20742 USA.;Dattler, ME (corresponding author), NASA, Goddard Space Flight Ctr, Cryospher Sci Lab, Greenbelt, MD 20771 USA.</t>
  </si>
  <si>
    <t>marissadattler@gmail.com</t>
  </si>
  <si>
    <t>Lenaerts, Jan/D-9423-2012</t>
  </si>
  <si>
    <t>Lenaerts, Jan/0000-0003-4309-4011; Dattler, Marissa/0000-0002-3922-0006</t>
  </si>
  <si>
    <t>National Aeronautics and Space Administration (NASA) [80NSSC18K0201]</t>
  </si>
  <si>
    <t>National Aeronautics and Space Administration (NASA)(National Aeronautics &amp; Space Administration (NASA))</t>
  </si>
  <si>
    <t>This work is funded by the National Aeronautics and Space Administration (NASA) Studies with ICESat-2 and CryoSat-2 program, Grant 80NSSC18K0201. We thank the CReSIS team for their work developing and maintaining NASA Operation IceBridge's snow radar. We also thank Dr. Alexandra Jahn of University of Colorado Boulder for her input on this paper. Data can be found online (http://doi.org/10.5281/zenodo.3534315).</t>
  </si>
  <si>
    <t>10.1029/2019GL085363</t>
  </si>
  <si>
    <t>WOS:000498353900001</t>
  </si>
  <si>
    <t>Collins, M; Tills, O; Turner, LM; Clark, MS; Spicer, JI; Truebano, M</t>
  </si>
  <si>
    <t>Collins, Michael; Tills, Oliver; Turner, Lucy M.; Clark, Melody S.; Spicer, John, I; Truebano, Manuela</t>
  </si>
  <si>
    <t>Moderate reductions in dissolved oxygen may compromise performance in an ecologically-important estuarine invertebrate</t>
  </si>
  <si>
    <t>Hypoxia; Estuary; Integrative; Ecophysiology; Crustacea</t>
  </si>
  <si>
    <t>SHRIMP LITOPENAEUS-VANNAMEI; PACIFIC WHITELEG SHRIMP; GENE-EXPRESSION; PHYSIOLOGICAL-RESPONSES; METABOLIC SUPPRESSION; GRASS SHRIMP; HYPOXIA; CONSEQUENCES; TOLERANCE; MINIMUM</t>
  </si>
  <si>
    <t>Coastal ecosystems, including estuaries, are increasingly pressured by expanding hypoxic regions as a result of human activities such as inaeased release of nutrients and global warming. Hypoxia is often defined as oxygen concentrations below 2 mL O-2 L-1. However, taxa vary markedly in their sensitivity to hypoxia and can be affected by a broad spectrum of low oxygen levels. To better understand how reduced oxygen availability impacts physiological and molecular processes in invertebrates, we investigated responses of an estuarine amphipod to an ecologically-relevant level of moderate hypoxia (similar to 2.6 mL O-2 L-1) or severe hypoxia (similar to 13 mL O-2 L-1). Moderate hypoxia elicited a reduction in aerobic scope, and widespread changes to gene expression, including upregulation of metabolic genes and stress proteins. Under severe hypoxia, a marked hyperventilatory response associated with maintenance of aerobic performance was accompanied by a muted transcriptional response. This included a return of metabolic genes to baseline levels of expression and downregulation of transcripts involved in protein synthesis, most of which indicate recourse to hypometabolism and/or physiological impairment. We conclude that adverse ecological effects may occur under moderate hypoxia through compromised individual performance and, therefore, even modest declines in future oxygen levels may pose a significant challenge to coastal ecosystems. (C) 2019 Elsevier B.V. All rights reserved.</t>
  </si>
  <si>
    <t>[Collins, Michael; Tills, Oliver; Turner, Lucy M.; Spicer, John, I; Truebano, Manuela] Univ Plymouth, Marine Biol &amp; Ecol Res Ctr, Sch Biol &amp; Marine Sci, Plymouth PL4 8AA, Devon, England; [Clark, Melody S.] British Antarctic Survey, Nat Environm Res Council, Madingley Rd, Cambridge CB3 0ET, England</t>
  </si>
  <si>
    <t>University of Plymouth; UK Research &amp; Innovation (UKRI); Natural Environment Research Council (NERC); NERC British Antarctic Survey</t>
  </si>
  <si>
    <t>Collins, M (corresponding author), Univ Plymouth, Marine Biol &amp; Ecol Res Ctr, Sch Biol &amp; Marine Sci, Plymouth PL4 8AA, Devon, England.</t>
  </si>
  <si>
    <t>michael.collins@plymouth.ac.uk</t>
  </si>
  <si>
    <t>Turner, Lucy Millicent/GRR-1515-2022; Truebano, Manuela/AAO-4545-2021; Clark, Melody S/D-7371-2014</t>
  </si>
  <si>
    <t>Collins, Michael/0000-0003-2112-5294; Tills, Oliver/0000-0001-8527-8383; Truebano, Manuela/0000-0003-2586-6524</t>
  </si>
  <si>
    <t>School of Marine Science and Engineering, University of Plymouth, United Kingdom; Natural Environmental Research Council (NERC); NERC [bas0100036] Funding Source: UKRI</t>
  </si>
  <si>
    <t>School of Marine Science and Engineering, University of Plymouth, United Kingdom; Natural Environmental Research Council (NERC)(UK Research &amp; Innovation (UKRI)Natural Environment Research Council (NERC)); NERC(UK Research &amp; Innovation (UKRI)Natural Environment Research Council (NERC))</t>
  </si>
  <si>
    <t>We thank Professor Lloyd Peck for comments on the manuscript, Mrs. Marie Palmer for advice on mesocosm construction, and all of the technical staff from MBERC. This research was funded by the School of Marine Science and Engineering, University of Plymouth, United Kingdom. MSC was supported by Natural Environmental Research Council (NERC) core funding to the British Antarctic Survey, United Kingdom.</t>
  </si>
  <si>
    <t>NOV 25</t>
  </si>
  <si>
    <t>10.1016/j.scitotenv.2019.07.250</t>
  </si>
  <si>
    <t>JD0VN</t>
  </si>
  <si>
    <t>WOS:000489694700070</t>
  </si>
  <si>
    <t>Dütsch, M; Blossey, PN; Steig, EJ; Nusbaumer, JM</t>
  </si>
  <si>
    <t>Dutsch, Marina; Blossey, Peter N.; Steig, Eric J.; Nusbaumer, Jesse M.</t>
  </si>
  <si>
    <t>Nonequilibrium Fractionation During Ice Cloud Formation in iCAM5: Evaluating the Common Parameterization of Supersaturation as a Linear Function of Temperature</t>
  </si>
  <si>
    <t>stable water isotopes; deuterium excess; supersaturation; Antarctica; ice clouds</t>
  </si>
  <si>
    <t>COMMUNITY ATMOSPHERE MODEL; GENERAL-CIRCULATION MODEL; STABLE-ISOTOPE RECORDS; EARTH SYSTEM MODEL; BIPOLAR SEE-SAW; DEUTERIUM EXCESS; NUCLEATION PARAMETERIZATIONS; CLIMATE SIMULATIONS; WATER ISOTOPES; SURFACE SNOW</t>
  </si>
  <si>
    <t>Supersaturation with respect to ice determines the strength of nonequilibrium fractionation during vapor deposition onto ice or snow and therefore influences the water isotopic composition of vapor and precipitation in cold environments. Historically, most general circulation models formed clouds through saturation adjustment and therefore prevented supersaturation. To match the observed isotopic content, especially the deuterium excess, of snow in polar regions, the saturation ratio with respect to ice (Si) was parameterized, usually by assuming a linear dependence of Si on temperature. The Community Atmosphere Model Version 5 (CAM5) no longer applies saturation adjustment for the ice phase and thus allows ice supersaturation. Here, we adapt the isotope-enabled version of CAM5 to compute nonequilibrium fractionation in ice and mixed-phase clouds based on Si from the CAM5 microphysics and use it to evaluate the common parameterization of Si. Our results show a wide range of Si predicted by the CAM5 microphysics and reflected in the simulated deuterium excess of Antarctic precipitation; this is overly simplified by the linear parameterization. Nevertheless, a linear function, when properly tuned, can reproduce the average observed relationship between delta D and deuterium excess reasonably well. However, only the model-predicted Si can capture changes in microphysical conditions under different climate states that are not due to changes in temperature. Furthermore, parametric sensitivity tests show that with the model-predicted Si, water isotopes are more closely tied to the model microphysics and can therefore constrain uncertain microphysical parameters.</t>
  </si>
  <si>
    <t>[Dutsch, Marina; Steig, Eric J.] Univ Washington, Dept Earth &amp; Space Sci, Seattle, WA 98195 USA; [Blossey, Peter N.] Univ Washington, Dept Atmospher Sci, Seattle, WA 98195 USA; [Nusbaumer, Jesse M.] Natl Ctr Atmospher Res, POB 3000, Boulder, CO 80307 USA</t>
  </si>
  <si>
    <t>University of Washington; University of Washington Seattle; University of Washington; University of Washington Seattle; National Center Atmospheric Research (NCAR) - USA</t>
  </si>
  <si>
    <t>Dütsch, M (corresponding author), Univ Washington, Dept Earth &amp; Space Sci, Seattle, WA 98195 USA.</t>
  </si>
  <si>
    <t>mduetsch@uw.edu</t>
  </si>
  <si>
    <t>Steig, Eric J/G-9088-2015; Blossey, Peter/IYJ-5220-2023</t>
  </si>
  <si>
    <t>Nusbaumer, Jesse/0000-0002-4370-3537; Dutsch, Marina/0000-0002-1128-4198; Blossey, Peter/0000-0002-0352-0840</t>
  </si>
  <si>
    <t>Swiss National Science Foundation (SNSF) [P2EZP2_178439]; National Science Foundation; Swiss National Science Foundation (SNF) [P2EZP2_178439] Funding Source: Swiss National Science Foundation (SNF)</t>
  </si>
  <si>
    <t>Swiss National Science Foundation (SNSF)(Swiss National Science Foundation (SNSF)); National Science Foundation(National Science Foundation (NSF)); Swiss National Science Foundation (SNF)(Swiss National Science Foundation (SNSF))</t>
  </si>
  <si>
    <t>This work was funded by the Swiss National Science Foundation (SNSF; Project P2EZP2_178439). We would like to acknowledge high-performance computing support from Cheyenne (doi:10.5065/D6RX99HX) provided by NCAR's Computational and Information Systems Laboratory, sponsored by the National Science Foundation. Furthermore, we thank Hugh Morrison, Andrew Gettelman, Blaz Gasparini, and Bradley R. Markle for helpful discussions on microphysics and isotopes, and two anonymous reviewers for their constructive comments, which helped to improve the manuscript. iCESM is publicly accessible online (https://github.com/NCAR/iCESM1.2).Model output data and scripts to create the figures are available online (https://doi.org/10.5281/zenodo.3374014).</t>
  </si>
  <si>
    <t>10.1029/2019MS001764</t>
  </si>
  <si>
    <t>KA2IP</t>
  </si>
  <si>
    <t>WOS:000498237600001</t>
  </si>
  <si>
    <t>Zheng, YT; Li, ZQ</t>
  </si>
  <si>
    <t>Zheng, Youtong; Li, Zhanqing</t>
  </si>
  <si>
    <t>Episodes of Warm-Air Advection Causing Cloud-Surface Decoupling During the MARCUS</t>
  </si>
  <si>
    <t>marine boundary layer; cloud-surface decoupling; warm air advection</t>
  </si>
  <si>
    <t>MARINE BOUNDARY-LAYER; SOUTHERN-OCEAN; SUBSEASONAL VARIABILITY; AIRCRAFT OBSERVATIONS; STRATOCUMULUS CLOUDS; PRECIPITATION; SATELLITE; CUMULUS; ENTRAINMENT; MODELS</t>
  </si>
  <si>
    <t>It has been known for decades that advection of a cloud-topped marine boundary layer (CTBL) over warmer sea surface causes the stratification (or decoupling) of the CTBL via the entrainment feedback, a mechanism commonly known as deepening-warming decoupling that is typical in subtropics. This study focuses on the opposite direction of advection, that is, low-level warm air advection (LLWAA), and its impacts on the decoupling degree of a CTBL. Our hypothesis is that LLWAA stabilizes a CTBL, causing a decoupling of the CTBL. It is tested for three LLWAA episodes observed during the Measurements of Aerosols, Radiation, and CloUds over the Southern Ocean (MARCUS) field campaign between the Hobart (43 degrees S, 147 degrees E), Australia, and several Antarctic coast stations. By synthesizing the shipborne measurements of CTBL structure, Himawari-8 satellite imagery of cloud fields, and reanalysis of meteorological field, four common characteristics of CTBLs under the LLWAA are found: (1) CTBLs are highly stratified to the extent that penetrations of cumulus into main temperature inversions, which are common for subtropical decoupled CTBLs, do not exist; (2) sea surface temperature is 1-2 K lower than the near-surface air temperature; (3) clouds manifest stratiform with lifetime as long as several tens of hours; and (4) they locate in warm sectors of middle-latitude cyclones. Possible mechanisms for the maintenance of decoupled clouds under LLWAA are discussed in terms of dynamic and thermodynamic factors. Lapse rates of the decoupled CTBLs are markedly lower than those commonly used for passive satellite estimation of cloud top heights.</t>
  </si>
  <si>
    <t>[Zheng, Youtong; Li, Zhanqing] Univ Maryland, Earth Syst Sci Interdisciplinary Ctr, College Pk, MD 20742 USA</t>
  </si>
  <si>
    <t>University System of Maryland; University of Maryland College Park</t>
  </si>
  <si>
    <t>Zheng, YT (corresponding author), Univ Maryland, Earth Syst Sci Interdisciplinary Ctr, College Pk, MD 20742 USA.</t>
  </si>
  <si>
    <t>zhengyoutong@gmail.com</t>
  </si>
  <si>
    <t>Li, Zhanqing/F-4424-2010; Zheng, Youtong/W-1300-2018</t>
  </si>
  <si>
    <t>Li, Zhanqing/0000-0001-6737-382X; Zheng, Youtong/0000-0002-5961-7617</t>
  </si>
  <si>
    <t>Department of Energy (DOE) Atmospheric System Research program [DE-SC0018996]; NOAA JPSS program [NA15NWS4680011]; National Science Foundation [AGS1837811]</t>
  </si>
  <si>
    <t>Department of Energy (DOE) Atmospheric System Research program(United States Department of Energy (DOE)); NOAA JPSS program(National Oceanic Atmospheric Admin (NOAA) - USA); National Science Foundation(National Science Foundation (NSF))</t>
  </si>
  <si>
    <t>This study is supported by the Department of Energy (DOE) Atmospheric System Research program (DE-SC0018996), the NOAA JPSS program (NA15NWS4680011), and the National Science Foundation (AGS1837811). The ground-based data in this study are available from website of ARM Climate Research Facility (www.archive.arm.gov/data). The Himawari-8 data are from the Japan Aerospace Exploration Agency (ftp.ptree.jaxa.jp). The reanalysis data are obtained from European Center for Medium Range Weather Forecasts (www.ecmwf.int). The HYSPLIT model is from the NOAA Air Resources Laboratory (https://www.ready.noaa.gov/HYSPLIT). We thank Jorgen Jensen and two anonymous reviewers for their constructive comments, which considerably improve the quality of the manuscript.</t>
  </si>
  <si>
    <t>10.1029/2019JD030835</t>
  </si>
  <si>
    <t>JZ8ZL</t>
  </si>
  <si>
    <t>WOS:000498240600001</t>
  </si>
  <si>
    <t>Algar, D; Johnston, M; Tiller, C; Onus, M; Fletcher, J; Desmond, G; Hamilton, N; Speldewinde, P</t>
  </si>
  <si>
    <t>Algar, D.; Johnston, M.; Tiller, C.; Onus, M.; Fletcher, J.; Desmond, G.; Hamilton, N.; Speldewinde, P.</t>
  </si>
  <si>
    <t>Feral cat eradication on Dirk Hartog Island, Western Australia</t>
  </si>
  <si>
    <t>BIOLOGICAL INVASIONS</t>
  </si>
  <si>
    <t>Feral cat; Felis catus; Eradication; Island conservation</t>
  </si>
  <si>
    <t>ANTARCTIC MARION-ISLAND; FELIS-CATUS; INFERRING EXTINCTION; FENCE DESIGNS; INVASIVE CATS; CONSERVATION; MAMMALS; DIET; PREY; FOX</t>
  </si>
  <si>
    <t>Feral cats are known to drive numerous extinctions of endemic species on islands. Predation by feral cats also currently threatens many species listed as critically endangered. Island faunas that have evolved in the absence of mammalian predators are particularly susceptible to cat predation. Dirk Hartog Island is no exception as cats have caused the local extinction of its once high vertebrate diversity. A programme to reconstruct the native fauna on the island necessitated feral cat eradication. In this paper we outline the strategy, removal techniques and monitoring methods used in this successful eradication of feral cats. Globally, the Dirk Hartog project has become the largest successful island feral cat eradication campaign attempted to date.</t>
  </si>
  <si>
    <t>[Algar, D.; Johnston, M.; Tiller, C.; Onus, M.; Fletcher, J.; Desmond, G.; Hamilton, N.] Dept Biodivers Conservat &amp; Attract, Biodivers &amp; Conservat Sci, Bentley Delivery Ctr,Locked Bag 104, Bentley, WA 6983, Australia; [Speldewinde, P.] Univ Western Australia, Ctr Excellence Nat Resource Management, Albany, WA 6330, Australia</t>
  </si>
  <si>
    <t>University of Western Australia</t>
  </si>
  <si>
    <t>Algar, D (corresponding author), Dept Biodivers Conservat &amp; Attract, Biodivers &amp; Conservat Sci, Bentley Delivery Ctr,Locked Bag 104, Bentley, WA 6983, Australia.</t>
  </si>
  <si>
    <t>dave.algar@dbca.wa.gov.au</t>
  </si>
  <si>
    <t>Speldewinde, Peter C/H-5871-2014</t>
  </si>
  <si>
    <t>Speldewinde, Peter C/0000-0002-1671-3633</t>
  </si>
  <si>
    <t>Gorgon Barrow Island Net Conservation Benefits Fund; Department of Biodiversity, Conservation and Attractions</t>
  </si>
  <si>
    <t>The Dirk Hartog Island Ecological Restoration Project is funded by the Gorgon Barrow Island Net Conservation Benefits Fund and supported by the Department of Biodiversity, Conservation and Attractions. The Department of Biodiversity, Conservation and Attractions Animal Ethics Committee approved protocols 2009/35, 2012/41 and 2015/39, which describe activities undertaken in this project. We thank David Will (Island Conservation) for reviewing this manuscript and the assessment of eradication success. We thank the visitors to Dirk Hartog Island for their interest and support of the project. We also acknowledge the anonymous reviewers of this manuscript for their suggestions.</t>
  </si>
  <si>
    <t>1387-3547</t>
  </si>
  <si>
    <t>1573-1464</t>
  </si>
  <si>
    <t>BIOL INVASIONS</t>
  </si>
  <si>
    <t>Biol. Invasions</t>
  </si>
  <si>
    <t>10.1007/s10530-019-02154-y</t>
  </si>
  <si>
    <t>KN7GQ</t>
  </si>
  <si>
    <t>WOS:000498098100001</t>
  </si>
  <si>
    <t>Wahiduzzaman, M; Yeasmin, A</t>
  </si>
  <si>
    <t>Wahiduzzaman, Md; Yeasmin, Alea</t>
  </si>
  <si>
    <t>A kernel density estimation approach of North Indian Ocean tropical cyclone formation and the association with convective available potential energy and equivalent potential temperature</t>
  </si>
  <si>
    <t>METEOROLOGY AND ATMOSPHERIC PHYSICS</t>
  </si>
  <si>
    <t>BANDWIDTH SELECTION; HURRICANE RISK; INTENSITY; GENESIS; BAY; CYCLOGENESIS; SIMULATION; STORMS; INDEX; MODEL</t>
  </si>
  <si>
    <t>Tropical cyclone (TC) is the one of the most devastating weather systems which causes enormous loss of life and property in the coastal regions of North Indian Ocean (NIO) rim countries. TC modelling can help decision-makers and inhabitants in shoreline zones to take necessary planning and actions in advance. To model TC activity, it is essential to know the factors that effect TC activities. The formation of tropical cyclones in the NIO basin is significantly modulated by Convective Available Potential Energy (CAPE) and Equivalent Potential Temperature (EPT). In this paper, a kernel density estimation approach (KDE) has been developed and evaluated to determine the extent of this modulation for the period 1979-2016. The distribution of genesis was defined by the KDE approach and validated by both classical and standard plug-in estimators. Results suggest a strong correlation of TC genesis densities with CAPE in the month of October-November (post-monsoon season) followed by the month of April-May (pre-monsoon season). Findings indicate the potential for predicting TC activities in the NIO well before the TC season.</t>
  </si>
  <si>
    <t>[Wahiduzzaman, Md] NUIST, ICAR, Nanjing, Jiangsu, Peoples R China; [Wahiduzzaman, Md] Univ Tasmania, Inst Marine &amp; Antarctic Studies, Hobart, Tas, Australia; [Yeasmin, Alea] RMIT Univ, Satellite Positioning Atmosphere Climate &amp; Enviro, Melbourne, Vic, Australia</t>
  </si>
  <si>
    <t>Nanjing University of Information Science &amp; Technology; University of Tasmania; Royal Melbourne Institute of Technology (RMIT); Melbourne Genomics Health Alliance</t>
  </si>
  <si>
    <t>Wahiduzzaman, M (corresponding author), NUIST, ICAR, Nanjing, Jiangsu, Peoples R China.;Wahiduzzaman, M (corresponding author), Univ Tasmania, Inst Marine &amp; Antarctic Studies, Hobart, Tas, Australia.</t>
  </si>
  <si>
    <t>md.wahiduzzaman@utas.edu.au</t>
  </si>
  <si>
    <t>Wahiduzzaman/T-7361-2019</t>
  </si>
  <si>
    <t>Wahiduzzaman/0000-0002-8974-8247</t>
  </si>
  <si>
    <t>0177-7971</t>
  </si>
  <si>
    <t>1436-5065</t>
  </si>
  <si>
    <t>METEOROL ATMOS PHYS</t>
  </si>
  <si>
    <t>Meteorol. Atmos. Phys.</t>
  </si>
  <si>
    <t>OCT</t>
  </si>
  <si>
    <t>10.1007/s00703-019-00711-7</t>
  </si>
  <si>
    <t>NG1XY</t>
  </si>
  <si>
    <t>WOS:000498037700001</t>
  </si>
  <si>
    <t>Cárdenas, CA; Font, A; Steinert, G; Rondon, R; González-Aravena, M</t>
  </si>
  <si>
    <t>Cardenas, Cesar A.; Font, Alejandro; Steinert, Georg; Rondon, Rodolfo; Gonzalez-Aravena, Marcelo</t>
  </si>
  <si>
    <t>Temporal Stability of Bacterial Communities in Antarctic Sponges</t>
  </si>
  <si>
    <t>FRONTIERS IN MICROBIOLOGY</t>
  </si>
  <si>
    <t>Porifera; cold-water sponges; Antarctica; WAP; 16S rRNA; environmental variability</t>
  </si>
  <si>
    <t>MICROBIAL DIVERSITY; MARINE; PROFILES; TEMPERATURE; VARIABILITY; SPECIFICITY; SYMBIOSIS; DYNAMICS</t>
  </si>
  <si>
    <t>Marine sponges host dense, diverse, and species-specific microbial communities around the globe; however, most of the current knowledge is restricted to species from tropical and temperate waters. Only recently, some studies have assessed the microbiome of a few Antarctic sponges; however, contrary to low mid-latitude sponges, the knowledge about temporal (stability) patterns in the bacterial communities of Antarctic sponges is absent. Here, we studied the temporal patterns of bacterial communities in the Antarctic sponges Mycale (Oxymycale) acerata, Isodictya sp., Hymeniacidon torquata, and Tedania (Tedaniopsis) wellsae that were tagged in situ and monitored during three austral summers over a 24-month period. By using amplicon sequencing of the bacterial 16S rRNA gene we found that the microbiome differed between species. In general, bacterial communities were dominated by gammaproteobacterial OTUs; however, M. acerata showed the most distinct pattern, being dominated by a single betaproteobacterial OTU. The analysis at OTU level (defined at 97% sequence similarity) showed a highly stable bacterial community through time, despite the abnormal seawater temperatures (reaching 3 degrees C) and rates of temperature increase of 0.15 degrees C day(-1) recorded in austral summer 2017. Sponges were characterized by a small core bacterial community that accounted for a high percentage of the abundance. Overall, no consistent changes in core OTU abundance were recorded for all studied species, confirming a high temporal stability of the microbiome. In addition, predicted functional pathway profiles showed that the most abundant pathways among all sponges belonged mostly to metabolism pathway groups (e.g., amino acid, carbohydrate, energy, and nucleotide). The predicted functional pathway patterns differed among the four sponge species. However, no clear temporal differences were detected supporting what was found in terms of the relatively stable composition of the bacterial communities.</t>
  </si>
  <si>
    <t>[Cardenas, Cesar A.; Font, Alejandro; Rondon, Rodolfo; Gonzalez-Aravena, Marcelo] Inst Antartico Chileno, Dept Cient, Punta Arenas, Chile; [Steinert, Georg] Carl von Ossietzky Univ Oldenburg, Inst Chem &amp; Biol Marine Environm, Oldenburg, Germany; [Steinert, Georg] GEOMAR Helmholtz Ctr Ocean Res Kiel, Marine Symbioses, Kiel, Germany</t>
  </si>
  <si>
    <t>Carl von Ossietzky Universitat Oldenburg; Helmholtz Association; GEOMAR Helmholtz Center for Ocean Research Kiel</t>
  </si>
  <si>
    <t>Cárdenas, CA (corresponding author), Inst Antartico Chileno, Dept Cient, Punta Arenas, Chile.</t>
  </si>
  <si>
    <t>ccardenas@inach.cl</t>
  </si>
  <si>
    <t>Rondon, Rodolfo/ABF-1403-2020; Cardenas, Cesar/ABF-1664-2020</t>
  </si>
  <si>
    <t>Rondon, Rodolfo/0000-0002-0292-7438; Steinert, Georg/0000-0002-6812-4726; Gonzalez, Marcelo/0000-0001-9986-9504; Cardenas, Cesar/0000-0001-6662-6899</t>
  </si>
  <si>
    <t>CONICYT/FONDECYT/INACH/INICIACION [11150129]; INACH program Marine Protected Areas</t>
  </si>
  <si>
    <t>CONICYT/FONDECYT/INACH/INICIACION; INACH program Marine Protected Areas</t>
  </si>
  <si>
    <t>This research was funded by the CONICYT/FONDECYT/INACH/INICIACION/#11150129 and the INACH program Marine Protected Areas partially funded this study.</t>
  </si>
  <si>
    <t>1664-302X</t>
  </si>
  <si>
    <t>FRONT MICROBIOL</t>
  </si>
  <si>
    <t>Front. Microbiol.</t>
  </si>
  <si>
    <t>NOV 22</t>
  </si>
  <si>
    <t>10.3389/fmicb.2019.02699</t>
  </si>
  <si>
    <t>OM2NY</t>
  </si>
  <si>
    <t>WOS:000585865100001</t>
  </si>
  <si>
    <t>Díaz, A; Villanueva, P; Oliva, V; Gil-Durán, C; Fierro, F; Chávez, R; Vaca, I</t>
  </si>
  <si>
    <t>Diaz, Anai; Villanueva, Pablo; Oliva, Vicente; Gil-Duran, Carlos; Fierro, Francisco; Chavez, Renato; Vaca, Inmaculada</t>
  </si>
  <si>
    <t>Genetic Transformation of the Filamentous Fungus Pseudogymnoascus verrucosus of Antarctic Origin</t>
  </si>
  <si>
    <t>transformation; Pseudogymnoascus; protoplasts; electroporation; Antarctica</t>
  </si>
  <si>
    <t>HIGH-EFFICIENCY TRANSFORMATION; COLD-ADAPTED ENZYMES; GERMINATED CONIDIA; DIVERSITY; ELECTROPORATION; SYSTEM; MACROALGAE; GROWTH</t>
  </si>
  <si>
    <t>Cold-adapted fungi isolated from Antarctica, in particular those belonging to the genus Pseudogymnoascus, are producers of secondary metabolites with interesting bioactive properties as well as enzymes with potential biotechnological applications. However, at genetic level, the study of these fungi has been hindered by the lack of suitable genetic tools such as transformation systems. In fungi, the availability of transformation systems is a key to address the functional analysis of genes related with the production of a particular metabolite or enzyme. To the best of our knowledge, the transformation of Pseudogymnoascus strains of Antarctic origin has not been achieved yet. In this work, we describe for the first time the successful transformation of a Pseudogymnoascus verrucosus strain of Antarctic origin, using two methodologies: the polyethylene glycol (PEG)-mediated transformation, and the electroporation of germinated conidia. We achieved transformation efficiencies of 15.87 +/- 5.16 transformants per mu g of DNA and 2.67 +/- 1.15 transformants per mu g of DNA for PEG-mediated transformation and electroporation of germinated conidia, respectively. These results indicate that PEG-mediated transformation is a very efficient method for the transformation of this Antarctic fungus. The genetic transformation of Pseudogymnoascus verrucosus described in this work represents the first example of transformation of a filamentous fungus of Antarctic origin.</t>
  </si>
  <si>
    <t>[Diaz, Anai; Villanueva, Pablo; Oliva, Vicente; Vaca, Inmaculada] Univ Chile, Fac Ciencias, Dept Quim, Santiago, Chile; [Gil-Duran, Carlos; Chavez, Renato] Univ Santiago Chile, Fac Quim &amp; Biol, Dept Biol, Santiago, Chile; [Fierro, Francisco] Univ Autonoma Metropolitana, Unidad Iztapaiapa, Dept Biotecnol, Mexico City, DF, Mexico</t>
  </si>
  <si>
    <t>Universidad de Chile; Universidad de Santiago de Chile; Universidad Autonoma Metropolitana - Mexico</t>
  </si>
  <si>
    <t>Vaca, I (corresponding author), Univ Chile, Fac Ciencias, Dept Quim, Santiago, Chile.;Chávez, R (corresponding author), Univ Santiago Chile, Fac Quim &amp; Biol, Dept Biol, Santiago, Chile.</t>
  </si>
  <si>
    <t>renato.chavez@usach.cl; inmavaca@uchile.cl</t>
  </si>
  <si>
    <t>; Vaca, Inmaculada/I-2758-2013</t>
  </si>
  <si>
    <t>Chavez, Renato/0000-0003-1754-3610; Gil-Duran, Carlos Andres/0000-0001-9638-6902; Fierro, Francisco/0000-0002-2582-5362; Vaca, Inmaculada/0000-0002-8952-9036</t>
  </si>
  <si>
    <t>Fondecyt [1150894]; DICYT-USACH; CONICYT-PFCHA/Doctorado Nacional/2018 [21181056]; CONICYT-PFCHA/Doctorado Nacional/2014 [63140056]</t>
  </si>
  <si>
    <t>Fondecyt(Comision Nacional de Investigacion Cientifica y Tecnologica (CONICYT)CONICYT FONDECYT); DICYT-USACH; CONICYT-PFCHA/Doctorado Nacional/2018; CONICYT-PFCHA/Doctorado Nacional/2014</t>
  </si>
  <si>
    <t>This work was financed by a grant Fondecyt 1150894. RC was supported by DICYT-USACH. VO and CG-D have received doctoral fellowship CONICYT-PFCHA/Doctorado Nacional/2018-21181056 and CONICYT-PFCHA/Doctorado Nacional/2014-63140056, respectively.</t>
  </si>
  <si>
    <t>10.3389/fmicb.2019.02675</t>
  </si>
  <si>
    <t>JT9FT</t>
  </si>
  <si>
    <t>WOS:000501287800001</t>
  </si>
  <si>
    <t>Schiffer, PH; Danchin, EGJ; Burnell, AM; Creevey, CJ; Wong, S; Dix, I; O'Mahony, G; Culleton, BA; Rancurel, C; Stier, G; Martínez-Salazar, EA; Marconi, A; Trivedi, U; Kroiher, M; Thorne, MAS; Schierenberg, E; Wiehe, T; Blaxter, M</t>
  </si>
  <si>
    <t>Schiffer, Philipp H.; Danchin, Etienne G. J.; Burnell, Ann M.; Creevey, Christopher J.; Wong, Simon; Dix, Ilona; O'Mahony, Georgina; Culleton, Bridget A.; Rancurel, Corinne; Stier, Gary; Martinez-Salazar, Elizabeth A.; Marconi, Aleksandra; Trivedi, Urmi; Kroiher, Michael; Thorne, Michael A. S.; Schierenberg, Einhard; Wiehe, Thomas; Blaxter, Mark</t>
  </si>
  <si>
    <t>Signatures of the Evolution of Parthenogenesis and Cryptobiosis in the Genomes of Panagrolaimid Nematodes</t>
  </si>
  <si>
    <t>ISCIENCE</t>
  </si>
  <si>
    <t>DEVELOPMENTAL SYSTEM DRIFT; HORIZONTAL GENE-TRANSFER; TRANSFER-RNA GENES; CAENORHABDITIS-ELEGANS; READ ALIGNMENT; DRAFT GENOME; SEQUENCE; SOFTWARE; MUTATION; PROGRAM</t>
  </si>
  <si>
    <t>Most animal species reproduce sexually and fully parthenogenetic lineages are usually short lived in evolution. Still, parthenogenesis may be advantageous as it avoids the cost of sex and permits colonization by single individuals. Panagrolaimid nematodes have colonized environments ranging from arid deserts to Arctic and Antarctic biomes. Many are obligatory meiotic parthenogens, and most have cryptobiotic abilities, being able to survive repeated cycles of complete desiccation and freezing. To identify systems that may contribute to these striking abilities, we sequenced and compared the genomes and transcriptomes of parthenogenetic and outcrossing panagrolaimid species, including cryptobionts and non-cryptobionts. The parthenogens are triploids, most likely originating through hybridization. Adaptation to cryptobiosis shaped the genomes of panagrolaimid nematodes and is associated with the expansion of gene families and signatures of selection on genes involved in cryptobiosis. All panagrolaimids have acquired genes through horizontal gene transfer, some of which are likely to contribute to cryptobiosis.</t>
  </si>
  <si>
    <t>[Schiffer, Philipp H.] UCL, Dept Biosci, CLOE, London, England; [Schiffer, Philipp H.; Stier, Gary; Kroiher, Michael; Schierenberg, Einhard] Univ Cologne, Zoolog Inst, D-50674 Cologne, Germany; [Danchin, Etienne G. J.; Rancurel, Corinne] Univ Cote dAzur, ISA, CNRS, INRA, Nice, France; [Burnell, Ann M.; Dix, Ilona; O'Mahony, Georgina; Culleton, Bridget A.] Natl Univ Ireland Maynooth, Maynooth Univ, Dept Biol, Maynooth, Kildare, Ireland; [Creevey, Christopher J.] Queens Univ Belfast, Sch Biol Sci, Belfast, Antrim, North Ireland; [Wong, Simon] Irish Ctr High End Comp, Tower Bldg,Trinity Technol &amp; Enterprise Campus, Dublin D02 HP83, Ireland; [Culleton, Bridget A.] Megazyme, Bray Business Pk, Bray A98 YV29, Co Wicklow, Ireland; [Martinez-Salazar, Elizabeth A.] Univ Autonoma Zacatecas, Lab Colecc Biol &amp; Sistemat Mol, Unidad Acad Ciencias Biol, Zacatecas, Zacatecas, Mexico; [Marconi, Aleksandra; Blaxter, Mark] Univ Edinburgh, Inst Evolutionary Biol, Edinburgh EH9 3FL, Midlothian, Scotland; [Trivedi, Urmi; Blaxter, Mark] Univ Edinburgh, Sch Biol Sci, Edinburgh Genom, Edinburgh EH9 3FL, Midlothian, Scotland; [Thorne, Michael A. S.] NERC, British Antarctic Survey, Madingley Rd, Cambridge CB3 0ET, England; [Schiffer, Philipp H.; Wiehe, Thomas] Univ Cologne, Inst Genet, D-50674 Cologne, Germany; [Blaxter, Mark] Wellcome Sanger Inst, Cambridge CB10 1SA, England</t>
  </si>
  <si>
    <t>University of London; University College London; University of Cologne; Universite Cote d'Azur; Centre National de la Recherche Scientifique (CNRS); INRAE; Maynooth University; Queens University Belfast; Universidad Autonoma de Zacatecas; University of Edinburgh; University of Edinburgh; UK Research &amp; Innovation (UKRI); Natural Environment Research Council (NERC); NERC British Antarctic Survey; University of Cologne; Wellcome Trust Sanger Institute</t>
  </si>
  <si>
    <t>Schiffer, PH (corresponding author), UCL, Dept Biosci, CLOE, London, England.;Schiffer, PH (corresponding author), Univ Cologne, Zoolog Inst, D-50674 Cologne, Germany.;Schiffer, PH (corresponding author), Univ Cologne, Inst Genet, D-50674 Cologne, Germany.</t>
  </si>
  <si>
    <t>philipp.schiffer@gmail.com</t>
  </si>
  <si>
    <t>Schiffer, Philipp H/ABA-4722-2022; Creevey, Christopher James/A-1836-2013; Danchin, Etienne GJ/X-6969-2019; Blaxter, Mark L/B-4113-2010; Marconi, Aleksandra/KHX-8290-2024</t>
  </si>
  <si>
    <t>Schiffer, Philipp H/0000-0001-6776-0934; Creevey, Christopher James/0000-0001-7183-1555; Danchin, Etienne GJ/0000-0003-4146-5608; Marconi, Aleksandra/0000-0001-8481-9336; Rancurel, Corinne/0000-0001-9355-5491; Wiehe, Thomas/0000-0002-8932-2772; Thorne, Michael/0000-0001-7759-612X</t>
  </si>
  <si>
    <t>VolkswagenStiftung; Deutsche Forschungsgemeinschaft [SPP1819]; European Research Council [ERC-2012-AdG 322790]; Science Foundation Ireland [RFP/EOB2506]; CONACyT; Science Foundation Ireland (SFI) Stokes lecturer scheme [07/SK/B1236A]; Biotechnology and Biological Sciences Research Council (BBSRC) Institute Strategic Program Grant, Rumen Systems Biology [BB/E/W/10964A01]; UK Natural Environment Research Council [UKSBS PR18037]; [UAZ-2016-37096]; BBSRC [BB/P024238/2] Funding Source: UKRI; NERC [bas0100035] Funding Source: UKRI; Science Foundation Ireland (SFI) [07/SK/B1236a] Funding Source: Science Foundation Ireland (SFI)</t>
  </si>
  <si>
    <t>VolkswagenStiftung(Volkswagen); Deutsche Forschungsgemeinschaft(German Research Foundation (DFG)); European Research Council(European Research Council (ERC)); Science Foundation Ireland(Science Foundation Ireland); CONACyT(Consejo Nacional de Ciencia y Tecnologia (CONACyT)); Science Foundation Ireland (SFI) Stokes lecturer scheme(Science Foundation Ireland); Biotechnology and Biological Sciences Research Council (BBSRC) Institute Strategic Program Grant, Rumen Systems Biology(UK Research &amp; Innovation (UKRI)Biotechnology and Biological Sciences Research Council (BBSRC)); UK Natural Environment Research Council(UK Research &amp; Innovation (UKRI)Natural Environment Research Council (NERC)); ; BBSRC(UK Research &amp; Innovation (UKRI)Biotechnology and Biological Sciences Research Council (BBSRC)); NERC(UK Research &amp; Innovation (UKRI)Natural Environment Research Council (NERC)); Science Foundation Ireland (SFI)(Science Foundation Ireland)</t>
  </si>
  <si>
    <t>A.M.B was funded by the VolkswagenStiftung in their initiative for evolutionary biology, the Deutsche Forschungsgemeinschaft in a grant to T.W. under SPP1819, and was supported by the European Research Council (ERC-2012-AdG 322790 to Max Telford). A.M.B. was funded by Science Foundation Ireland (Project RFP/EOB2506). E.A.M.-S. thanks Dr. Ryan Gregory (University of Guelph) for providing access to his laboratory to conduct genome size estimation and CONACyT for a Postdoctoral Fellowship (2010), and UAZ-2016-37096. C.J.C. was funded under the Science Foundation Ireland (SFI) Stokes lecturer scheme (07/SK/B1236A) and the Biotechnology and Biological Sciences Research Council (BBSRC) Institute Strategic Program Grant, Rumen Systems Biology, (BB/E/W/10964A01). Edinburgh Genomics has core funding from the UK Natural Environment Research Council (UKSBS PR18037).</t>
  </si>
  <si>
    <t>2589-0042</t>
  </si>
  <si>
    <t>iScience</t>
  </si>
  <si>
    <t>10.1016/j.isci.2019.10.039</t>
  </si>
  <si>
    <t>JQ4EJ</t>
  </si>
  <si>
    <t>Green Published, Green Accepted, Green Submitted, gold</t>
  </si>
  <si>
    <t>WOS:000498899800045</t>
  </si>
  <si>
    <t>Zeidler, C; Zabel, P; Vrakking, V; Dorn, M; Bamsey, M; Schubert, D; Ceriello, A; Fortezza, R; De Simone, D; Stanghellini, C; Kempkes, F; Meinen, E; Mencarelli, A; Swinkels, GJ; Paul, AL; Ferl, RJ</t>
  </si>
  <si>
    <t>Zeidler, Conrad; Zabel, Paul; Vrakking, Vincent; Dorn, Markus; Bamsey, Matthew; Schubert, Daniel; Ceriello, Antonio; Fortezza, Raimondo; De Simone, Domenico; Stanghellini, Cecilia; Kempkes, Frank; Meinen, Esther; Mencarelli, Angelo; Swinkels, Gert-Jan; Paul, Anna-Lisa; Ferl, Robert J.</t>
  </si>
  <si>
    <t>The Plant Health Monitoring System of the EDEN ISS Space Greenhouse in Antarctica During the 2018 Experiment Phase</t>
  </si>
  <si>
    <t>FRONTIERS IN PLANT SCIENCE</t>
  </si>
  <si>
    <t>EDEN ISS; plant health monitoring; greenhouse; space analogue; Antarctica; life support system; remote support; Neumayer Station III</t>
  </si>
  <si>
    <t>IMAGING TECHNIQUES</t>
  </si>
  <si>
    <t>The EDEN ISS project has the objective to test key technologies and processes for higher plant cultivation with a focus on their application to long duration spaceflight. A mobile plant production facility was designed and constructed by an international consortium and deployed to the German Antarctic Neumayer Station III. Future astronaut crews, even if well-trained and provided with detailed procedures, cannot be expected to have the competencies needed to deal with all situations that will arise during a mission. Future space crews, as they are today, will be supported by expert backrooms on the ground. For future space-based greenhouses, monitoring the crops and the plant growth system increases system reliability and decreases the crew time required to maintain them. The EDEN ISS greenhouse incorporates a Plant Health Monitoring System to provide remote support for plant status assessment and early detection of plant stress or disease. The EDEN ISS greenhouse has the capability to automatically capture and distribute images from its suite of 32 high-definition color cameras. Collected images are transferred over a satellite link to the EDEN ISS Mission Control Center in Bremen and to project participants worldwide. Upon reception, automatic processing software analyzes the images for anomalies, evaluates crop performance, and predicts the days remaining until harvest of each crop tray. If anomalies or sub-optimal performance is detected, the image analysis system generates automatic warnings to the agronomist team who then discuss, communicate, or implement countermeasure options. A select number of Dual Wavelength Spectral Imagers have also been integrated into the facility for plant health monitoring to detect potential plant stress before it can be seen on the images taken by the high-definition color cameras. These imagers and processing approaches are derived from traditional space-based imaging techniques but permit new discoveries to be made in a facility like the EDEN ISS greenhouse in which, essentially, every photon of input and output can be controlled and studied. This paper presents a description of the EDEN ISS Plant Health Monitoring System, basic image analyses, and a summary of the results from the initial year of Antarctic operations.</t>
  </si>
  <si>
    <t>[Zeidler, Conrad; Zabel, Paul; Vrakking, Vincent; Dorn, Markus; Bamsey, Matthew; Schubert, Daniel] German Aerosp Ctr DLR, EDEN Res Grp, Inst Space Syst, Dept Syst Anal Space Segment, Bremen, Germany; [Ceriello, Antonio; Fortezza, Raimondo; De Simone, Domenico] Telespazio SpA, Nav &amp; Sci Org Unit, Naples, Italy; [Stanghellini, Cecilia; Kempkes, Frank; Meinen, Esther; Mencarelli, Angelo; Swinkels, Gert-Jan] Wageningen Univ &amp; Res, Greenhouse Hort Unit, Wageningen, Netherlands; [Paul, Anna-Lisa; Ferl, Robert J.] Univ Florida, Hort Sci Dept, UFSpaceplants Lab, Gainesville, FL USA</t>
  </si>
  <si>
    <t>Helmholtz Association; German Aerospace Centre (DLR); Thales Group; Wageningen University &amp; Research; State University System of Florida; University of Florida</t>
  </si>
  <si>
    <t>Zeidler, C (corresponding author), German Aerosp Ctr DLR, EDEN Res Grp, Inst Space Syst, Dept Syst Anal Space Segment, Bremen, Germany.</t>
  </si>
  <si>
    <t>conrad.zeidler@dlr.de</t>
  </si>
  <si>
    <t>Zabel, Paul/HQZ-9029-2023</t>
  </si>
  <si>
    <t>Zabel, Paul/0000-0001-7907-9230; Paul, Anna-Lisa/0000-0003-2211-2604; Ferl, Robert/0000-0003-4178-764X; Stanghellini, Cecilia/0000-0003-2281-8711</t>
  </si>
  <si>
    <t>European Union [636501]; Top Sector Horticulture &amp; Starting Materials; Florida Space Grant Consortium grant [FSGC NNX15_016 FSGC08 170829]; NASA [80NSSC17K0199]</t>
  </si>
  <si>
    <t>European Union(European Union (EU)); Top Sector Horticulture &amp; Starting Materials; Florida Space Grant Consortium grant; NASA(National Aeronautics &amp; Space Administration (NASA))</t>
  </si>
  <si>
    <t>The EDEN ISS project has received funding from the European Union's Horizon 2020 research and innovation program under grant agreement No 636501. The participation of the Dutch team was co-financed by the Top Sector Horticulture &amp; Starting Materials. The participation of the UF team was funded by NASA grant 80NSSC17K0199 and the Florida Space Grant Consortium grant FSGC NNX15_016 FSGC08 170829.</t>
  </si>
  <si>
    <t>1664-462X</t>
  </si>
  <si>
    <t>FRONT PLANT SCI</t>
  </si>
  <si>
    <t>Front. Plant Sci.</t>
  </si>
  <si>
    <t>10.3389/fpls.2019.01457</t>
  </si>
  <si>
    <t>JT8LN</t>
  </si>
  <si>
    <t>WOS:000501235200001</t>
  </si>
  <si>
    <t>Lu, X; Wu, HN; Chu, XZ; Oberheide, J; Mlynczak, MG; Russell, JM</t>
  </si>
  <si>
    <t>Lu, Xian; Wu, Haonan; Chu, Xinzhao; Oberheide, Jens; Mlynczak, Martin G.; Russell, James M., III</t>
  </si>
  <si>
    <t>Quasi-Biennial Oscillation of Short-Period Planetary Waves and Polar Night Jet in Winter Antarctica Observed in SABER and MERRA-2 and Mechanism Study With a Quasi-Geostrophic Model</t>
  </si>
  <si>
    <t>Antarctic planetary waves; Quasi-Biennial Oscillation; Polar night jet; SABER; Quasi-geostrophic model; MERRA-2</t>
  </si>
  <si>
    <t>4-DAY WAVE; STRATOSPHERE; CIRCULATION; MESOSPHERE; INSTABILITY; ATMOSPHERE; MODULATION</t>
  </si>
  <si>
    <t>Analyzing Sounding of the Atmosphere using Broadband Emission Radiometry (SABER) observations from 2003 to 2018, the interannual variability of 2-5d eastward propagating planetary waves is found to correlate positively with zonal-mean zonal winds averaged over 67.5 degrees +/- 10 degrees S but negatively with the quasi-biennial oscillation (QBO) index in austral winter. The composite-mean wave amplitudes are 20% larger in QBOe than in QBOw. On statistical average, the poleward flank strengthening and the equatorward flank weakening of polar night jet (PNJ) during QBOe form a dipole-cell pattern. In contrast, only a single negative cell is seen in the Northern Hemisphere zonal-mean zonal winds (January) previously explained by the Holton-Tan theory. Such difference implies an interhemispheric asymmetry and other processes needed to explain the additional positive cell in Antarctica. Mechanistic modeling illustrates that the stronger PNJ generates eastward propagating planetary waves with larger growth rates (stronger waves) in QBOe than QBOw, explaining the QBO-like signal in the Antarctic planetary waves.</t>
  </si>
  <si>
    <t>[Lu, Xian; Wu, Haonan; Oberheide, Jens] Clemson Univ, Dept Phys &amp; Astron, Clemson, SC 29634 USA; [Chu, Xinzhao] Univ Colorado, Cooperat Inst Res Environm Sci, Boulder, CO 80309 USA; [Chu, Xinzhao] Univ Colorado, Dept Aerosp Engn Sci, Boulder, CO 80309 USA; [Mlynczak, Martin G.] NASA, Langley Res Ctr, Hampton, VA 23665 USA; [Russell, James M., III] Hampton Univ, Ctr Atmospher Sci, Hampton, VA 23668 USA</t>
  </si>
  <si>
    <t>Clemson University; University of Colorado System; University of Colorado Boulder; University of Colorado System; University of Colorado Boulder; National Aeronautics &amp; Space Administration (NASA); NASA Langley Research Center; Hampton University</t>
  </si>
  <si>
    <t>Lu, X (corresponding author), Clemson Univ, Dept Phys &amp; Astron, Clemson, SC 29634 USA.</t>
  </si>
  <si>
    <t>xianl@clemson.edu</t>
  </si>
  <si>
    <t>Mlynczak, Martin/K-3396-2012; Oberheide, Jens/C-6156-2011; Lu, Xian/AAZ-3385-2021; CHU, XINZHAO/I-5670-2015; LU, XIAN/A-2980-2015</t>
  </si>
  <si>
    <t>Oberheide, Jens/0000-0001-6721-2540; CHU, XINZHAO/0000-0001-6147-1963; Wu, Haonan/0000-0002-3272-8106; LU, XIAN/0000-0002-2535-8151; Mlynczak, Martin/0000-0002-7578-1003</t>
  </si>
  <si>
    <t>NSF [OPP-1246405, OPP-1443726, AGS-1452351, AGS-1705448, OPP-1705450, CAREER-1753214]</t>
  </si>
  <si>
    <t>NSF(National Science Foundation (NSF))</t>
  </si>
  <si>
    <t>X. L.'s work was supported by NSF grants AGS-1705448, OPP-1705450, and CAREER-1753214. X. C. was partially supported by NSF grants OPP-1246405, OPP-1443726, and AGS-1452351. We acknowledge MERRA-2 data provided by the Global Modeling and Assimilation Office at NASA Goddard Space Flight Center. SABER data were downloaded from http://saber.gats-inc.com/data.php. This work's data are available at https://zenodo.org/record/3493760#.XaeBxC2ZNbg.</t>
  </si>
  <si>
    <t>10.1029/2019GL084759</t>
  </si>
  <si>
    <t>WOS:000497910900001</t>
  </si>
  <si>
    <t>Alberty, M; Sprintall, J; MacKinnon, J; Germineaud, C; Cravatte, S; Ganachaud, A</t>
  </si>
  <si>
    <t>Alberty, Marion; Sprintall, Janet; MacKinnon, Jennifer; Germineaud, Cyril; Cravatte, Sophie; Ganachaud, Alexandre</t>
  </si>
  <si>
    <t>Moored Observations of Transport in the Solomon Sea</t>
  </si>
  <si>
    <t>tropical Pacific; low latitude western boundary currents; Solomon Sea; mooring observations; intraseasonal variability</t>
  </si>
  <si>
    <t>WESTERN EQUATORIAL PACIFIC; ANTARCTIC INTERMEDIATE WATER; PAPUA-NEW-GUINEA; TROPICAL PACIFIC; SOUTH-PACIFIC; OCEAN CIRCULATION; CURRENTS; IRON; THERMOCLINE; VARIABILITY</t>
  </si>
  <si>
    <t>The Solomon Sea is a marginal sea in the western Pacific warm pool that contains the South Pacific low latitude western boundary currents. These low latitude western boundary currents chiefly exit the Solomon Sea through three channels (Vitiaz Strait, St. George's Channel, and Solomon Strait) and serve as the primary source water for the Equatorial Undercurrent. Simulations have shown that transport partitioning between the straits determines the water mass structure of the Equatorial Undercurrent, but the relative contributions of transport through each strait have not been observed before. As part of the Southwest Pacific Ocean Circulation and Climate Experiment, an array of moorings was deployed simultaneously in the three outflow channels of the Solomon Sea from July 2012 until March 2014 to resolve transport and water properties in each strait. Above deep isopycnals (sigma(0) &lt;= 27.5), Vitiaz and Solomon Straits account for 54.2% and 36.2% of the mean transport, respectively, with the remaining 9.6% exiting through St. George's Channel. The strongest subinertial transport variability is observed in Solomon Strait and dominates total Solomon Sea transport variability, and a significant fraction of this variability is at intraseasonal time scales. Finally, a previously unobserved deep current at 1,500-m depth is found to enter the Solomon Sea through Solomon Strait, with a deployment-mean transport of 4.6 Sv (Sv equivalent to 10(6) m(3)/s).</t>
  </si>
  <si>
    <t>[Alberty, Marion; Sprintall, Janet; MacKinnon, Jennifer] Univ Calif San Diego, Scripps Inst Oceanog, La Jolla, CA 92093 USA; [Germineaud, Cyril] Univ Miami, Cooperat Inst Marine &amp; Atmospher Studies, Miami, FL USA; [Germineaud, Cyril] NOAA, AOML, Phys Oceanog Div, Miami, FL USA; [Cravatte, Sophie; Ganachaud, Alexandre] Univ Toulouse, Lab Etud Geophys &amp; Oceanog Spatiales, CNES, CNRS,IRD,UPS, Toulouse, France</t>
  </si>
  <si>
    <t>University of California System; University of California San Diego; Scripps Institution of Oceanography; University of Miami; National Oceanic Atmospheric Admin (NOAA) - USA; Atlantic Oceanographic &amp; Meteorological Laboratory (AOML); Universite de Toulouse; Universite Toulouse III - Paul Sabatier; Centre National de la Recherche Scientifique (CNRS); Institut de Recherche pour le Developpement (IRD); Laboratoire d'Etudes en Geophysique et oceanographie spatiales</t>
  </si>
  <si>
    <t>Alberty, M (corresponding author), Univ Calif San Diego, Scripps Inst Oceanog, La Jolla, CA 92093 USA.</t>
  </si>
  <si>
    <t>malberty@princeton.edu</t>
  </si>
  <si>
    <t>Cravatte, Sophie/AAI-4635-2021; Ganachaud, Alexandre/B-7556-2013</t>
  </si>
  <si>
    <t>Cravatte, Sophie/0000-0002-2439-8952; Ganachaud, Alexandre/0000-0002-9709-1396; MacKinnon, Jennifer/0000-0002-7690-1185; Sprintall, Janet/0000-0002-7428-7580; Germineaud, Cyril/0000-0003-4327-1137; Alberty, Marion/0000-0003-4560-2032</t>
  </si>
  <si>
    <t>NSF [OCE1029487]; ANR project [ANR-09-BLAN-0233-01]; INSU/LEFE project Solwara (IDAO); INSU/LEFE project Solwara (CYBER); Agence Nationale de la Recherche (ANR) [ANR-09-BLAN-0233] Funding Source: Agence Nationale de la Recherche (ANR)</t>
  </si>
  <si>
    <t>NSF(National Science Foundation (NSF)); ANR project(Agence Nationale de la Recherche (ANR)); INSU/LEFE project Solwara (IDAO); INSU/LEFE project Solwara (CYBER); Agence Nationale de la Recherche (ANR)(Agence Nationale de la Recherche (ANR))</t>
  </si>
  <si>
    <t>The moorings deployment and recovery were made possible through concurrent contributions of national funding agencies. The MoorSPICE and Pandora cruises have been cofunded by NSF Grant OCE1029487 and by ANR project ANR-09-BLAN-0233-01 and INSU/LEFE project Solwara (IDAO and CYBER). We thank the technical division of INSU (DT-INSU, O. Desprez de Gesincourt, L. Fichen, F. Perault, E. de Saint-Leger, C. Brachet, and L. Scouarnec) and US-IMAGO (J. Grelet, J.-L. Fuda, and D. Varillon) for the design of the moorings and their efforts to ensure a timely delivery of instruments or participation at different stages of the cruise organization. We thank the Hydraulics Laboratory at SIO for their mooring expertise (P. Harvey and S. Kawamoto). We are grateful to the crews of the R/V l'Atalante and R/V Thomas G. Thompson for their assistance at sea and dedication to oceanographic research. The Pandora and MoorSPICE cruises are contributions to the CLIVAR/SPICE and GEOTRACES International programs. Two anonymous reviewers are thanked for their insightful comments which have greatly improved the quality of this manuscript. This publication benefited from several insightful conversations with William Kessler. Observations from the Solomon Sea SPICE moorings deployments are made available through UC San Diego Library Digital Collections (Cravatte, Ganachaud, Sprintall, Alberty, Germineaud, Brachet, et al., 2019), which hosts both the raw and quality-controlled instrument observations for the 2012-2014 moorings (Cravatte, Ganachaud, Sprintall, Alberty, &amp; Germineaud, 2019) and the gridded ASV cross sections used in the analysis (Alberty et al., 2019). The MATLAB code used to process raw observations into the analyzed gridded velocities is made freely available online (https://github.com/marionalberty/MooringProcessingProgs).The GEBCO_2014 Grid and SID Grid, version 20150318, can be accessed online (www.gebco.net).CCMP Version-2.0 vector wind analyses are produced by Remote Sensing Systems. Data are available online (www.remss.com).The Ssalto/Duacs altimeter products were produced and distributed by the Copernicus Marine and Environment Monitoring Service (CMEMS; http://www.marine.copernicus.eu).Historical SADCP observations in the Solomon Sea are available online (http://solomonseaoceanography.org/solomonsea/sadcp-data).Pandora and MoorSPICE data can be found online (http://www.obs-vlfr.fr/proof/cruises.php).MoorSPICE data can also be found through Cruise (https://doi.org/10.7284/903044).</t>
  </si>
  <si>
    <t>10.1029/2019JC015143</t>
  </si>
  <si>
    <t>WOS:000497897100001</t>
  </si>
  <si>
    <t>Nakayama, Y; Manucharyan, G; Zhang, H; Dutrieux, P; Torres, HS; Klein, P; Seroussi, H; Schodlok, M; Rignot, E; Menemenlis, D</t>
  </si>
  <si>
    <t>Nakayama, Yoshihiro; Manucharyan, Georgy; Zhang, Hong; Dutrieux, Pierre; Torres, Hector S.; Klein, Patrice; Seroussi, Helene; Schodlok, Michael; Rignot, Eric; Menemenlis, Dimitris</t>
  </si>
  <si>
    <t>Pathways of ocean heat towards Pine Island and Thwaites grounding lines</t>
  </si>
  <si>
    <t>CIRCUMPOLAR DEEP-WATER; AMUNDSEN SEA EMBAYMENT; ANTARCTIC ICE SHELVES; WEST ANTARCTICA; GLACIAL MELTWATER; CIRCULATION; VARIABILITY; MELT; RETREAT; MODEL</t>
  </si>
  <si>
    <t>In the Amundsen Sea, modified Circumpolar Deep Water (mCDW) intrudes into ice shelf cavities, causing high ice shelf melting near the ice sheet grounding lines, accelerating ice flow, and controlling the pace of future Antarctic contributions to global sea level. The pathways of mCDW towards grounding lines are crucial as they directly control the heat reaching the ice. A realistic representation of mCDW circulation, however, remains challenging due to the sparsity of in-situ observations and the difficulty of ocean models to reproduce the available observations. In this study, we use an unprecedentedly high-resolution (200 m horizontal and 10 m vertical grid spacing) ocean model that resolves shelf-sea and sub-ice-shelf environments in qualitative agreement with existing observations during austral summer conditions. We demonstrate that the waters reaching the Pine Island and Thwaites grounding lines follow specific, topographically-constrained routes, all passing through a relatively small area located around 104 degrees W and 74.3 degrees S. The temporal and spatial variabilities of ice shelf melt rates are dominantly controlled by the sub-ice shelf ocean current. Our findings highlight the importance of accurate and high-resolution ocean bathymetry and subglacial topography for determining mCDW pathways and ice shelf melt rates.</t>
  </si>
  <si>
    <t>[Nakayama, Yoshihiro; Zhang, Hong; Torres, Hector S.; Klein, Patrice; Seroussi, Helene; Schodlok, Michael; Rignot, Eric; Menemenlis, Dimitris] CALTECH, Jet Prop Lab, 4800 Oak Grove Dr, Pasadena, CA 91125 USA; [Nakayama, Yoshihiro] Hokkaido Univ, Inst Low Temp Sci, Sapporo, Hokkaido, Japan; [Manucharyan, Georgy] CALTECH, Pasadena, CA 91125 USA; [Dutrieux, Pierre] Columbia Univ, Lamont Doherty Earth Observ, New York, NY 10027 USA; [Klein, Patrice] UBO, CNRS, IFREMER, Lab Phys Oceans,IRD, Plouzane, France; [Rignot, Eric] Univ Calif Irvine, Earth Syst Sci, Irvine, CA USA</t>
  </si>
  <si>
    <t>California Institute of Technology; National Aeronautics &amp; Space Administration (NASA); NASA Jet Propulsion Laboratory (JPL); Hokkaido University; California Institute of Technology; Columbia University; Centre National de la Recherche Scientifique (CNRS); Ifremer; Institut de Recherche pour le Developpement (IRD); Universite de Bretagne Occidentale; Institut Universitaire Europeen de la Mer (IUEM); University of California System; University of California Irvine</t>
  </si>
  <si>
    <t>Nakayama, Y (corresponding author), CALTECH, Jet Prop Lab, 4800 Oak Grove Dr, Pasadena, CA 91125 USA.;Nakayama, Y (corresponding author), Hokkaido Univ, Inst Low Temp Sci, Sapporo, Hokkaido, Japan.</t>
  </si>
  <si>
    <t>Yoshihiro.Nakayama@lowtem.hokudai.ac.jp</t>
  </si>
  <si>
    <t>Menemenlis, Dimitris/G-8091-2017; Dutrieux, Pierre/GVS-2890-2022; Nakayama, Yoshihiro/R-4325-2019; Torres, Héctor/GXG-1780-2022; Seroussi, Helene/AAX-5342-2021; Klein, Patrice/M-4279-2015; Rignot, Eric/A-4560-2014</t>
  </si>
  <si>
    <t>Menemenlis, Dimitris/0000-0001-9940-8409; Dutrieux, Pierre/0000-0002-8066-934X; Nakayama, Yoshihiro/0000-0001-6543-529X; Seroussi, Helene/0000-0001-9201-1644; Klein, Patrice/0000-0002-3089-3896; Rignot, Eric/0000-0002-3366-0481; Manucharyan, Georgy/0000-0001-7959-2675</t>
  </si>
  <si>
    <t>Japanese Ministry of Education, Culture, Sports, Science and Technology [19K23447]; Grants-in-Aid for Scientific Research [19K23447] Funding Source: KAKEN</t>
  </si>
  <si>
    <t>Japanese Ministry of Education, Culture, Sports, Science and Technology(Ministry of Education, Culture, Sports, Science and Technology, Japan (MEXT)); Grants-in-Aid for Scientific Research(Ministry of Education, Culture, Sports, Science and Technology, Japan (MEXT)Japan Society for the Promotion of ScienceGrants-in-Aid for Scientific Research (KAKENHI))</t>
  </si>
  <si>
    <t>The research was carried out at the Jet Propulsion Laboratory, California Institute of Technology, under a contract with the National Aeronautics and Space Administration (NASA). Support was provided by an appointment to the NASA Postdoctoral Program; the NASA Cryosphere program; and the NASA Modeling, Analysis, and Prediction program. Computations were carried out at the NASA Advanced Supercomputing facilities. This work was also supported by the fund from Grant in Aids for Scientific Research (19K23447) of the Japanese Ministry of Education, Culture, Sports, Science and Technology. We thank Peter Davis, Keith Nicholls, Karen Heywood, Ben Webber, Adrian Jenkins, David Shean, Susheel Adusumilli, Stan Jacobs for their support for finding and accessing observational datasets. We also thank the infection of Yoshihiro Nakayama's ear during his vacation to give him a great opportunity to work on this simulation.</t>
  </si>
  <si>
    <t>10.1038/s41598-019-53190-6</t>
  </si>
  <si>
    <t>JP1UE</t>
  </si>
  <si>
    <t>WOS:000498056300001</t>
  </si>
  <si>
    <t>Ogaki, MB; Coelho, LC; Vieira, R; Neto, AA; Zani, CL; Alves, TMA; Junior, PAS; Murta, SMF; Barbosa, EC; Oliveira, JG; Ceravolo, IP; Pereira, PO; Cota, BB; Viana, RO; Alves, VS; Rosa, LH</t>
  </si>
  <si>
    <t>Ogaki, Mayara B.; Coelho, Livia C.; Vieira, Rosemary; Neto, Arthur A.; Zani, Carlos L.; Alves, Tania M. A.; Junior, Policarpo A. S.; Murta, Silvane M. F.; Barbosa, Emerson C.; Oliveira, Jaquelline G.; Ceravolo, Isabela P.; Pereira, Patricia O.; Cota, Betania B.; Viana, Roberta O.; Alves, Viviane S.; Rosa, Luiz H.</t>
  </si>
  <si>
    <t>Cultivable fungi present in deep-sea sediments of Antarctica: taxonomy, diversity, and bioprospecting of bioactive compounds</t>
  </si>
  <si>
    <t>Antarctica; Bioprospecting; Marine fungi; Marine sediments</t>
  </si>
  <si>
    <t>ACID-DERIVATIVES; MARINE-SEDIMENTS; COMMUNITIES; METABOLITES; MACROALGAE; PRESSURE; ELEGANS; GROWTH</t>
  </si>
  <si>
    <t>We accessed the culturable mycobiota present in marine sediments at different depths in Antarctica Ocean. Acremonium fusidioides, Penicillium allii-sativi, Penicillium chrysogenum, Penicillium palitans, Penicillium solitum, and Pseudogymnoascus verrucosus were identified. Penicillium allii-sativi was the dominant species. At least one isolate of each species was capable to present antifungal, trypanocidal, leishmanicidal, antimalarial, nematocidal, or herbicidal activities. Penicillium produced extracts with strong trypanocidal and antimalarial activities, and the extracts of P. solitum and P. chrysogenum demonstrated strong antimalarial activities. Acremonium fusidioides and P. verrucosus displayed strong selective herbicidal properties. The H-1 NMR signals for extracts of A. fusidioides, P. chrysogenum, and P. solitum indicated the presence of highly functionalized secondary metabolites, which may be responsible for the biological activities detected. In the deep marine Antarctic sediments, we detected fungal assemblages in which the Penicillium species were found to be dominant and demonstrated capabilities to survive and/or colonise that poly-extreme habitat. Penicillium being a polyextremophile Antarctic species, exhibited strong biological activities and the presence of aromatic compounds in its extracts may indicate that they are wild ancient strains with high genetic and biochemical potentials that enable them to produce bioactive compounds which can be researched in further studies and used in the chemotherapy of neglected tropical diseases as well as in agriculture.</t>
  </si>
  <si>
    <t>[Ogaki, Mayara B.; Coelho, Livia C.; Viana, Roberta O.; Alves, Viviane S.; Rosa, Luiz H.] Univ Fed Minas Gerais, Dept Microbiol, BR-31270901 Belo Horizonte, MG, Brazil; [Vieira, Rosemary; Neto, Arthur A.] Univ Fed Fluminense, Inst Geociencias, Niteroi, RJ, Brazil; [Zani, Carlos L.; Alves, Tania M. A.; Junior, Policarpo A. S.; Murta, Silvane M. F.; Barbosa, Emerson C.; Oliveira, Jaquelline G.; Ceravolo, Isabela P.; Pereira, Patricia O.; Cota, Betania B.] FIOCRUZ Minas, Inst Rene Rachou, Belo Horizonte, MG, Brazil</t>
  </si>
  <si>
    <t>Universidade Federal de Minas Gerais; Universidade Federal Fluminense; Fundacao Oswaldo Cruz</t>
  </si>
  <si>
    <t>Rosa, LH (corresponding author), Univ Fed Minas Gerais, Dept Microbiol, BR-31270901 Belo Horizonte, MG, Brazil.</t>
  </si>
  <si>
    <t>throsa@icb.ufmg.br</t>
  </si>
  <si>
    <t>Cota, Betania/JZS-9618-2024; Ogaki, Mayara/AAE-3088-2021; Murta, Silvane Fonseca Murta/ABE-9410-2021; Zani, Carlos Leomar/ABE-3936-2021; Alves, Tania Maria A/B-4814-2009; Cota, Betania Barros/AAO-2753-2021</t>
  </si>
  <si>
    <t>Cota, Betania/0000-0002-0041-2043; Murta, Silvane Fonseca Murta/0000-0002-8523-2155; Cota, Betania Barros/0000-0002-0041-2043; Alves, Viviane/0000-0002-0625-6619; Vieira, Rosemary/0000-0003-0312-2890; Almeida Alves, Tania Maria/0000-0002-0582-3968; GERMANO de OLIVEIRA, JAQUELLINE/0000-0002-0487-8748</t>
  </si>
  <si>
    <t>CNPq [PROANTAR 442258/2018-6]; INCT Criosfera II; CNPq; FAPEMIG; FNDCT; Coordenacao de Aperfeicoamento de Pessoal de Nivel Superior-Brasil (CAPES) [001]; Programa de Posgraduacao em Ciencias da Saude, Fiocruz Minas (CAPES/PNPD)</t>
  </si>
  <si>
    <t>CNPq(Conselho Nacional de Desenvolvimento Cientifico e Tecnologico (CNPQ)); INCT Criosfera II; CNPq(Conselho Nacional de Desenvolvimento Cientifico e Tecnologico (CNPQ)); FAPEMIG(Fundacao de Amparo a Pesquisa do Estado de Minas Gerais (FAPEMIG)); FNDCT; Coordenacao de Aperfeicoamento de Pessoal de Nivel Superior-Brasil (CAPES)(Coordenacao de Aperfeicoamento de Pessoal de Nivel Superior (CAPES)); Programa de Posgraduacao em Ciencias da Saude, Fiocruz Minas (CAPES/PNPD)</t>
  </si>
  <si>
    <t>We acknowledge the financial support from CNPq PROANTAR 442258/2018-6, INCT Criosfera II, CNPq, FAPEMIG, and FNDCT. This study was financed in part by the Coordenacao de Aperfeicoamento de Pessoal de Nivel Superior-Brasil (CAPES)-Finance Code 001. We are thankful to the Laboratorio de Ressonancia Magnetica Nuclear de Alta Resolucao (LAREMAR/UFMG) and IS Lula for the NMR experiments. The authors thank the Program for Technological Development of Tools for Health-PDTIS-Fiocruz for use of its facilities (Bioprospection and Chagas disease-PlaBio Tc platforms). PASJ is research fellow supported by Programa de Posgraduacao em Ciencias da Saude, Fiocruz Minas (CAPES/PNPD).</t>
  </si>
  <si>
    <t>10.1007/s00792-019-01148-x</t>
  </si>
  <si>
    <t>WOS:000498035600001</t>
  </si>
  <si>
    <t>Michael, SA; Hayman, DTS; Gray, R; Zhang, J; Rogers, L; Roe, WD</t>
  </si>
  <si>
    <t>Michael, Sarah A.; Hayman, David T. S.; Gray, Rachael; Zhang, Ji; Rogers, Lynn; Roe, Wendi D.</t>
  </si>
  <si>
    <t>Pup mortality in New Zealand sea lions (Phocarctos hookeri) at Enderby Island, Auckland Islands, 2013-18</t>
  </si>
  <si>
    <t>STREPTOCOCCUS-HALICHOERI; KLEBSIELLA-PNEUMONIAE; PSYCHROBACTER-SANGUINIS; PATHOLOGICAL FINDINGS; AUSTRALIS-GRACILIS; GUAFO ISLAND; SANDY BAY; INFECTION; PHOCAE; PREVALENCE</t>
  </si>
  <si>
    <t>New Zealand sea lions (Phocarctos hookeri) are an endemic and endangered species. Pup mortality at Enderby Island (50.5 degrees S, 166.28 degrees E) in the New Zealand sub-Antarctic has been well studied, with subsequent investigations yielding more intricate detail of the causes of mortality, as new diagnostic methods become available. Klebsiella pneumoniae was first reported in 2001-02 at this site, causing a pup mortality epizootic and is now known to be present at several colonies. This bacterium is a common mucosal commensal of humans and animals, however the agent found in pups at necropsy is a hypervirulent strain, readily recognised in microbial culture as being hypermucoviscous. Infection causes septicaemia with a common syndrome of subsequent meningitis and polyarthritis. This investigation uses histopathology and microbiology, with new modalities such as matrix assisted laser desorption/ionisation-time of flight mass spectrometry to show that Klebsiella septicaemia could have historically been, and continues to be, the most important cause of pup mortality, but has been previously underrepresented due to the often cryptic presentation and sometimes peracute course of disease. Hypermucoviscous K. pneumoniae should be considered a serious threat to pup survival in the species, causing on average 60.2% of pup deaths annually at Enderby Island between 2013 and 2018, with likely more continuing mortality following pup dispersal and the cessation of the summer monitoring season. Less common causes of death included starvation (14.8%), trauma/asphyxiation (9.9%) and other infections (7%). This study forms the basis for further evaluation of risk factors for pup mortality in the species, with a view to developing active mitigation.</t>
  </si>
  <si>
    <t>[Michael, Sarah A.; Gray, Rachael] Univ Sydney, Sydney Sch Vet Sci, Camperdown, NSW, Australia; [Michael, Sarah A.; Roe, Wendi D.] Massey Univ, Sch Vet Sci, Palmerston North, New Zealand; [Hayman, David T. S.; Zhang, Ji; Rogers, Lynn] Massey Univ, Hopkirk Res Inst, Mol Epidemiol &amp; Publ Hlth Lab, Palmerston North, New Zealand; [Michael, Sarah A.] Dept Primary Ind Pk Water &amp; Environm, Hobart, Tas, Australia</t>
  </si>
  <si>
    <t>University of Sydney; Massey University; Massey University</t>
  </si>
  <si>
    <t>Michael, SA (corresponding author), Univ Sydney, Sydney Sch Vet Sci, Camperdown, NSW, Australia.;Michael, SA (corresponding author), Massey Univ, Sch Vet Sci, Palmerston North, New Zealand.;Michael, SA (corresponding author), Dept Primary Ind Pk Water &amp; Environm, Hobart, Tas, Australia.</t>
  </si>
  <si>
    <t>sarah.a.michael@gmail.com</t>
  </si>
  <si>
    <t>roe, wendi d/K-4110-2012; Fuentes, José/JZT-9323-2024</t>
  </si>
  <si>
    <t>Michael, Sarah/0000-0002-7176-0774; Hayman, David/0000-0003-0087-3015; Zhang, Ji/0000-0003-2582-2978</t>
  </si>
  <si>
    <t>New Zealand Department of Conservation; Massey University; Research Training Program [SC1999]; University of Sydney [SC0912]; Royal Society Te Aparangi Rutherford Discovery Fellowship [RDF-MAU1701]</t>
  </si>
  <si>
    <t>New Zealand Department of Conservation; Massey University; Research Training Program; University of Sydney(University of Sydney); Royal Society Te Aparangi Rutherford Discovery Fellowship(Royal Society of New Zealand)</t>
  </si>
  <si>
    <t>This study was funded by the New Zealand Department of Conservation and Massey University. S. A. M was supported by a Research Training Program Stipend (SC1999) and a University of Sydney Vice-Chancellor's Research Scholarship (SC0912). D. T. S. H was supported by the Royal Society Te Aparangi Rutherford Discovery Fellowship (RDF-MAU1701). The funders had no role in study design, data collection and analysis, decision to publish, or preparation of the manuscript.</t>
  </si>
  <si>
    <t>NOV 21</t>
  </si>
  <si>
    <t>e0225461</t>
  </si>
  <si>
    <t>10.1371/journal.pone.0225461</t>
  </si>
  <si>
    <t>LO8PC</t>
  </si>
  <si>
    <t>WOS:000533886900066</t>
  </si>
  <si>
    <t>Espinasse, B; Pakhomov, EA; Hunt, BPV; Bury, SJ</t>
  </si>
  <si>
    <t>Espinasse, B.; Pakhomov, E. A.; Hunt, B. P., V; Bury, S. J.</t>
  </si>
  <si>
    <t>Latitudinal gradient consistency in carbon and nitrogen stable isotopes of particulate organic matter in the Southern Ocean</t>
  </si>
  <si>
    <t>delta C-13 and delta N-15; POM; Ice edge; Antarctic divergence; Isoscapes</t>
  </si>
  <si>
    <t>EASTERN ATLANTIC SECTOR; AUSTRAL SUMMER 1993; MARGINAL ICE-ZONE; INDIAN-OCEAN; SUBTROPICAL CONVERGENCE; ZOOPLANKTON STRUCTURE; DELTA-N-15 VARIATIONS; PLANKTON DELTA-C-13; MARINE PLANKTON; SURFACE WATERS</t>
  </si>
  <si>
    <t>The Southern Ocean is characterized by strong latitudinal gradients that delimit areas which differ in terms of hydrological properties and production dynamics. Stable isotope values of carbon (delta C-13) and nitrogen (delta N-15) of surface particulate organic matter (POM) collected along a repeated transect between Cape Town and the Antarctic continent in the Atlantic sector of the Southern Ocean during summer 2005/06, fall 2004 and winter 2006 were analyzed to investigate their seasonal variability. In addition, published transect data collected in other sectors of the Southern Ocean were compiled for a wider spatio-temporal study of the POM stable isotope patterns. Combined delta C-13 and delta N-15 values of POM appeared to be an effective tool for identifying circum-Antarctic, latitudinally arranged areas with specific water mass characteristics and separated by the major frontal systems. Furthermore, POM delta C-13 values showed year-around consistency. We identified a few mechanisms that should be taken into account to effectively model carbon and nitrogen isoscapes in the studied area. The average level of primary productivity needs to be known to explain slightly higher delta C-13 values occurring in the Atlantic sector between the Subantarctic and Antarctic Polar Fronts. In addition, delta C-13 and delta N-15 values were highly variable in the marginal ice zone, especially at the ice edge and in the middle of the Weddell gyre. Processes linked to ice dynamics and upwelling explained some of the outlying values, especially for delta N-15. Improved comprehension of the main mechanisms driving changes in POM stable isotopes will enable satellite products to be used as predictors to model realistic isoscapes on the scale of the Southern Ocean over different temporal scales.</t>
  </si>
  <si>
    <t>[Espinasse, B.; Pakhomov, E. A.; Hunt, B. P., V] Univ British Columbia, Dept Earth Ocean &amp; Atmospher Sci, 2020-2207 Main Mall, Vancouver, BC V6T 1Z4, Canada; [Espinasse, B.; Pakhomov, E. A.; Hunt, B. P., V] Univ British Columbia, Inst Oceans &amp; Fisheries, AERL, 2202 Main Mall, Vancouver, BC V6T 1Z4, Canada; [Pakhomov, E. A.; Hunt, B. P., V] Hakai Inst, POB 309, Heriot Bay, BC V0P 1H0, Canada; [Bury, S. J.] Natl Inst Water &amp; Atmospher Res Ltd NIWA, 301 Evans Bay Parade, Wellington 6021, New Zealand</t>
  </si>
  <si>
    <t>University of British Columbia; University of British Columbia; Hakai Institute; National Institute of Water &amp; Atmospheric Research (NIWA) - New Zealand</t>
  </si>
  <si>
    <t>Espinasse, B (corresponding author), Univ British Columbia, Dept Earth Ocean &amp; Atmospher Sci, 2020-2207 Main Mall, Vancouver, BC V6T 1Z4, Canada.;Espinasse, B (corresponding author), Univ British Columbia, Inst Oceans &amp; Fisheries, AERL, 2202 Main Mall, Vancouver, BC V6T 1Z4, Canada.</t>
  </si>
  <si>
    <t>boris.espinasse@laposte.net</t>
  </si>
  <si>
    <t>Espinasse, Boris/AAE-1435-2022; Bury, Sarah/JLN-0810-2023; Espinasse, Boris/AFS-7849-2022</t>
  </si>
  <si>
    <t>Espinasse, Boris/0000-0002-7490-5588</t>
  </si>
  <si>
    <t>German LAKRIS Project (Bundesministerium fur Bildung und Forschung, BMBF Forschungsvorhaben) [03F0406A/B]; Alfred Wegener Institute for Polar and Marine Research (Germany); Alexander von Humboldt Foundation (Germany); Land Information New Zealand (LINZ) Ocean Survey 2020 (OS2020); Australian Antarctic Division (AAD); Ministry of Business Innovation and Employment (MBIE); Ministry of Primary Industries (MPI) (New Zealand); University of British Columbia (Canada); National Institute Water &amp; Atmospheric Research (NIWA) (New Zealand); Antarctica New Zealand</t>
  </si>
  <si>
    <t>German LAKRIS Project (Bundesministerium fur Bildung und Forschung, BMBF Forschungsvorhaben)(Federal Ministry of Education &amp; Research (BMBF)); Alfred Wegener Institute for Polar and Marine Research (Germany); Alexander von Humboldt Foundation (Germany)(Alexander von Humboldt Foundation); Land Information New Zealand (LINZ) Ocean Survey 2020 (OS2020); Australian Antarctic Division (AAD); Ministry of Business Innovation and Employment (MBIE)(New Zealand Ministry of Business, Innovation and Employment (MBIE)); Ministry of Primary Industries (MPI) (New Zealand); University of British Columbia (Canada); National Institute Water &amp; Atmospheric Research (NIWA) (New Zealand); Antarctica New Zealand</t>
  </si>
  <si>
    <t>Sven Kaehler had contributed to the discussions in this paper, particularly in the interpretation of `Polarstern' data. Sadly, during the lengthy evolution of this manuscript, Sven passed away. With this paper, we acknowledge his scientific integrity, brilliant thinking and unconditional friendship. We thank the captains and crew of the R/V `Polarstern' for enabling us to complete the sampling program as well as M. Brener and L. Gurney for assistance with sample collection. During the `Polarstern' voyages, we were privileged to work with Uli Bathmann as the Chief Scientist, who always supported the unplanned work. The surveys were financially supported by the German LAKRIS Project (Bundesministerium fur Bildung und Forschung, BMBF Forschungsvorhaben 03F0406A/B), University of British Columbia (Canada), Alfred Wegener Institute for Polar and Marine Research (Germany), the Alexander von Humboldt Foundation (Germany), National Institute Water &amp; Atmospheric Research (NIWA) (New Zealand), Land Information New Zealand (LINZ) Ocean Survey 2020 (OS2020), Antarctica New Zealand, Australian Antarctic Division (AAD), and Ministry of Business Innovation and Employment (MBIE) and Ministry of Primary Industries (MPI) (New Zealand).</t>
  </si>
  <si>
    <t>10.3354/meps13137</t>
  </si>
  <si>
    <t>KW4ZJ</t>
  </si>
  <si>
    <t>WOS:000521174300002</t>
  </si>
  <si>
    <t>Bittencourt, GD; Pinheiro, DK; Bageston, JV; Bencherif, H; Steffenel, LA; Peres, LV</t>
  </si>
  <si>
    <t>Bittencourt, Gabriela Dornelles; Pinheiro, Damaris Kirsch; Bageston, Jose Valentin; Bencherif, Hassan; Steffenel, Luis Angelo; Peres, Lucas Vaz</t>
  </si>
  <si>
    <t>Investigation of the behavior of the atmospheric dynamics during occurrences of the ozone hole's secondary effect in southern Brazil</t>
  </si>
  <si>
    <t>ANNALES GEOPHYSICAE</t>
  </si>
  <si>
    <t>TRANSPORT; DEPLETION; LAYER</t>
  </si>
  <si>
    <t>The Antarctic ozone hole (AOH) directly influences the Antarctic region, where its levels can reach values below 220 DU. The temporary depletion of ozone in Antarctica generally occurs between the beginning and middle of August, during the austral spring, and extends to November, when a temporary reduction in ozone content is observed in a large region over the Antarctic continent. However, masses of ozone-depleted air can break away from the ozone hole and reach mid-latitude regions in a phenomenon known as the secondary effect of the Antarctic ozone hole. The objective of this paper is to show how atmospheric dynamics behave during the occurrence of this type of event, especially in mid-latitude regions, such as southern Brazil, over a 12-year observation period. For the analysis and identification of the events of influence of the AOH on the southern region of Brazil, data from the total ozone column were used from ground-based and satellite experiments, the Brewer Spectrophotometer (MkIII no. 167), and the Ozone Monitoring Instrument (OMI) on the Aura satellite. For the analysis of the stratospheric and tropospheric fields, the ECMWF reanalysis products were used. Thus, 37 events of influence of the AOH that reached the southern region of Brazil were identified for the study period (2006-2017), where the events showed that in approximately 70% of the cases they occurred after the passage of frontal systems and/or atmospheric blocks over southern Brazil. In addition, the statistical analysis showed a strong influence of the jet stream on mid-latitude regions during the events. Among the 37 identified events, 92% occurred in the presence of the subtropical and/or polar jet stream over the region of study, possibly explaining the exchange of air masses of ozone deficient in the upper troposphere-lower stratosphere (UT-LS) region.</t>
  </si>
  <si>
    <t>[Bittencourt, Gabriela Dornelles; Pinheiro, Damaris Kirsch] Univ Fed Santa Maria, Santa Maria, RS, Brazil; [Bageston, Jose Valentin] Natl Inst Space Res, Southern Reg Space Res Ctr, Santa Maria, RS, Brazil; [Bencherif, Hassan] Univ Reunion Isl, LACy, UMR 8105, St Denis, Reunion, France; [Steffenel, Luis Angelo] Univ Reims, STIC, Ctr Rech, Reims, France; [Peres, Lucas Vaz] Fed Univ Western Para, Santarem, PA, Brazil; [Bencherif, Hassan] Univ KwaZulu Natal, Sch Chem &amp; Phys, Durban, South Africa</t>
  </si>
  <si>
    <t>Universidade Federal de Santa Maria (UFSM); Instituto Nacional de Pesquisas Espaciais (INPE); Centre National de la Recherche Scientifique (CNRS); CNRS - National Institute for Earth Sciences &amp; Astronomy (INSU); University of La Reunion; Universite de Reims Champagne-Ardenne; Universidade Federal do Oeste do Para; University of Kwazulu Natal</t>
  </si>
  <si>
    <t>Bittencourt, GD (corresponding author), Univ Fed Santa Maria, Santa Maria, RS, Brazil.</t>
  </si>
  <si>
    <t>gadornellesbittencourt@gmail.com</t>
  </si>
  <si>
    <t>Bageston, Jose Valentin/F-1269-2018; Pinheiro, Damaris Kirsch/AAE-6120-2020; Steffenel, Luiz Angelo/AAE-4573-2020</t>
  </si>
  <si>
    <t>Pinheiro, Damaris Kirsch/0000-0001-6939-7091; Steffenel, Luiz Angelo/0000-0003-3670-4088; Bageston, Jose V/0000-0003-2931-8488</t>
  </si>
  <si>
    <t>CAPES [88882.428275/2019-01]; CAPES/COFECUB [88887.350072/2019-00]</t>
  </si>
  <si>
    <t>CAPES(Coordenacao de Aperfeicoamento de Pessoal de Nivel Superior (CAPES)); CAPES/COFECUB(Coordenacao de Aperfeicoamento de Pessoal de Nivel Superior (CAPES))</t>
  </si>
  <si>
    <t>This research was supported by CAPES (process no. 88882.428275/2019-01) and CAPES/COFECUB (case no. 88887.350072/2019-00).</t>
  </si>
  <si>
    <t>0992-7689</t>
  </si>
  <si>
    <t>1432-0576</t>
  </si>
  <si>
    <t>ANN GEOPHYS-GERMANY</t>
  </si>
  <si>
    <t>Ann. Geophys.</t>
  </si>
  <si>
    <t>10.5194/angeo-37-1049-2019</t>
  </si>
  <si>
    <t>Astronomy &amp; Astrophysics; Geosciences, Multidisciplinary; Meteorology &amp; Atmospheric Sciences</t>
  </si>
  <si>
    <t>Astronomy &amp; Astrophysics; Geology; Meteorology &amp; Atmospheric Sciences</t>
  </si>
  <si>
    <t>JQ2RP</t>
  </si>
  <si>
    <t>WOS:000498798400001</t>
  </si>
  <si>
    <t>Wespes, C; Hurtmans, D; Chabrillat, S; Ronsmans, G; Clerbaux, C; Coheur, PF</t>
  </si>
  <si>
    <t>Wespes, Catherine; Hurtmans, Daniel; Chabrillat, Simon; Ronsmans, Gaetane; Clerbaux, Cathy; Coheur, Pierre-Francois</t>
  </si>
  <si>
    <t>Is the recovery of stratospheric O3 speeding up in the Southern Hemisphere? An evaluation from the first IASI decadal record (2008-2017)</t>
  </si>
  <si>
    <t>TROPICAL LOWER STRATOSPHERE; NORTH-ATLANTIC OSCILLATION; PINATUBO VOLCANIC AEROSOL; MIDLATITUDE OZONE TRENDS; CHEMISTRY-CLIMATE MODEL; ANTARCTIC OZONE; SAGE-II; VERTICAL-DISTRIBUTION; LONG-TERM; DYNAMICAL CONTRIBUTIONS</t>
  </si>
  <si>
    <t>In this paper, we present the global fingerprint of recent changes in middle-upper stratosphere (MUSt; &lt; 25 hPa) ozone (O-3) in comparison with lower stratosphere (LSt; 150-25 hPa) O-3 derived from the first 10 years of the IASI/Metop-A satellite measurements (January 2008-December 2017). The IASI instrument provides vertically resolved O-3 profiles with very high spatial and temporal (twice daily) samplings, allowing O-3 changes to be monitored in these two regions of the stratosphere. By applying multivariate regression models with adapted geophysical proxies on daily mean O-3 time series, we discriminate anthropogenic trends from various modes of natural variability, such as the El Nino-Southern Oscillation (ENSO). The representativeness of the O-3 response to its natural drivers is first examined. One important finding relies on a pronounced contrast between a positive LSt O-3 response to ENSO in the extratropics and a negative one in the tropics, with a delay of 3 months, which supports a stratospheric pathway for the ENSO influence on lower stratospheric and tropospheric O-3. In terms of trends, we find an unequivocal O-3 recovery from the available period of measurements in winter-spring at middle to high latitudes for the two stratospheric layers sounded by IASI (&gt;similar to 35 degrees N-S in the MUSt and &gt;similar to 45 degrees S in the LSt) as well as in the total columns at southern latitudes (&gt;similar to 45 degrees S) where the increase reaches its maximum. These results confirm the effectiveness of the Montreal Protocol and its amendments and represent the first detection of a significant recovery of O-3 concurrently in the lower, in the middle-upper stratosphere and in the total column from one single satellite dataset. A significant decline in O3 at northern mid-latitudes in the LSt is also detected, especially in winter-spring of the Northern Hemisphere. Given counteracting trends in the LSt and MUSt at these latitudes, the decline is not categorical in total O3. When freezing the regression coefficients determined for each natural driver over the whole IASI period but adjusting a trend, we calculate a significant speeding up in the O-3 response to the decline of O-3-depleting substances (ODSs) in the total column, in the LSt and, to a lesser extent, in the MUSt, at high southern latitudes over the year. Results also show a small significant acceleration of the O-3 decline at northern mid-latitudes in the LSt and in the total column over the last few years. That, specifically, needs urgent investigation to identify its exact origin and apprehend its impact on climate change. Additional years of IASI measurements would, however, be required to confirm the O-3 change rates observed in the stratospheric layers over the last few years.</t>
  </si>
  <si>
    <t>[Wespes, Catherine; Hurtmans, Daniel; Ronsmans, Gaetane; Clerbaux, Cathy; Coheur, Pierre-Francois] Univ Libre Bruxelles, Fac Sci, Chim Quant &amp; Photophys, Brussels, Belgium; [Chabrillat, Simon] Belgian Inst Space Aeron, Brussels, Belgium; [Clerbaux, Cathy] Sorbonne Univ, UVSQ, CNRS, LATMOS IPSL, Paris, France</t>
  </si>
  <si>
    <t>Universite Libre de Bruxelles; Sorbonne Universite; Universite Paris Saclay; Universite Paris Cite; Centre National de la Recherche Scientifique (CNRS)</t>
  </si>
  <si>
    <t>Wespes, C (corresponding author), Univ Libre Bruxelles, Fac Sci, Chim Quant &amp; Photophys, Brussels, Belgium.</t>
  </si>
  <si>
    <t>cwespes@ulb.ac.be</t>
  </si>
  <si>
    <t>Chabrillat, Simon/AAM-7850-2020</t>
  </si>
  <si>
    <t>Chabrillat, Simon/0000-0003-4378-1567</t>
  </si>
  <si>
    <t>ESA O3-CCI project; Copernicus O3-C3S project; AC SAF project; Belgian State Federal Office for Scientific, Technical and Cultural Affairs; European Space Agency (ESA Prodex IASI Flow); European Space Agency (ESA B-AC SAF)</t>
  </si>
  <si>
    <t>IASI has been developed and built under the responsibility of the Centre National d'Etudes Spatiales (CNES, France). It is flown on board the Metop satellites as part of the EU-METSAT Polar System. The IASI L1 data are received through the EUMETCast near real time data distribution service. We acknowledge the financial support from the ESA O3-CCI and Copernicus O3-C3S projects. FORLI-O3 is being implemented at Eumetsat with the support of the AC SAF project. The research in Belgium is also funded by the Belgian State Federal Office for Scientific, Technical and Cultural Affairs and the European Space Agency (ESA Prodex IASI Flow and B-AC SAF). We acknowledge Ingo Wohltmann (Alfred Wagner Institute, Postdam, Germany) as well as Beiping Luo (Institute for Atmosphere and Climate, ETH Zurich, Switzerland) and Larry Thomason (NASA Langley Research Center, Hampton, USA), for processing and providing datasets of volume of polar stratospheric clouds and of sulfuric acid extinction coefficients, respectively. We are also grateful to Maxime Prignon (Universite de Liege, Liege, Belgium) for providing several years of BASCOE simulations.</t>
  </si>
  <si>
    <t>10.5194/acp-19-14031-2019</t>
  </si>
  <si>
    <t>JQ2RD</t>
  </si>
  <si>
    <t>WOS:000498797200003</t>
  </si>
  <si>
    <t>Gokani, SA; Kosch, M; Clilverd, M; Rodger, CJ; Sinha, AK</t>
  </si>
  <si>
    <t>Gokani, Sneha A.; Kosch, Mike; Clilverd, Mark; Rodger, Craig J.; Sinha, Ashwini K.</t>
  </si>
  <si>
    <t>What Fraction of the Outer Radiation Belt Relativistic Electron Flux at L ≈ 3-4.5 Was Lost to the Atmosphere During the Dropout Event of the St. Patrick's Day Storm of 2015?</t>
  </si>
  <si>
    <t>PITCH-ANGLE DISTRIBUTIONS; ION-CYCLOTRON WAVES; GEOMAGNETIC STORMS; MAGNETIC STORM; ACCELERATION; PRECIPITATION; MARCH; MAGNETOSPHERE; PROPAGATION; MECHANISMS</t>
  </si>
  <si>
    <t>Observations of relativistic energetic electron fluxes in the outer radiation belt can show dropouts, that is, sudden electron flux depletions during the main phase of a geomagnetic storm. Many recent studies show that these dropouts typically involve a true loss of particles, that is, nonadiabatic losses in nature. Precipitation into the atmosphere of relativistic electrons driven into the bounce loss cone, through wave-particle interactions, is envisaged as one of the primary loss mechanisms. Such precipitation can be studied using ground-based observations such as VLF narrowband radio waves, due to the deposition of energy into the lower ionospheric D-region, thereby modifying the subionospheric waveguide. The present study focuses on the dropout event observed during the St. Patrick's Day storm of March 2015. Perturbations lasting several hours were observed in the received VLF amplitude and phase of the NAA transmitter signal measured at Seattle and Edmonton and the NML transmitter signal received at St. John's and Edmonton. All these L approximate to 3-4.5 paths were located on the nightside of the Earth during dropout phase of the storm. Observations of relativistic electron characteristics from Van Allen Probes, and ionospheric perturbation characterization from VLF radio waves, are used to calculate that during the time interval of the dropout event, &lt;0.5% of the relativistic fluxes involved in the dropout event were lost to the atmosphere. This leads to the conclusion that relativistic electron precipitation was not the major contributor to the observed dropout event at L approximate to 4 that occurred during the St. Patrick's Day storm of March 2015.</t>
  </si>
  <si>
    <t>[Gokani, Sneha A.; Sinha, Ashwini K.] Indian Inst Geomagnetism, Geophys Studies Polar Reg, New Panvel, Navi Mumbai, India; [Gokani, Sneha A.] Tongji Univ, State Key Lab Marine Geol, Shanghai, Peoples R China; [Gokani, Sneha A.] Tongji Univ, Sch Ocean &amp; Earth Sci, Shanghai, Peoples R China; [Kosch, Mike] South African Natl Space Agcy, Hermanus, South Africa; [Kosch, Mike] Univ Lancaster, Dept Phys, Lancaster, England; [Kosch, Mike] Univ Western Cape, Dept Phys &amp; Astron, Bellville, South Africa; [Clilverd, Mark] British Antarctic Survey, Cambridge, England; [Rodger, Craig J.] Univ Otago, Dept Phys, Dunedin, New Zealand</t>
  </si>
  <si>
    <t>Department of Science &amp; Technology (India); Indian Institute of Geomagnetism (IIG); Tongji University; Tongji University; Lancaster University; University of the Western Cape; UK Research &amp; Innovation (UKRI); Natural Environment Research Council (NERC); NERC British Antarctic Survey; University of Otago</t>
  </si>
  <si>
    <t>Gokani, SA (corresponding author), Indian Inst Geomagnetism, Geophys Studies Polar Reg, New Panvel, Navi Mumbai, India.;Gokani, SA (corresponding author), Tongji Univ, State Key Lab Marine Geol, Shanghai, Peoples R China.</t>
  </si>
  <si>
    <t>gokanisneha@gmail.com</t>
  </si>
  <si>
    <t>Rodger, Craig/A-1501-2011</t>
  </si>
  <si>
    <t>Rodger, Craig J./0000-0002-6770-2707; Kosch, Michael Jurgen/0000-0003-2846-3915; Sinha, Ashwini Kumar/0000-0003-1329-6579</t>
  </si>
  <si>
    <t>Tongji University; IIG; Natural Environment Research Council (UKRI-NERC) [NE/P01738X/1]; Royal Society Newton Fund International exchanges award 2015; NERC [bas0100031, NE/P01738X/1] Funding Source: UKRI</t>
  </si>
  <si>
    <t>Tongji University; IIG; Natural Environment Research Council (UKRI-NERC); Royal Society Newton Fund International exchanges award 2015(Royal Society); NERC(UK Research &amp; Innovation (UKRI)Natural Environment Research Council (NERC))</t>
  </si>
  <si>
    <t>SAG benefited from the SCOSTEP Visiting Scholar Program, under which she visited South African National Space Agency (SANSA), South Africa, where this research was initiated. SAG would like to thank Tongji University for the postdoctoral fund. SAG also thanks Claudia Martinez (ISEE, Nagoya University) for her timely technical help. Authors from Indian Institute of Geomagnetism (IIG) are grateful to Director, IIG, for support and encouragement to carry out the work. We thank ACE, Wind, and OMNIWeb (https://omniweb.gsfc.nasa.gov/form/dx1.html) teams for providing solar wind data. We acknowledge the RBSP data providers J. Bernard Blake (The Aerospace Corporation) and D. Baker (University of Colorado at Boulder). This data can be found on CDAWeb (https://cdaweb.sci.gsfc.nasa.gov/). The subionospheric VLF data can be found at the Polar Data Centre (http://psddb.data/data/access/coverage.php?menu=1,7&amp;bc=1&amp;source= 1&amp;class=232&amp;type=ULTRA). The authors would also like to acknowledge useful discussions with Alyson Jaynes regarding the RBSP data analysis. MAC would like to acknowledge grant sponsored from the Natural Environment Research Council (UKRI-NERC) Highlight Topic grant number NE/P01738X/1 (Rad-Sat) and the Royal Society Newton Fund International exchanges award 2015.</t>
  </si>
  <si>
    <t>10.1029/2018JA026278</t>
  </si>
  <si>
    <t>WOS:000497605200001</t>
  </si>
  <si>
    <t>Smith, AW; Freeman, MP; Rae, IJ; Forsyth, C</t>
  </si>
  <si>
    <t>Smith, A. W.; Freeman, M. P.; Rae, I. J.; Forsyth, C.</t>
  </si>
  <si>
    <t>The Influence of Sudden Commencements on the Rate of Change of the Surface Horizontal Magnetic Field in the United Kingdom</t>
  </si>
  <si>
    <t>GEOMAGNETICALLY INDUCED CURRENTS; COROTATING INTERACTION REGIONS; 29-31 OCTOBER 2003; INTERPLANETARY SHOCKS; HYDRO-QUEBEC; STORM; DISTURBANCES; SYSTEMS; CONDUCTIVITY; SIMULATION</t>
  </si>
  <si>
    <t>Sudden commencements (SCs) are rapid increases in the northward component of the surface geomagnetic field, related to sharp increases in the dynamic pressure of the solar wind. Large rates of change of the geomagnetic field can induce damaging currents in ground power networks. In this work, the effect of SCs on the (1 min) rate of change of the surface magnetic field (R) at three U.K. stations is investigated. The distributions of R during SCs are shifted to higher values than the data set as a whole. Rates of change greater than 10 nT/min are 30-100 times more likely during SCs, though less than 8% of the most extreme R (&gt;= 99.99th percentile) are observed during SCs. SCs may also precede geomagnetic storms, another potential source of large R. We find that the probability of observing large a R is greatly enhanced for 3 days following an SC. In the 24 hr following an SC it is 10 times more likely than at any given time to observe rates of change between 10 and several hundred nT/min. Additionally, between 90% and 94% of data (depending on station) above the 99.97th percentile is recorded within 3 days of an SC. All values of R &gt;= 200 nT/min in the United Kingdom have been observed within 3 days of an SC. These results suggest that accurately predicting SCs is critically important to identify intervals during which power networks at similar geomagnetic latitudes to the United Kingdom are at risk from large geomagnetically induced currents.</t>
  </si>
  <si>
    <t>[Smith, A. W.; Rae, I. J.; Forsyth, C.] UCL, Mullard Space Sci Lab, Dorking, Surrey, England; [Freeman, M. P.] British Antarctic Survey, Cambridge, England</t>
  </si>
  <si>
    <t>University of London; University College London; UK Research &amp; Innovation (UKRI); Natural Environment Research Council (NERC); NERC British Antarctic Survey</t>
  </si>
  <si>
    <t>Smith, AW (corresponding author), UCL, Mullard Space Sci Lab, Dorking, Surrey, England.</t>
  </si>
  <si>
    <t>andy.w.smith@ucl.ac.uk</t>
  </si>
  <si>
    <t>Rae, Jonathan/D-8132-2013; Smith, Andy/AAT-7849-2020; Freeman, Mervyn/E-5687-2019; Forsyth, Colin/E-4159-2010</t>
  </si>
  <si>
    <t>Rae, Jonathan/0000-0002-2637-4786; Smith, Andy/0000-0001-7321-4331; Freeman, Mervyn/0000-0002-8653-8279; Forsyth, Colin/0000-0002-0026-8395</t>
  </si>
  <si>
    <t>STFC [ST/S000240/1]; NERC [NE/P017150/1, NE/N014480/1, NE/P016693/1]; NERC [bas0100031, NE/N014480/1] Funding Source: UKRI</t>
  </si>
  <si>
    <t>STFC(UK Research &amp; Innovation (UKRI)Science &amp; Technology Facilities Council (STFC)); NERC(UK Research &amp; Innovation (UKRI)Natural Environment Research Council (NERC)); NERC(UK Research &amp; Innovation (UKRI)Natural Environment Research Council (NERC))</t>
  </si>
  <si>
    <t>The magnetometer data used in this study were collected at the Hartland, Eskdalemuir, and Lerwick observatories. We thank the British Geological Survey for supporting their operation and INTERMAGNET for promoting high standards of magnetic observatory practice. The data were downloaded from www.intermagnet.org and are freely available there. We acknowledge and thank NASA GSFC's Space Physics Data Facility's OMNIWeb (or CDAWeb or ftp) service for the use of OMNI data (https://omniweb.gsfc.nasa.gov). The results presented in the paper also rely on the SC list made available by the International Service on Rapid Magnetic Variations (http://www.obsebre.es/en/rapid) and published by the Observatorio de l'Ebre in association with the International Association of Geomagnetism and Aeronomy (IAGA) and the International Service of Geomagnetic Indices (ISGI). We thank the involved national institutes, the INTERMAGNET network and the ISGI. A. W. S. and I. J. R. were supported by STFC Consolidated Grant ST/S000240/1 and NERC Grant NE/P017150/1. C. F. was supported by the NERC Independent Research Fellowship NE/N014480/1 and STFC Consolidated Grant ST/S000240/1. M. P. F. was supported by NERC Grant NE/P016693/1. The analysis in this paper was performed using python, including the pandas, numpy, scipy, and matplotlib libraries.</t>
  </si>
  <si>
    <t>10.1029/2019SW002281</t>
  </si>
  <si>
    <t>QV3EB</t>
  </si>
  <si>
    <t>Green Published, Green Accepted, hybrid</t>
  </si>
  <si>
    <t>WOS:000497778600001</t>
  </si>
  <si>
    <t>Held, IM; Guo, H; Adcroft, A; Dunne, JP; Horowitz, LW; Krasting, J; Shevliakova, E; Winton, M; Zhao, M; Bushuk, M; Wittenberg, AT; Wyman, B; Xiang, B; Zhang, R; Anderson, W; Balaji, V; Donner, L; Dunne, K; Durachta, J; Gauthier, PPG; Ginoux, P; Golaz, JC; Griffies, SM; Hallberg, R; Harris, L; Harrison, M; Hurlin, W; John, J; Lin, P; Lin, SJ; Malyshev, S; Menzel, R; Milly, PCD; Ming, Y; Naik, V; Paynter, D; Paulot, F; Rammaswamy, V; Reichl, B; Robinson, T; Rosati, A; Seman, C; Silvers, LG; Underwood, S; Zadeh, N</t>
  </si>
  <si>
    <t>Held, I. M.; Guo, H.; Adcroft, A.; Dunne, J. P.; Horowitz, L. W.; Krasting, J.; Shevliakova, E.; Winton, M.; Zhao, M.; Bushuk, M.; Wittenberg, A. T.; Wyman, B.; Xiang, B.; Zhang, R.; Anderson, W.; Balaji, V.; Donner, L.; Dunne, K.; Durachta, J.; Gauthier, P. P. G.; Ginoux, P.; Golaz, J. -C.; Griffies, S. M.; Hallberg, R.; Harris, L.; Harrison, M.; Hurlin, W.; John, J.; Lin, P.; Lin, S. -J.; Malyshev, S.; Menzel, R.; Milly, P. C. D.; Ming, Y.; Naik, V.; Paynter, D.; Paulot, F.; Rammaswamy, V.; Reichl, B.; Robinson, T.; Rosati, A.; Seman, C.; Silvers, L. G.; Underwood, S.; Zadeh, N.</t>
  </si>
  <si>
    <t>Structure and Performance of GFDL's CM4.0 Climate Model</t>
  </si>
  <si>
    <t>coupled; climate; model; GFDL; CMIP6; CM4</t>
  </si>
  <si>
    <t>ARCTIC SEA-ICE; MERIDIONAL OVERTURNING CIRCULATION; NORTH-ATLANTIC SIMULATIONS; LOW-FREQUENCY VARIABILITY; PART I; SURFACE TEMPERATURE; GLOBAL ATMOSPHERE; OCEAN CONVECTION; AMOC VARIABILITY; IMPACT</t>
  </si>
  <si>
    <t>We describe the Geophysical Fluid Dynamics Laboratory's CM4.0 physical climate model, with emphasis on those aspects that may be of particular importance to users of this model and its simulations. The model is built with the AM4.0/LM4.0 atmosphere/land model and OM4.0 ocean model. Topics include the rationale for key choices made in the model formulation, the stability as well as drift of the preindustrial control simulation, and comparison of key aspects of the historical simulations with observations from recent decades. Notable achievements include the relatively small biases in seasonal spatial patterns of top-of-atmosphere fluxes, surface temperature, and precipitation; reduced double Intertropical Convergence Zone bias; dramatically improved representation of ocean boundary currents; a high-quality simulation of climatological Arctic sea ice extent and its recent decline; and excellent simulation of the El Nino-Southern Oscillation spectrum and structure. Areas of concern include inadequate deep convection in the Nordic Seas; an inaccurate Antarctic sea ice simulation; precipitation and wind composites still affected by the equatorial cold tongue bias; muted variability in the Atlantic Meridional Overturning Circulation; strong 100 year quasiperiodicity in Southern Ocean ventilation; and a lack of historical warming before 1990 and too rapid warming thereafter due to high climate sensitivity and strong aerosol forcing, in contrast to the observational record. Overall, CM4.0 scores very well in its fidelity against observations compared to the Coupled Model Intercomparison Project Phase 5 generation in terms of both mean state and modes of variability and should prove a valuable new addition for analysis across a broad array of applications.</t>
  </si>
  <si>
    <t>[Held, I. M.; Horowitz, L. W.; Zhang, R.; Griffies, S. M.; Hallberg, R.; Rammaswamy, V.] Princeton Univ, Atmospher &amp; Ocean Sci Program, Princeton, NJ 08544 USA; [Guo, H.; Adcroft, A.; Dunne, J. P.; Horowitz, L. W.; Krasting, J.; Shevliakova, E.; Winton, M.; Zhao, M.; Wittenberg, A. T.; Wyman, B.; Zhang, R.; Anderson, W.; Donner, L.; Durachta, J.; Ginoux, P.; Griffies, S. M.; Hallberg, R.; Harris, L.; Harrison, M.; Hurlin, W.; John, J.; Lin, S. -J.; Malyshev, S.; Milly, P. C. D.; Ming, Y.; Naik, V.; Paynter, D.; Paulot, F.; Rammaswamy, V.; Reichl, B.; Seman, C.; Underwood, S.] NOAA, GFDL, Princeton, NJ 08540 USA; [Bushuk, M.; Xiang, B.; Menzel, R.] Univ Corp Atmospher Res, GFDL, Princeton, NJ USA; [Balaji, V.; Gauthier, P. P. G.; Lin, P.; Rosati, A.; Silvers, L. G.] Princeton Univ, Cooperat Inst Modeling Earth Syst, Princeton, NJ 08544 USA; [Donner, L.; Dunne, K.; Milly, P. C. D.] US Geol Survey, GFDL, Princeton, NJ USA; [Golaz, J. -C.] Lawrence Livermore Natl Lab, Livermore, CA 94550 USA; [Robinson, T.; Zadeh, N.] SAIC, Reston, VA USA</t>
  </si>
  <si>
    <t>National Oceanic Atmospheric Admin (NOAA) - USA; Princeton University; National Oceanic Atmospheric Admin (NOAA) - USA; National Oceanic Atmospheric Admin (NOAA) - USA; National Center Atmospheric Research (NCAR) - USA; Princeton University; National Oceanic Atmospheric Admin (NOAA) - USA; United States Department of the Interior; United States Geological Survey; United States Department of Energy (DOE); Lawrence Livermore National Laboratory; Science Applications International Corporation (SAIC)</t>
  </si>
  <si>
    <t>Guo, H (corresponding author), NOAA, GFDL, Princeton, NJ 08540 USA.</t>
  </si>
  <si>
    <t>huan.guo@noaa.gov</t>
  </si>
  <si>
    <t>Ginoux, Paul/C-2326-2008; Lin, Pu/D-4393-2014; Zhang, Rong/D-9767-2014; Zhao, Ming/C-6928-2014; Keyes, Dennis/AAZ-9285-2021; Milly, Paul/IQT-0171-2023; Wittenberg, Andrew T/G-9619-2013; Paulot, Fabien/C-1002-2011; Guo, Huan/D-8282-2014; Naik, Vaishali/Y-5661-2019; Horowitz, Larry W/D-8048-2014; Golaz, Jean-Christophe/D-5007-2014; Adcroft, Alistair/E-5949-2010; Shevliakova, Elena/J-5770-2014; Griffies, Stephen Matthew/N-9144-2019; Malyshev, Sergey/N-6422-2019; Ming, Yi/F-3023-2012; Bushuk, Mitch/L-7032-2015; Krasting, John/G-9360-2019; Gauthier, Paul/A-2793-2011; Dunne, John/F-8086-2012</t>
  </si>
  <si>
    <t>Zhang, Rong/0000-0002-8493-6556; Zhao, Ming/0000-0003-4996-7821; Milly, Paul/0000-0003-4389-3139; Wittenberg, Andrew T/0000-0003-1680-8963; Guo, Huan/0000-0002-8312-9963; Naik, Vaishali/0000-0002-2254-1700; Horowitz, Larry W/0000-0002-5886-3314; Golaz, Jean-Christophe/0000-0003-1616-5435; Adcroft, Alistair/0000-0001-9413-1017; Griffies, Stephen Matthew/0000-0002-3711-236X; Malyshev, Sergey/0000-0001-6259-1043; Menzel, Raymond/0000-0002-2459-0119; Bushuk, Mitch/0000-0002-0063-1465; Winton, Michael/0000-0001-7982-0260; Krasting, John/0000-0002-4650-9844; Held, Isaac/0000-0002-6744-439X; Reichl, Brandon/0000-0001-9047-0767; Gauthier, Paul/0000-0002-2893-7861; Dunne, John/0000-0002-8794-0489</t>
  </si>
  <si>
    <t>NOAA's Climate Program Office (CPO) Climate Variability and predictability (CVP) Program [GC14-252]; DOE/LLNL [DE-AC52-07NA27344]</t>
  </si>
  <si>
    <t>NOAA's Climate Program Office (CPO) Climate Variability and predictability (CVP) Program; DOE/LLNL(United States Department of Energy (DOE))</t>
  </si>
  <si>
    <t>We thank Ron Stouffer and Tom Knutsen for very helpful reviews of an earlier draft. We thank Tom Delworth for consultations concerning the sensitivity of the modeled Antarctic superpolynyas to ice sheet albedo and for providing the CM2.5 data used in Figure 19. We acknowledge the World Climate Research Program which, through its Working Group on Coupled Modeling coordinated and promoting CMIP5 and CMIP6. We thank the climate modeling groups for producing and making available their model output, the Earth System Grid Federation (ESGF) for archiving the data and providing access, and the multiple funding agents who support CMIP5/6 and ESGF. We thank the Program for Climate Model Diagnosis and Intercomparison (PCMDI) and the IPCC Date Archive at the Lawrence Livermore National Laboratory/Department of Energy (LNL/DOE) for collecting the CMIP5 data. LLNL is operated by Lawrence Laboratory National Security and LLC for DOE. M. Zhao, J.-C. Golaz, B. Xiang, and Y. Ming acknowledge partial support by NOAA's Climate Program Office (CPO) Climate Variability and predictability (CVP) Program (GC14-252) through a CPO CVP funded proposal entitled Process Level Investigation of the Role of Convection and Cloud Parameterization in Tropical Pacific Bias in GFDL Next Generation Global Climate Models. Work at LLNL was performed under Contract DE-AC52-07NA27344 from DOE/LLNL. Many GFDL colleagues and collaborators not included on the author list but who have played invaluable roles in the model workflow and publication of the data are acknowledged through doi.org/10. 22033/ESGF/CMIP6.1402 website. The CM4.0 source code is available online (https://doi.org/10.5281/zenodo.3339397).Data available from authors have been deposited in the CMIP6 archive tagged with the identifier (doi. org/10.22033/ESGF/CMIP6.1402).</t>
  </si>
  <si>
    <t>10.1029/2019MS001829</t>
  </si>
  <si>
    <t>WOS:000497821100001</t>
  </si>
  <si>
    <t>Meskhidze, N; Völker, C; Al-Abadleh, HA; Barbeau, K; Bressac, M; Buck, C; Bundy, RM; Croot, P; Feng, Y; Ito, A; Johansen, AM; Landing, WM; Mao, JQ; Myriokefalitakis, S; Ohnemus, D; Pasquier, B; Ye, Y</t>
  </si>
  <si>
    <t>Meskhidze, Nicholas; Voelker, Christoph; Al-Abadleh, Hind A.; Barbeau, Katherine; Bressac, Matthieu; Buck, Clifton; Bundy, Randelle M.; Croot, Peter; Feng, Yan; Ito, Akinori; Johansen, Anne M.; Landing, William M.; Mao, Jingqiu; Myriokefalitakis, Stelios; Ohnemus, Daniel; Pasquier, Benoit; Ye, Ying</t>
  </si>
  <si>
    <t>Perspective on identifying and characterizing the processes controlling iron speciation and residence time at the atmosphere-ocean interface</t>
  </si>
  <si>
    <t>MARINE CHEMISTRY</t>
  </si>
  <si>
    <t>Atmosphere-ocean interaction; Iron biogeochemistry; Bioaccessible and bioavailable iron; Atmospheric and oceanic models</t>
  </si>
  <si>
    <t>TRACE-METAL CONCENTRATIONS; PLASMA-MASS SPECTROMETRY; BIOMASS BURNING AEROSOLS; FLOW-INJECTION-ANALYSIS; SEA-SURFACE MICROLAYER; SUPPLY-AND-DEMAND; DISSOLVED IRON; DUST-DEPOSITION; MINERAL DUST; BINDING LIGANDS</t>
  </si>
  <si>
    <t>It is well recognized that the atmospheric deposition of iron (Fe) affects ocean productivity, atmospheric CO2 uptake, ecosystem diversity, and overall climate. Despite significant advances in measurement techniques and modeling efforts, discrepancies persist between observations and models that hinder accurate predictions of processes and their global effects. Here, we provide an assessment report on where the current state of knowledge is and where future research emphasis would have the highest impact in furthering the field of Fe atmosphere-ocean biogeochemical cycle. These results were determined through consensus reached by diverse researchers from the oceanographic and atmospheric science communities with backgrounds in laboratory and in situ measurements, modeling, and remote sensing. We discuss i) novel measurement methodologies and instrumentation that allow detection and speciation of different forms and oxidation states of Fe in deliquesced mineral aerosol, cloud/rainwater, and seawater; ii) oceanic models that treat Fe cycling with several external sources and sinks, dissolved, colloidal, particulate, inorganic, and organic ligand-complexed forms of Fe, as well as Fe in detritus and phytoplankton; and iii) atmospheric models that consider natural and anthropogenic sources of Fe, mobilization of Fe in mineral aerosols due to the dissolution of Fe-oxides and Fe-substituted aluminosilicates through proton-promoted, organic ligand-promoted, and photo-reductive mechanisms. In addition, the study identifies existing challenges and disconnects (both fundamental and methodological) such as i) inconsistencies in Fe nomenclature and the definition of bioavailable Fe between oceanic and atmospheric disciplines, and ii) the lack of characterization of the processes controlling Fe speciation and residence time at the atmosphere-ocean interface. Such challenges are undoubtedly caused by extremely low concentrations, short lifetime, and the myriad of physical, (photo)chemical, and biological processes affecting global biogeochemical cycling of Fe. However, we also argue that the historical division (separate treatment of Fe biogeochemistry in oceanic and atmospheric disciplines) and the classical funding structures (that often create obstacles for transdisciplinary collaboration) are also hampering the advancement of knowledge in the field. Finally, the study provides some specific ideas and guidelines for laboratory studies, field measurements, and modeling research required for improved characterization of global biogeochemical cycling of Fe in relationship with other trace elements and essential nutrients. The report is intended to aid scientists in their work related to Fe biogeochemistry as well as program managers at the relevant funding agencies.</t>
  </si>
  <si>
    <t>[Meskhidze, Nicholas] North Carolina State Univ, Raleigh, NC 27695 USA; [Voelker, Christoph; Ye, Ying] Alfred Wegener Inst Polar &amp; Marine Res, Handelshafen 12, D-27570 Bremerhaven, Germany; [Al-Abadleh, Hind A.] Wilfrid Laurier Univ, Dept Chem &amp; Biochem, Waterloo, ON, Canada; [Barbeau, Katherine] Scripps Inst Oceanog, Geosci Res Div, La Jolla, CA 92093 USA; [Bressac, Matthieu] Univ Tasmania, Inst Marine &amp; Antarctic Studies, Hobart, Tas, Australia; [Buck, Clifton; Ohnemus, Daniel] Univ Georgia, Skidaway Inst Oceanog, Savannah, GA 31411 USA; [Bundy, Randelle M.] Univ Washington, Sch Oceanog, Seattle, WA 98195 USA; [Croot, Peter] Natl Univ Ireland Galway, Sch Nat Sci, Galway H91 TK33, Ireland; [Croot, Peter] Natl Univ Ireland Galway, Ryan Inst, Galway H91 TK33, Ireland; [Feng, Yan] Argonne Natl Lab, Div Environm Sci, Lemont, IL 60439 USA; [Ito, Akinori] JAMSTEC, Yokohama Inst Earth Sci, Yokohama, Kanagawa 2360001, Japan; [Johansen, Anne M.] Cent Washington Univ, Dept Chem, Ellensburg, WA 98926 USA; [Landing, William M.] Florida State Univ, Dept Earth Ocean &amp; Atmospher Sci, Tallahassee, FL 32306 USA; [Mao, Jingqiu] Univ Alaska Fairbanks, Dept Chem &amp; Biochem, Fairbanks, AK 99775 USA; [Myriokefalitakis, Stelios] Natl Observ Athens, IERSD, GR-15236 Palea Penteli, Greece; [Pasquier, Benoit] Univ Calif Irvine, Dept Earth Syst Sci, Irvine, CA 92697 USA</t>
  </si>
  <si>
    <t>North Carolina State University; Helmholtz Association; Alfred Wegener Institute, Helmholtz Centre for Polar &amp; Marine Research; Wilfrid Laurier University; University of California System; University of California San Diego; Scripps Institution of Oceanography; University of Tasmania; University System of Georgia; University of Georgia; Skidaway Institute of Oceanography; University of Washington; University of Washington Seattle; United States Department of Energy (DOE); Argonne National Laboratory; Japan Agency for Marine-Earth Science &amp; Technology (JAMSTEC); Central Washington University; State University System of Florida; Florida State University; University of Alaska System; University of Alaska Fairbanks; National Observatory of Athens; University of California System; University of California Irvine</t>
  </si>
  <si>
    <t>Meskhidze, N (corresponding author), North Carolina State Univ, Marine Earth &amp; Atmospher Sci, Raleigh, NC 27695 USA.</t>
  </si>
  <si>
    <t>nmeskhidze@ncsu.edu</t>
  </si>
  <si>
    <t>Ito, Akinori/M-9599-2014; Myriokefalitakis, Stelios/J-3701-2014; Ohnemus, Daniel C/X-7728-2018; Mao, Jingqiu/F-2511-2010; Voelker, Christoph/I-7891-2012; Landing, William/KBA-8522-2024; Bundy, Randelle M./J-8453-2016; Buck, Clifton/F-5820-2010</t>
  </si>
  <si>
    <t>Ito, Akinori/0000-0002-4937-2927; Myriokefalitakis, Stelios/0000-0002-1541-7680; Ohnemus, Daniel C/0000-0001-6362-4134; Mao, Jingqiu/0000-0002-4774-9751; Voelker, Christoph/0000-0003-3032-114X; Landing, William/0000-0002-7514-3247; Barbeau, Katherine/0000-0002-2132-7219; Bundy, Randelle M./0000-0002-0600-3953; Ye, Ying/0000-0002-0929-6392; Meskhidze, Nicholas/0000-0001-5628-8777; Bressac, Matthieu/0000-0003-3075-3137; Buck, Clifton/0000-0002-5691-9636</t>
  </si>
  <si>
    <t>National Science Foundation (NSF) [OCE-1807179]; U.S. Department of Energy, Office of Biological and Environmental Research</t>
  </si>
  <si>
    <t>National Science Foundation (NSF)(National Science Foundation (NSF)); U.S. Department of Energy, Office of Biological and Environmental Research(United States Department of Energy (DOE))</t>
  </si>
  <si>
    <t>Funding for this workshop was provided by the National Science Foundation (NSF) grant OCE-1807179 and the U.S. Department of Energy, Office of Biological and Environmental Research. We thank Ashton Dyer and Helen Meskhidze for their technical support to create the web-based interactive %DFe vs. FeT plots. The authors are also grateful to Mark Kozak and the rest of the Telluride Science Research Center (TSRC) staff for their help with logistics. We also thank anonymous reviewer for their constructive comments, which helped us to improve the manuscript.</t>
  </si>
  <si>
    <t>0304-4203</t>
  </si>
  <si>
    <t>1872-7581</t>
  </si>
  <si>
    <t>MAR CHEM</t>
  </si>
  <si>
    <t>Mar. Chem.</t>
  </si>
  <si>
    <t>NOV 20</t>
  </si>
  <si>
    <t>10.1016/j.marchem.2019.103704</t>
  </si>
  <si>
    <t>Chemistry, Multidisciplinary; Oceanography</t>
  </si>
  <si>
    <t>Chemistry; Oceanography</t>
  </si>
  <si>
    <t>JS5WT</t>
  </si>
  <si>
    <t>Green Published, Green Submitted, hybrid</t>
  </si>
  <si>
    <t>WOS:000500377500002</t>
  </si>
  <si>
    <t>Tang, Y; Stewart, G</t>
  </si>
  <si>
    <t>Tang, Yi; Stewart, Gillian</t>
  </si>
  <si>
    <t>The 210Po/210Pb method to calculate particle export: Lessons learned from the results of three GEOTRACES transects</t>
  </si>
  <si>
    <t>PARTICULATE ORGANIC-CARBON; ANTARCTIC POLAR FRONT; NORTH-ATLANTIC; SERIES RADIONUCLIDES; GENERALIZED-MODEL; PB-210 ACTIVITIES; GEOVIDE CRUISE; SURFACE WATERS; SPRING BLOOM; TRACE-METALS</t>
  </si>
  <si>
    <t>The deviation from secular equilibrium between the natural radionuclide Po-210 (half-life: 138.4 d) and its radioactive grandparent Pb-210 (half-life: 22.3 y) has been used to examine particle export from the surface ocean. Here we combine Po-210 and Pb-210 activity results from three GEOTRACES transects: two transects of the North Atlantic Ocean (GA03: 15-40 N, and GA01: 40-60 N) and one transect of the South Pacific Ocean (GP16: 10-15 S), and estimate Po-210 export fluxes at the base of the primary production zone (PPZ) by assuming steady state (SS) without advection or diffusion of the isotopes. The SS Po-210 flux was sometimes lower at basin margins than at the open-ocean stations along the transects. High SS Po-210 flux estimations derived in the North Atlantic subtropical gyre may be associated with the atmospheric deposition of Pb-210 to the surface ocean. In this paper we also question the validity of the SS assumption and discuss the influence of vertical advection and diffusion on the overall Po-210 activity balance. The SS model may have underestimated the export flux of Po-210 at margin stations in the GA03 and GP16 transects and along the GA01 cruise track. We found that upwelling in the Peruvian coastal region and near the Greenland shelf had a dramatic impact on the estimated Po-210 flux balance. Vertical diffusion had limited influence on the Po-210 export fluxes along GA03 and GA01 in the North Atlantic whereas it added Po-210 export fluxes by as much as 190% in GP16 in the Pacific, especially at the shelf stations 1 and 4. Further, analysis of the partitioning coefficient suggested the importance of small particles in the scavenging of radionuclides. This suggests it is wise to sample small particles along with large particles to determine the ratio of the concentration of particulate organic carbon (POC) to Po-210 activity (POC/Po-210) for the lower limit of POC export flux estimations. Finally, the observation of the deficit of Po-210 relative to Pb-210 activity (ziopo/ziopb &lt; 1) in seawater concurrent with a deficit of Po-210 in particles contradicts our understanding of the conceptual Po-210 flux model, which assumes that Po-210 activity is more effectively removed from the surface ocean via particles than Pb-210 activity. While this observation deserves more attention, we propose two possible solutions: (1) the deficit of total Po-210 relative to Pb-210 activity in the surface ocean may be due to an input of Pb-210 activity instead of/concurrent with a relative removal of Po-210 activity via particle export; or (2) the particles collected may not be identical to the ones that have originally created the observed deficit in total Po-210 activity.</t>
  </si>
  <si>
    <t>[Tang, Yi; Stewart, Gillian] CUNY, Grad Ctr, Earth &amp; Environm Sci, New York, NY USA; [Tang, Yi; Stewart, Gillian] CUNY, Queens Coll, Sch Earth &amp; Environm Sci, Flushing, NY USA</t>
  </si>
  <si>
    <t>City University of New York (CUNY) System; City University of New York (CUNY) System; Queens College NY (CUNY)</t>
  </si>
  <si>
    <t>Tang, Y (corresponding author), San Jose State Univ, Dept Math &amp; Stat, San Jose, CA 95192 USA.</t>
  </si>
  <si>
    <t>ytang2@gradcenter.cuny.edu</t>
  </si>
  <si>
    <t>National Science Foundation [OCE-0960924, OCE-1237108]</t>
  </si>
  <si>
    <t>This work was supported by the National Science Foundation (OCE-0960924 and OCE-1237108). Pere Masque provided support for the participation of YT on the GA01 cruise, and some field training in Barcelona. The authors would like to thank the captain and crew of the R/V Knorr, R/V Thomas G. Thompson, R/V Pourquoi Pas? during the research cruises KN199-05, KN204-01, TT303, and GEOVIDE. Particular thanks go to the chief scientists, Ed Boyle, Bill Jenkins and Greg Cutter (GA03), James Moffett and Chris German (GP16), Geraldine Sarthou and Pascale Lherminier (GA01), and all the other scientists involved in the four cruises. Additional thanks goes to the Ocean Productivity website (http://www.science.oregonstate.edu/ocean.productivity/) and to the Goddard Earth Science Data and Information Services Center Interactive Online Visualization and Analysis Infrastructure (https://giovanni.gsfc.nasa.gov/giovanni/).</t>
  </si>
  <si>
    <t>10.1016/j.marchem.2019.103692</t>
  </si>
  <si>
    <t>WOS:000500377500001</t>
  </si>
  <si>
    <t>Linsky, JL; Redfield, S; Tilipman, D</t>
  </si>
  <si>
    <t>Linsky, Jeffrey L.; Redfield, Seth; Tilipman, Dennis</t>
  </si>
  <si>
    <t>The Interface between the Outer Heliosphere and the Inner Local ISM: Morphology of the Local Interstellar Cloud, Its Hydrogen Hole, Str;mgren Shells, and 60Fe Accretion** Based on observations made with the NASA/ESA Hubble Space Telescope obtained from the Data Archive at the Space Telescope Science Institute, which is operated by the Association of Universities for Research in Astronomy, Inc., under NASA contract NAS AR-09525.01A. These observations are associated with programs #12475, 12596.</t>
  </si>
  <si>
    <t>ASTROPHYSICAL JOURNAL</t>
  </si>
  <si>
    <t>Heliosphere; Astrospheres interstellar medium interactions; Interstellar medium; Photoionization; Stromgren spheres; Interstellar clouds; Interstellar dust</t>
  </si>
  <si>
    <t>HST-GHRS OBSERVATIONS; EXTREME-ULTRAVIOLET EMISSION; BETA CANIS MAJORIS; X-RAY; CHARGE-EXCHANGE; IONIZATION; LINES; ABSORPTION; DEUTERIUM; WIND</t>
  </si>
  <si>
    <t>We describe the interface between the outer heliosphere and the local interstellar medium (LISM) surrounding the Sun. The components of the inner LISM are the four partially ionized clouds (the Local Interstellar Cloud (LIC), G cloud, Blue cloud, and Aql cloud) that are in contact with the outer heliosphere, and ionized gas produced by EUV radiation primarily from ?;CMa. We construct the three-dimensional shape of the LIC based on interstellar line absorption along 62 sightlines and show that in the directions of ?;CMa, ?;CMa, and Sirius;B the neutral hydrogen column density from the center of the LIC is a minimum. We call this region the ?hydrogen hole.? In this direction, the presence of Blue cloud absorption and the absence of LIC absorption can be simply explained by the Blue cloud lying just outside the heliosphere. We propose that the outer edge of the Blue cloud is a Str;mgren shell driven toward the heliosphere by high pressures in the H;ii region. We find that the vectors of neutral and ionized helium flowing through the heliosphere are inconsistent with the LIC flow vector, and that the nearby intercloud gas is consistent with ionization by ?;CMa and other stellar sources without requiring additional sources of ionization or million-degree plasma. In the upwind direction, the heliosphere is passing through an environment of several LISM clouds, which may explain the recent influx of interstellar grains containing Fe-60 from supernova ejecta measured in Antarctic snow.</t>
  </si>
  <si>
    <t>[Linsky, Jeffrey L.; Tilipman, Dennis] Univ Colorado, JILA, Boulder, CO 80309 USA; [Linsky, Jeffrey L.] NIST, Boulder, CO 80309 USA; [Redfield, Seth] Wesleyan Univ, Dept Astron, Middletown, CT 06459 USA; [Redfield, Seth] Wesleyan Univ, Van Vleck Observ, Middletown, CT 06459 USA; [Tilipman, Dennis] Univ Colorado, Astrophys &amp; Planetary Sci Dept, Boulder, CO 80309 USA</t>
  </si>
  <si>
    <t>University of Colorado System; University of Colorado Boulder; National Institute of Standards &amp; Technology (NIST) - USA; Wesleyan University; Wesleyan University; University of Colorado System; University of Colorado Boulder</t>
  </si>
  <si>
    <t>Linsky, JL (corresponding author), Univ Colorado, JILA, Boulder, CO 80309 USA.;Linsky, JL (corresponding author), NIST, Boulder, CO 80309 USA.</t>
  </si>
  <si>
    <t>jlinsky@jila.colorado.edu</t>
  </si>
  <si>
    <t>Tilipman, Dennis/0000-0001-9361-6629</t>
  </si>
  <si>
    <t>NASA HST Grant from the Space Telescope Science Institute [GO11568]; NASA through the Space Telescope Science Institute [11568]; NASA [NAS 5-26555]</t>
  </si>
  <si>
    <t>NASA HST Grant from the Space Telescope Science Institute; NASA through the Space Telescope Science Institute(Space Telescope Science Institute); NASA(National Aeronautics &amp; Space Administration (NASA))</t>
  </si>
  <si>
    <t>We acknowledge support through the NASA HST Grant GO11568 from the Space Telescope Science Institute, which is operated by the Association of Universities for Research in Astronomy, Inc. for NASA, under contract NAS 5-26555. Support for HST observing program #11568 was provided by NASA through a grant from the Space Telescope Science Institute. We thank John Vallerga for a very thoughtful referee report, Martin Barstow for computing the ionizing flux from Sirius.B, and Steven Burrows for his graphics. J.L.L. thanks the Erwin Schrodinger International Institute for Mathematics and Physics at the University of Vienna for their hospitality and opportunity to learn about nucleosynthetic isotope anomalies. Our research has made use of NASA's Astrophysics Data System Bibliographic Services and the SIMBAD database, operated at CDS, Strasbourg, France.</t>
  </si>
  <si>
    <t>0004-637X</t>
  </si>
  <si>
    <t>1538-4357</t>
  </si>
  <si>
    <t>ASTROPHYS J</t>
  </si>
  <si>
    <t>Astrophys. J.</t>
  </si>
  <si>
    <t>10.3847/1538-4357/ab498a</t>
  </si>
  <si>
    <t>JR0XV</t>
  </si>
  <si>
    <t>WOS:000499359800001</t>
  </si>
  <si>
    <t>Sander, L; Michaelis, R; Papenmeier, S; Pravkin, S; Mollenhauer, G; Grotheer, H; Gentz, T; Wiltshire, KH</t>
  </si>
  <si>
    <t>Sander, Lasse; Michaelis, Rune; Papenmeier, Svenja; Pravkin, Sergey; Mollenhauer, Gesine; Grotheer, Hendrik; Gentz, Torben; Wiltshire, Karen Helen</t>
  </si>
  <si>
    <t>Indication of Holocene sea-level stability in the southern Laptev Sea recorded by beach ridges in north-east Siberia, Russia</t>
  </si>
  <si>
    <t>Arctic coastal change; gravel beaches; coastal geomorphology; wave climate; Lena Delta; Buor Khaya Bay</t>
  </si>
  <si>
    <t>LENA RIVER DELTA; COASTAL EROSION; WAVE CLIMATE; EVOLUTION; SHELF; ICE; BARRIER; SYSTEMS; ISLAND; VARIABILITY</t>
  </si>
  <si>
    <t>The rapid warming of the Arctic may affect the stability of coastal geomorphological systems. Prograded sequences of wave-built deposits, so-called beach-ridge systems, preserve a proxy record of the long-term variability in the drivers of coastal evolution. Information on relative sea level (RSL), climate forcing and sediment supply can be reconstructed from these archives. Buor Khaya Bay is one of the few places along the Siberian Arctic coast where wide beach-ridge systems exist. A previously undescribed field site was surveyed in order to obtain information on the geomorphological processes along the modern shoreline under the current environmental conditions, and the characteristics of the Holocene beach-ridge deposits (e.g., elevation, sediment and age). Our data show that the system formed under storm wave/surge conditions. The beach ridges prograded ca. 1100 m between 6200 and 2600 cal yr BP, with only minor variations in surface elevation. This suggests a continuous and high sediment supply and similar storm wave run-up heights during that time. This relationship is interpreted as indicating RSL stability at a similar-to-present elevation during the period of beach-ridge formation. The hiatus in coastal progradation is concurrent with a deteriorating climate (cooling) in the Laptev Sea area and our data hence suggest increased rates of coastal change during periods of warmer climate conditions. Our study illustrates the potential of coastal sedimentary archives to provide a more complete view of the forcing, resilience and long-term evolution of unconsolidated Arctic coasts in a changing environment.</t>
  </si>
  <si>
    <t>[Sander, Lasse; Michaelis, Rune; Papenmeier, Svenja; Wiltshire, Karen Helen] Helmholtz Ctr Polar &amp; Marine Res, Alfred Wegener Inst, Wadden Sea Res Stn, Hafenstr 43, DE-25992 List Auf Sylt, Germany; [Papenmeier, Svenja] Leibniz Inst Balt Sea Res Warnemunde, Rostock, Germany; [Pravkin, Sergey] Arctic &amp; Antarctic Res Inst, St Petersburg, Russia; [Mollenhauer, Gesine; Grotheer, Hendrik; Gentz, Torben] Helmholtz Ctr Polar &amp; Marine Res, Alfred Wegener Inst, Marine Geochem, MICADAS Dating Lab, Bremerhaven, Germany</t>
  </si>
  <si>
    <t>Helmholtz Association; Alfred Wegener Institute, Helmholtz Centre for Polar &amp; Marine Research; Leibniz Institut fur Ostseeforschung Warnemunde; Arctic &amp; Antarctic Research Institute; Helmholtz Association; Alfred Wegener Institute, Helmholtz Centre for Polar &amp; Marine Research</t>
  </si>
  <si>
    <t>Sander, L (corresponding author), Helmholtz Ctr Polar &amp; Marine Res, Alfred Wegener Inst, Wadden Sea Res Stn, Hafenstr 43, DE-25992 List Auf Sylt, Germany.</t>
  </si>
  <si>
    <t>lasse.sander@awi.de</t>
  </si>
  <si>
    <t>Grotheer, Hendrik/IST-3434-2023; Wiltshire, Karen H./N-9494-2017; Mollenhauer, Gesine/AAD-8167-2019; Pravkin, Sergey/K-4316-2016; Sander, Lasse/U-5539-2018; Papenmeier, Svenja/L-2735-2017</t>
  </si>
  <si>
    <t>Grotheer, Hendrik/0000-0003-0207-3767; Mollenhauer, Gesine/0000-0001-5138-564X; Sander, Lasse/0000-0003-1066-7952; Papenmeier, Svenja/0000-0002-2385-5269</t>
  </si>
  <si>
    <t>Alfred Wegener Institute (Coastal Ecology)</t>
  </si>
  <si>
    <t>This study was in-house funded by the Alfred Wegener Institute (Coastal Ecology).</t>
  </si>
  <si>
    <t>10.33265/polar.v38.3379</t>
  </si>
  <si>
    <t>JS3ZW</t>
  </si>
  <si>
    <t>WOS:000500248000001</t>
  </si>
  <si>
    <t>Spector, P; Stone, J; Goehring, B</t>
  </si>
  <si>
    <t>Spector, Perry; Stone, John; Goehring, Brent</t>
  </si>
  <si>
    <t>Thickness of the divide and flank of the West Antarctic Ice Sheet through the last deglaciation</t>
  </si>
  <si>
    <t>WEDDELL SEA EMBAYMENT; ROSS SEA; HOLOCENE DEGLACIATION; GEOLOGIC CONSTRAINTS; PENSACOLA MOUNTAINS; CHRONOLOGY AICC2012; EXPOSURE AGES; ACCUMULATION; ELEVATIONS; TEMPERATURE</t>
  </si>
  <si>
    <t>We report cosmogenic-nuclide measurements from two isolated groups of nunataks in West Antarctica: the Pirrit Hills, located midway between the grounding line and the divide in the Weddell Sea sector, and the Whitmore Mountains, located along the Ross-Weddell divide. At the Pirrit Hills, evidence of glacial-stage ice cover extends similar to 320m above the present ice surface. Subsequent thinning mostly occurred after similar to 14 kyr BP, and modern ice levels were established some time after similar to 4 kyr BP. We infer that, like at other flank sites, these changes were primarily controlled by the position of the grounding line downstream. At the Whitmore Mountains, cosmogenic C-14 concentrations in bedrock surfaces demonstrate that ice there was no more than similar to 190m thicker than present during the past similar to 30 kyr. Combined with other constraints from West Antarctica, the C-14 data imply that the divide was thicker than present for a period of less than similar to 8 kyr within the past similar to 15 kyr. These results are consistent with the hypothesis that the divide initially thickened due to the deglacial rise in snowfall and subsequently thinned in response to retreat of the ice-sheet margin. We use these data to evaluate several recently published ice-sheet models at the Pirrit Hills and Whitmore Mountains. Most of the models we consider do not match the observed timing and/or magnitude of thickness change at these sites. However, one model performs relatively well at both sites, which may, in part, be due to the fact that it was calibrated with geological observations of ice-thickness change from other sites in Antarctica.</t>
  </si>
  <si>
    <t>[Spector, Perry] Berkeley Geochronol Ctr, 2455 Ridge Rd, Berkeley, CA USA; [Stone, John] Univ Washington, Dept Earth &amp; Space Sci, Seattle, WA 98195 USA; [Goehring, Brent] Tulane Univ, Dept Earth &amp; Environm Sci, New Orleans, LA 70118 USA</t>
  </si>
  <si>
    <t>Berkeley Geochronolgy Center; University of Washington; University of Washington Seattle; Tulane University</t>
  </si>
  <si>
    <t>Spector, P (corresponding author), Berkeley Geochronol Ctr, 2455 Ridge Rd, Berkeley, CA USA.</t>
  </si>
  <si>
    <t>pspector@bgc.org</t>
  </si>
  <si>
    <t>Goehring, Brent/0000-0001-6405-5156</t>
  </si>
  <si>
    <t>U.S. National Science Foundation [1142162, 1341728]</t>
  </si>
  <si>
    <t>U.S. National Science Foundation(National Science Foundation (NSF))</t>
  </si>
  <si>
    <t>This research has been supported by the U.S. National Science Foundation (grant nos. 1142162 and 1341728).</t>
  </si>
  <si>
    <t>10.5194/tc-13-3061-2019</t>
  </si>
  <si>
    <t>JQ1KD</t>
  </si>
  <si>
    <t>WOS:000498711200001</t>
  </si>
  <si>
    <t>Li, SJ; Wang, SJ; Miao, BK; Li, Y; Li, XY; Zeng, XJ; Xia, ZP</t>
  </si>
  <si>
    <t>Li, S. J.; Wang, S. J.; Miao, B. K.; Li, Y.; Li, X. Y.; Zeng, X. J.; Xia, Z. P.</t>
  </si>
  <si>
    <t>The Density, Porosity, and Pore Morphology of Fall and Find Ordinary Chondrites</t>
  </si>
  <si>
    <t>JOURNAL OF GEOPHYSICAL RESEARCH-PLANETS</t>
  </si>
  <si>
    <t>ordinary chondrite; bulk density; grain density; porosity; asteroid; pore morphology</t>
  </si>
  <si>
    <t>MAGNETIC-SUSCEPTIBILITY; PHYSICAL-PROPERTIES; SHOCK METAMORPHISM; BULK-DENSITY; METEORITES; PETROLOGY; MASS; CLASSIFICATION; MINERALOGY; DYNAMICS</t>
  </si>
  <si>
    <t>Density, porosity, and pore morphology constitute the basic physical properties of meteorites. These properties of 214 fragments from 163 different ordinary chondrites (OCs), including falls, non-Antarctic finds, and Antarctic finds, were measured, calculated, and investigated. Of all the measured OCs data, densities, and porosities of 37 OC falls (14 H, 17 L, and 6 LL), 31 non-Antarctic finds (9 H and 22 L), and 95 Antarctic finds (24 H and 73 L) are reported for the first time. The individual masses of all the meteorite fragments measured in this study ranged between 0.8953 and 7.7133 g, and these masses were too low to be measured by the Archimedean glass bead method. Our study indicated that the grain density and porosity of find OCs are significantly reduced by terrestrial weathering. As a result, such OCs are not suitable for their physical propertie study. Shock degree &lt;= S2 slightly increases the measurable porosities of the meteorites by generating a certain amount of tiny cracks in the silicates to connect some isolated pores with the measurable pores. Shock degree over S2 significantly reduces the porosities of meteorites by compacting or even melting the material. Weathering reduced the porosities via space filling of weathering products. Shock load over S2 reduced the porosities of the meteorites by minerals compressing or melting. Moreover, the shock load over S2 also converted intergrain irregular pores into intragrain cracks. Thermal metamorphism mainly changed the pore morphology (size) by pore merging during mineral recrystallization. The pore morphology also plays a significant role in controlling the friability of OCs.</t>
  </si>
  <si>
    <t>[Li, S. J.; Li, Y.; Li, X. Y.; Zeng, X. J.] Chinese Acad Sci, Ctr Lunar &amp; Planetary Sci, Inst Geochem, Guiyang, Guizhou, Peoples R China; [Li, S. J.; Li, Y.; Li, X. Y.] Chinese Acad Sci, Ctr Excellence Comparat Planetol, Hefei, Anhui, Peoples R China; [Wang, S. J.] Chinese Acad Sci, Inst Geochem, State Key Lab Environm Geochem, Guiyang, Guizhou, Peoples R China; [Miao, B. K.; Xia, Z. P.] Guilin Univ Technol, Dept Resources &amp; Environm Engn, Guilin, Peoples R China</t>
  </si>
  <si>
    <t>Chinese Academy of Sciences; Institute of Geochemistry, CAS; Chinese Academy of Sciences; Chinese Academy of Sciences; Institute of Geochemistry, CAS; Guilin University of Technology</t>
  </si>
  <si>
    <t>Li, SJ (corresponding author), Chinese Acad Sci, Ctr Lunar &amp; Planetary Sci, Inst Geochem, Guiyang, Guizhou, Peoples R China.;Li, SJ (corresponding author), Chinese Acad Sci, Ctr Excellence Comparat Planetol, Hefei, Anhui, Peoples R China.</t>
  </si>
  <si>
    <t>ldlshijie@126.com</t>
  </si>
  <si>
    <t>Zeng, Xiaojia/0000-0002-6536-779X; Li, Shijie/0000-0002-4854-9540</t>
  </si>
  <si>
    <t>Strategic Priority Research Program on Space Science; Chinese Academy of Sciences [XDA15020304]; West Light Foundation of the Chinese Academy of Sciences</t>
  </si>
  <si>
    <t>Strategic Priority Research Program on Space Science; Chinese Academy of Sciences(Chinese Academy of Sciences); West Light Foundation of the Chinese Academy of Sciences(Chinese Academy of Sciences)</t>
  </si>
  <si>
    <t>This work was supported by the Strategic Priority Research Program on Space Science, the Chinese Academy of Sciences (Grant XDA15020304), and the West Light Foundation of the Chinese Academy of Sciences. The Antarctic meteorites were provided by the Polar Research Institute of China. We thank meteorite hunters P. Wang and K. S. Lei for providing the desert meteorites. The authors thank H. S. Xie, W. Hou, W.G. Zhou, Y. T. Lin, A. C. Zhang, and G. Q. Wang for their suggestions and comments. We are grateful to S. Hu, X. C. Zhao, W. Yu, Y. L. Shang, B. Mo, D. Z. Liu, H. Peng, and J. Zhang for their help during the measurement of density and porosity. We would like to thank Thomas Smith for his help with English revision. We thank G. J. Consolmagno, G. Giuli, H. Pourkhorsandi, and the anonymous reviewers for their detailed and helpful comments. Figures S1 to S5 are in the supporting information file. The five supporting figures as follows: Figure S1: plots of percent porosity versus density; Figure S2: plot of percent porosity (%) versus sample mass; Figure S3: the density and porosity of fresh OC falls in our study versus the year of fall; Figure S4: plot of weathering degree versus grain density and porosity; and Figure S5: porosity of fresh ordinary chondrites as a function of shock degree.</t>
  </si>
  <si>
    <t>2169-9097</t>
  </si>
  <si>
    <t>2169-9100</t>
  </si>
  <si>
    <t>J GEOPHYS RES-PLANET</t>
  </si>
  <si>
    <t>J. Geophys. Res.-Planets</t>
  </si>
  <si>
    <t>10.1029/2019JE005940</t>
  </si>
  <si>
    <t>JZ7XP</t>
  </si>
  <si>
    <t>WOS:000497266900001</t>
  </si>
  <si>
    <t>Cavan, EL; Belcher, A; Atkinson, A; Hill, SL; Kawaguchi, S; McCormack, S; Meyer, B; Nicol, S; Ratnarajah, L; Schmidt, K; Steinberg, DK; Tarling, GA; Boyd, PW</t>
  </si>
  <si>
    <t>Cavan, E. L.; Belcher, A.; Atkinson, A.; Hill, S. L.; Kawaguchi, S.; McCormack, S.; Meyer, B.; Nicol, S.; Ratnarajah, L.; Schmidt, K.; Steinberg, D. K.; Tarling, G. A.; Boyd, P. W.</t>
  </si>
  <si>
    <t>The importance of Antarctic krill in biogeochemical cycles (vol 10, 4742, 2019)</t>
  </si>
  <si>
    <t>Correction</t>
  </si>
  <si>
    <t>Simeon, Hill L/B-2307-2008; Boyd, Philip W/J-7624-2014; Cavan, Emma/AFY-2671-2022</t>
  </si>
  <si>
    <t>Meyer, Bettina/0000-0001-6804-9896; Belcher, Anna/0000-0002-9583-5910; Steinberg, Deborah K./0000-0001-9884-4655; Schmidt, Katrin/0000-0002-6488-623X; McCormack, Stacey/0000-0002-8949-4793; Hill, Simeon/0000-0003-1441-8769</t>
  </si>
  <si>
    <t>10.1038/s41467-019-13390-0</t>
  </si>
  <si>
    <t>JO6OG</t>
  </si>
  <si>
    <t>WOS:000497696300001</t>
  </si>
  <si>
    <t>Hopwood, MJ; Carroll, D; Höfer, J; Achterberg, EP; Meire, L; Le Moigne, FAC; Bach, LT; Eich, C; Sutherland, DA; González, HE</t>
  </si>
  <si>
    <t>Hopwood, Mark J.; Carroll, Dustin; Hofer, Juan; Achterberg, Eric P.; Meire, Lorenz; Le Moigne, Frederic A. C.; Bach, Lennart T.; Eich, Charlotte; Sutherland, David A.; Gonzalez, Humberto E.</t>
  </si>
  <si>
    <t>Highly variable iron content modulates iceberg-ocean fertilisation and potential carbon export</t>
  </si>
  <si>
    <t>DISSOLVED IRON; BIOGEOCHEMICAL CYCLE; ICE SHELVES; SPECIATION; PHYTOPLANKTON; DRIVEN; THERMODYNAMICS; PRODUCTIVITY; CONVECTION; DEPOSITION</t>
  </si>
  <si>
    <t>Marine phytoplankton growth at high latitudes is extensively limited by iron availability. Icebergs are a vector transporting the bioessential micronutrient iron into polar oceans. Therefore, increasing iceberg fluxes due to global warming have the potential to increase marine productivity and carbon export, creating a negative climate feedback. However, the magnitude of the iceberg iron flux, the subsequent fertilization effect and the resultant carbon export have not been quantified. Using a global analysis of iceberg samples, we reveal that iceberg iron concentrations vary over 6 orders of magnitude. Our results demonstrate that, whilst icebergs are the largest source of iron to the polar oceans, the heterogeneous iron distribution within ice moderates iron delivery to offshore waters and likely also affects the subsequent ocean iron enrichment. Future marine productivity may therefore be not only sensitive to increasing total iceberg fluxes, but also to changing iceberg properties, internal sediment distribution and melt dynamics.</t>
  </si>
  <si>
    <t>[Hopwood, Mark J.; Achterberg, Eric P.] Helmholtz Ctr Ocean Res Kiel, GEOMAR, Kiel, Germany; [Carroll, Dustin] San Jose State Univ, Moss Landing Marine Labs, Moss Landing, CA USA; [Hofer, Juan] Pontificia Univ Catolica Valparaiso, Escuela Ciencias Mar, Valparaiso, Chile; [Hofer, Juan] Univ Austral Chile, Ctr FONDAP Invest Dinam Ecosistemas Marinos Altas, Valdivia, Chile; [Meire, Lorenz] Royal Netherlands Inst Sea Res, Yerseke, Netherlands; [Meire, Lorenz] Univ Utrecht, Yerseke, Netherlands; [Meire, Lorenz] Greenland Inst Nat Resources, Greenland Climate Res Ctr, Nuuk, Greenland; [Le Moigne, Frederic A. C.] Aix Marseille Univ Marseille, CNRS, Mediterranean Inst Oceanog, IRD,UM110, Marseille, France; [Bach, Lennart T.] Univ Tasmania, Inst Marine &amp; Antarctic Studies, Hobart, Tas, Australia; [Eich, Charlotte] Royal Netherlands Inst Sea Res, Texel, Netherlands; [Eich, Charlotte] Univ Amsterdam, Texel, Netherlands; [Sutherland, David A.] Univ Oregon, Dept Earth Sci, Eugene, OR 97403 USA; [Gonzalez, Humberto E.] Univ Austral Chile, Inst Ciencias Marinas &amp; Limnol, Casilla 567, Valdivia, Chile</t>
  </si>
  <si>
    <t>Helmholtz Association; GEOMAR Helmholtz Center for Ocean Research Kiel; Moss Landing Marine Laboratories; California State University System; San Jose State University; Pontificia Universidad Catolica de Valparaiso; Universidad Austral de Chile; Utrecht University; Royal Netherlands Institute for Sea Research (NIOZ); Utrecht University; Greenland Institute of Natural Resources; Aix-Marseille Universite; Institut de Recherche pour le Developpement (IRD); Centre National de la Recherche Scientifique (CNRS); University of Tasmania; Utrecht University; Royal Netherlands Institute for Sea Research (NIOZ); University of Amsterdam; University of Oregon; Universidad Austral de Chile</t>
  </si>
  <si>
    <t>Hopwood, MJ (corresponding author), Helmholtz Ctr Ocean Res Kiel, GEOMAR, Kiel, Germany.</t>
  </si>
  <si>
    <t>mhopwood@geomar.de</t>
  </si>
  <si>
    <t>González, Humberto E./A-4039-2008; Meire, Lorenz/G-5099-2015; Achterberg, Eric P/C-5820-2009; Hopwood, Mark/E-2187-2019</t>
  </si>
  <si>
    <t>Meire, Lorenz/0000-0001-7516-071X; Hofer, Juan/0000-0002-5887-4929; Hopwood, Mark/0000-0002-9743-079X; Bach, Lennart/0000-0003-0202-3671; Carroll, Dustin/0000-0003-1686-5255</t>
  </si>
  <si>
    <t>10.1038/s41467-019-13231-0</t>
  </si>
  <si>
    <t>JO6NW</t>
  </si>
  <si>
    <t>WOS:000497695300003</t>
  </si>
  <si>
    <t>Lecoanet, D; Cantiello, M; Quataert, E; Couston, LA; Burns, KJ; Pope, BJS; Jermyn, AS; Favier, B; Le Bars, M</t>
  </si>
  <si>
    <t>Lecoanet, Daniel; Cantiello, Matteo; Quataert, Eliot; Couston, Louis-Alexandre; Burns, Keaton J.; Pope, Benjamin J. S.; Jermyn, Adam S.; Favier, Benjamin; Le Bars, Michael</t>
  </si>
  <si>
    <t>Low-frequency Variability in Massive Stars: Core Generation or Surface Phenomenon?</t>
  </si>
  <si>
    <t>ASTROPHYSICAL JOURNAL LETTERS</t>
  </si>
  <si>
    <t>Asteroseismology; Internal waves; Astrophysical fluid dynamics; Stellar oscillations; Massive stars</t>
  </si>
  <si>
    <t>ANGULAR-MOMENTUM TRANSPORT; INTERNAL GRAVITY-WAVES; MODES; EXCITATION; CONVECTION; SIGNATURES</t>
  </si>
  <si>
    <t>Bowman et al. reported low-frequency photometric variability in 164 O- and B-type stars observed with K2 and TESS. They interpret these motions as internal gravity waves, which could be excited stochastically by convection in the cores of these stars. The detection of internal gravity waves in massive stars would help distinguish between massive stars with convective or radiative cores, determine core size, and would provide important constraints on massive star structure and evolution. In this work, we study the observational signature of internal gravity waves generated by core convection. We calculate the wave transfer function, which links the internal gravity wave amplitude at the base of the radiative zone to the surface luminosity variation. This transfer function varies by many orders of magnitude for frequencies ?1 days(?1), and has regularly spaced peaks near 1 days(?1) due to standing modes. This is inconsistent with the observed spectra that have smooth ?red noise? profiles, without the predicted regularly spaced peaks. The wave transfer function is only meaningful if the waves stay predominately linear. We next show that this is the case: low-frequency traveling waves do not break unless their luminosity exceeds the radiative luminosity of the star; the observed luminosity fluctuations at high frequencies are so small that standing modes would be stable to nonlinear instability. These simple calculations suggest that the observed low-frequency photometric variability in massive stars is not due to internal gravity waves generated in the core of these stars. We finish with a discussion of (sub)surface convection that produces low-frequency variability in low-mass stars; this is very similar to that observed in Bowman et al. in higher-mass stars.</t>
  </si>
  <si>
    <t>[Lecoanet, Daniel] Princeton Univ, Princeton Ctr Theoret Sci, Princeton, NJ 08544 USA; [Lecoanet, Daniel; Cantiello, Matteo] Princeton Univ, Dept Astrophys Sci, Princeton, NJ 08544 USA; [Cantiello, Matteo; Burns, Keaton J.; Jermyn, Adam S.] Flatiron Inst, Ctr Computat Astrophys, New York, NY 10010 USA; [Quataert, Eliot] Univ Calif Berkeley, Dept Astron, 601 Campbell Hall, Berkeley, CA 94720 USA; [Quataert, Eliot] Univ Calif Berkeley, Theoret Astrophys Ctr, Berkeley, CA 94720 USA; [Couston, Louis-Alexandre; Favier, Benjamin; Le Bars, Michael] Aix Marseille Univ, CNRS, Cent Marseille, IRPHE,UMR 7342, F-13013 Marseille, France; [Couston, Louis-Alexandre] British Antarctic Survey, Cambridge CB3 0ET, England; [Couston, Louis-Alexandre] Univ Cambridge, Dept Appl Math &amp; Theoret Phys, Cambridge CB3 0WA, England; [Burns, Keaton J.] MIT, Dept Math, Cambridge, MA 02139 USA; [Pope, Benjamin J. S.] NYU, Dept Phys, Ctr Cosmol &amp; Particle Phys, 4 Washington Pl, New York, NY 10003 USA; [Pope, Benjamin J. S.] NYU, Ctr Data Sci, New York, NY 10011 USA</t>
  </si>
  <si>
    <t>Princeton University; Princeton University; University of California System; University of California Berkeley; University of California System; University of California Berkeley; Aix-Marseille Universite; Centre National de la Recherche Scientifique (CNRS); CNRS - Institute for Engineering &amp; Systems Sciences (INSIS); UK Research &amp; Innovation (UKRI); Natural Environment Research Council (NERC); NERC British Antarctic Survey; University of Cambridge; Massachusetts Institute of Technology (MIT); New York University; New York University</t>
  </si>
  <si>
    <t>Lecoanet, D (corresponding author), Princeton Univ, Princeton Ctr Theoret Sci, Princeton, NJ 08544 USA.;Lecoanet, D (corresponding author), Princeton Univ, Dept Astrophys Sci, Princeton, NJ 08544 USA.</t>
  </si>
  <si>
    <t>lecoanet@princeton.edu</t>
  </si>
  <si>
    <t>Pope, Benjamin/AAL-7470-2021; Couston, Louis-Alexandre/ABC-7665-2020; Lecoanet, Daniel/AAA-8461-2022; Le Bars, Michael/M-7019-2018; Favier, Benjamin/Q-5146-2019</t>
  </si>
  <si>
    <t>Pope, Benjamin/0000-0003-2595-9114; Couston, Louis-Alexandre/0000-0002-2184-2472; Lecoanet, Daniel/0000-0002-7635-9728; Favier, Benjamin/0000-0002-1184-2989; Cantiello, Matteo/0000-0002-8171-8596; Jermyn, Adam/0000-0001-5048-9973; Burns, Keaton/0000-0003-4761-4766</t>
  </si>
  <si>
    <t>PCTS; Lyman Spitzer Jr..fellowship; Simons Foundation; Gordon and Betty Moore Foundation [GBMF5076]; Princeton Astrophysical Sciences department; Moore Distinguished Scholar program at Caltech; European Union's Horizon 2020 research and innovation programme under the Marie Sklodowska-Curie grant [793450]; European Research Council under the European Union's Horizon 2020 research and innovation program [681835-FLUDYCO-ERC-2015-CoG]; NASA through the Sagan Fellowship Program; theoretical astrophysics group at Caltech; NERC [bas0100031] Funding Source: UKRI; Marie Curie Actions (MSCA) [793450] Funding Source: Marie Curie Actions (MSCA)</t>
  </si>
  <si>
    <t>PCTS; Lyman Spitzer Jr..fellowship; Simons Foundation; Gordon and Betty Moore Foundation(Gordon and Betty Moore Foundation); Princeton Astrophysical Sciences department; Moore Distinguished Scholar program at Caltech; European Union's Horizon 2020 research and innovation programme under the Marie Sklodowska-Curie grant(Marie Curie Actions); European Research Council under the European Union's Horizon 2020 research and innovation program(European Research Council (ERC)); NASA through the Sagan Fellowship Program; theoretical astrophysics group at Caltech; NERC(UK Research &amp; Innovation (UKRI)Natural Environment Research Council (NERC)); Marie Curie Actions (MSCA)(Marie Curie Actions)</t>
  </si>
  <si>
    <t>We are grateful for extremely useful discussions with Conny Aerts, Dominic Bowman, and Siemen Burssens regarding the observations presented in B19. We would like to thank Rich Townsend for valuable discussions about GYRE and stellar oscillation modes. We would also like to thank Tamara Rogers, Rathish Ratnasingam, and Philipp Edelmann for useful conversations about wave nonlinearity. We would also like to thank the anonymous referee who pointed out some additional reasons why the observations of B19 are unlikely to be due to waves generated in the core. D.L. is supported by a PCTS and Lyman Spitzer Jr..fellowship. D.L. would like to thank his fellow members of the 10th New York County Grand Jury #6 of 2019 for their amiable company while he composed this paper during his four weeks of jury service. The Center for Computational Astrophysics at the Flatiron Institute is supported by the Simons Foundation. This work has.benefited from many conversations at meetings supported by Grant GBMF5076 from the Gordon and Betty Moore Foundation. E.Q. thanks the Princeton Astrophysical Sciences department and the theoretical astrophysics group and Moore Distinguished Scholar program at Caltech for their hospitality and support. L.A.C. acknowledges funding from the European Union's Horizon 2020 research and innovation programme under the Marie Sklodowska-Curie grant agreement No. 793450. L.A.C., B.F., and M.L.B. acknowledge funding by the European Research Council under the European Union's Horizon 2020 research and innovation program through grant No. 681835-FLUDYCO-ERC-2015-CoG. This work was performed in part under contract with the Jet Propulsion Laboratory (JPL) funded by NASA through the Sagan Fellowship Program executed by the NASA Exoplanet Science Institute. B.J.S.P. acknowledges being on the traditional territory of the Lenape Nations and recognizes thatManhattan continues to be the home to many Algonkian peoples. We give blessings and thanks to the Lenape people and Lenape Nations in recognition that we are carrying out this work on their indigenous homelands.</t>
  </si>
  <si>
    <t>2041-8205</t>
  </si>
  <si>
    <t>2041-8213</t>
  </si>
  <si>
    <t>ASTROPHYS J LETT</t>
  </si>
  <si>
    <t>Astrophys. J. Lett.</t>
  </si>
  <si>
    <t>L15</t>
  </si>
  <si>
    <t>10.3847/2041-8213/ab5446</t>
  </si>
  <si>
    <t>JR0MG</t>
  </si>
  <si>
    <t>WOS:000499328800001</t>
  </si>
  <si>
    <t>Wang, TG; Jiang, N; Ge, J; Cutri, RM; Jiang, P; Sheng, ZF; Zhou, HY; Bauer, J; Mainzer, A; Wright, EL</t>
  </si>
  <si>
    <t>Wang, Ting-gui; Jiang, Ning; Ge, Jian; Cutri, Roc M.; Jiang, Peng; Sheng, Zhengfeng; Zhou, Hongyan; Bauer, James; Mainzer, Amy; Wright, Edward L.</t>
  </si>
  <si>
    <t>An Ongoing Mid-infrared Outburst in the White Dwarf 0145+234: Catching in Action the Tidal Disruption of an Exoasteroid?</t>
  </si>
  <si>
    <t>White dwarf stars; Circumstellar dust; Infrared excess; Variable radiation sources</t>
  </si>
  <si>
    <t>DUST; DEBRIS; DISCS; ACCRETION</t>
  </si>
  <si>
    <t>We report the detection of a large-amplitude MIR outburst in the white dwarf (WD) 0145+234 in the NEOWISE Survey data. The source had a stable MIR flux before 2018, and was brightened by about 1.0 magnitude in the W1 and W2 bands within half a year and has been continuously brightening since then. No significant variations are found in the optical photometry data during the same period. This suggests that this MIR outburst is caused by recent replenishing or redistribution of dust, rather than intrinsic variations of the WD. Spectral energy distribution modeling of 0145+234 suggests that there was already a dust disk around the WD in the quiescent state, and both of the temperature and surface area of the disk evolved rapidly since the outburst. The dust temperature was 1770 K in the initial rising phase, close to the sublimation temperature of silicate grains, and gradually cooled down to around 1150 K, while the surface area increased by a factor of about six during the same period. The inferred closest distance of dust to the WD is within the tidal disruption radius of a gravitationally bounded asteroid. We estimated the dust mass to be between 3;;10(15) and 3;;10(17)?/(1 g cm(?3)) kg for silicate grains of a power-law size distribution with a high cutoff size from 0.1 to 1000 ?m. We interpret this as a possible tidal breakup of an exoasteroid by the WD. Further follow-up observations of this rare event may provide insights on the origin of dust disk and metal pollution in some WDs.</t>
  </si>
  <si>
    <t>[Wang, Ting-gui; Jiang, Ning; Sheng, Zhengfeng; Zhou, Hongyan] Univ Sci &amp; Technol China, CAS Key Lab Res Galaxies &amp; Cosmol, Hefei 230026, Anhui, Peoples R China; [Wang, Ting-gui; Jiang, Ning; Sheng, Zhengfeng] Univ Sci &amp; Technol China, Sch Astron &amp; Space Sci, Hefei 230026, Anhui, Peoples R China; [Ge, Jian] Univ Florida, Dept Astron, Bryant Space Sci Ctr 211, Gainesville, FL 32611 USA; [Cutri, Roc M.] CALTECH, IPAC, 1200 E Calif Blvd, Pasadena, CA 91125 USA; [Jiang, Peng; Zhou, Hongyan] State Ocean Adm, Polar Res Inst China, Key Lab Polar Sci, Antarctic Astron Res Div, Shanghai, Peoples R China; [Bauer, James] Univ Maryland, Dept Astron, College Pk, MD 20742 USA; [Mainzer, Amy] Univ Arizona, 1629 E Univ Blvd, Tucson, AZ 85721 USA; [Wright, Edward L.] Univ Calif Los Angeles, Div Astron &amp; Astrophys, Los Angeles, CA 90095 USA</t>
  </si>
  <si>
    <t>Chinese Academy of Sciences; University of Science &amp; Technology of China, CAS; Chinese Academy of Sciences; University of Science &amp; Technology of China, CAS; State University System of Florida; University of Florida; California Institute of Technology; Polar Research Institute of China; University System of Maryland; University of Maryland College Park; University of Arizona; University of California System; University of California Los Angeles</t>
  </si>
  <si>
    <t>Wang, TG (corresponding author), Univ Sci &amp; Technol China, CAS Key Lab Res Galaxies &amp; Cosmol, Hefei 230026, Anhui, Peoples R China.;Wang, TG (corresponding author), Univ Sci &amp; Technol China, Sch Astron &amp; Space Sci, Hefei 230026, Anhui, Peoples R China.</t>
  </si>
  <si>
    <t>twang@ustc.edu.cn</t>
  </si>
  <si>
    <t>Cutri, Roc/0000-0002-0077-2305; sheng, zhenfeng/0000-0001-6938-8670; Jiang, Ning/0000-0002-7152-3621</t>
  </si>
  <si>
    <t>Chinese Science Foundation [NSFC-11833007, 11421303]; National Aeronautics and Space Administration; Planetary Science Division of the National Aeronautics and Space Administration</t>
  </si>
  <si>
    <t>Chinese Science Foundation(National Natural Science Foundation of China (NSFC)); National Aeronautics and Space Administration(National Aeronautics &amp; Space Administration (NASA)); Planetary Science Division of the National Aeronautics and Space Administration</t>
  </si>
  <si>
    <t>We thank the referee for constructive comments. This work is supported by Chinese Science Foundation (NSFC-11833007, 11421303). This research makes use of data products from the Wide-field Infrared Survey Explorer, which is a joint project of the University of California, Los Angeles, and the Jet Propulsion Laboratory/California Institute of Technology, funded by the National Aeronautics and Space Administration. This research also makes use of data products from NEOWISE-R, which is a project of the Jet Propulsion Laboratory/California Institute of Technology, funded by the Planetary Science Division of the National Aeronautics and Space Administration. This research has made use of the NASA/IPAC Infrared Science Archive, which is funded by the National Aeronautics and Space Administration and operated by the California Institute of Technology.</t>
  </si>
  <si>
    <t>L5</t>
  </si>
  <si>
    <t>10.3847/2041-8213/ab53ed</t>
  </si>
  <si>
    <t>JR0PX</t>
  </si>
  <si>
    <t>Green Published, Green Accepted, Bronze</t>
  </si>
  <si>
    <t>WOS:000499338400001</t>
  </si>
  <si>
    <t>Åström, JA; Benn, DI</t>
  </si>
  <si>
    <t>Astroem, J. A.; Benn, D. I.</t>
  </si>
  <si>
    <t>Effective Rheology Across the Fragmentation Transition for Sea Ice and Ice Shelves</t>
  </si>
  <si>
    <t>ice shelves; sea ice; modeling</t>
  </si>
  <si>
    <t>DISCRETE-ELEMENT; FRACTURE; DEFORMATION; MODEL; SUSPENSIONS; MECHANICS; UNDERSIDE; GLACIERS; DRIVEN; CREEP</t>
  </si>
  <si>
    <t>Sea ice and ice shelves can be described by a viscoelastic rheology that is approximately linear elastic and brittle at high strain rates and viscously shear thinning at low strain rates. Brittle ice easily fractures under compressive shear and forms shear bands as the material undergoes a transition to a fragmented, granular state. This transition plays a central role in the mechanical behavior at large scales of sea ice in the Arctic Ocean or Antarctic ice shelves. Here we demonstrate that the fragmentation transition is characterized by an essentially discontinuous drop of three to five orders of magnitude in effective viscosity and stress relaxation time. Beyond the fragmentation transition, grinding in shear zones further reduces both effective viscosity and shear stiffness, but with an essentially constant relaxation time of similar to 10 s. These results are relevant for ice rheology implementation in large-scale climate-related models of sea ice and thin ice shelves.</t>
  </si>
  <si>
    <t>[Astroem, J. A.] CSC IT Ctr Sci, Espoo, Finland; [Benn, D. I.] Univ St Andrews, Sch Geog &amp; Sustainable Dev, St Andrews, Fife, Scotland</t>
  </si>
  <si>
    <t>University of St Andrews</t>
  </si>
  <si>
    <t>Åström, JA (corresponding author), CSC IT Ctr Sci, Espoo, Finland.</t>
  </si>
  <si>
    <t>astrom@csc.fi</t>
  </si>
  <si>
    <t>Benn, Douglas/0000-0002-3604-0886</t>
  </si>
  <si>
    <t>NERC [NE/P011365/1] Funding Source: UKRI</t>
  </si>
  <si>
    <t>10.1029/2019GL084896</t>
  </si>
  <si>
    <t>WOS:000497261400001</t>
  </si>
  <si>
    <t>Turner, J; Marshall, GJ; Clem, K; Colwell, S; Phillips, T; Lu, H</t>
  </si>
  <si>
    <t>Turner, John; Marshall, Gareth J.; Clem, Kyle; Colwell, Steve; Phillips, Tony; Lu, Hua</t>
  </si>
  <si>
    <t>Antarctic temperature variability and change from station data</t>
  </si>
  <si>
    <t>Antarctica; climate change; climate variability; temperature</t>
  </si>
  <si>
    <t>ROSS ICE SHELF; SOUTHERN ANNULAR MODE; SEA-ICE; WEST ANTARCTICA; CLIMATE-CHANGE; PENINSULA; SURFACE; CIRCULATION; TRENDS; OCEAN</t>
  </si>
  <si>
    <t>Variability and change in near-surface air temperature at 17 Antarctic stations is examined using data from the SCAR READER database. We consider the relationships between temperature, and atmospheric circulation, sea ice concentration and forcing by the tropical oceans. All 17 stations have their largest inter-annual temperature variability during the winter and the annual mean temperature anomalies are dominated by winter temperatures. The large inter-annual temperature variability on the western Antarctic Peninsula has decreased over the instrumental period as sea ice has declined. Variability in the phase of the SAM exerts the greatest control of temperatures, although tropical Pacific forcing has also played a large part, along with local atmospheric circulation variability at some locations. The relationship of positive (negative) SAM and high (low) Peninsula and low (high) East Antarctic temperatures was not present before the mid-1970s. Thirteen of the 17 stations have experienced a positive trend in their annual mean temperature over the full length of their record, with the largest being at Vernadsky (formerly Faraday) (0.46 degrees +/- 0.15 degrees C center dot dec(-1)) on the western side of the Antarctic Peninsula. The deepening of the Amundsen Sea low as a result of the more positive SAM and changes in the IPO and PDO have contributed to the warming of the Peninsula. Beyond the Antarctic Peninsula there has been little significant change in temperature. The two plateau stations had a small cooling from the late 1970s to the late 1990s consistent with the SAM becoming positive, but have subsequently warmed. During spring there has been an Antarctic-wide warming, with all but one station having experienced an increase in temperature, although the only trends that were significant were at Vostok, Scott base, Vernadsky and Amundsen-Scott. In this season, much of the Peninsula/West Antarctic warming can be attributed to tropical Pacific forcing through the IPO/PDO.</t>
  </si>
  <si>
    <t>[Turner, John; Marshall, Gareth J.; Colwell, Steve; Phillips, Tony; Lu, Hua] NERC, British Antarctic Survey, Madingley Rd, Cambridge CB3 0ET, England; [Clem, Kyle] Rutgers State Univ, Inst Earth Ocean &amp; Atmospher Sci, New Brunswick, NJ USA; [Clem, Kyle] Victoria Univ Wellington, Wellington 6012, New Zealand</t>
  </si>
  <si>
    <t>UK Research &amp; Innovation (UKRI); Natural Environment Research Council (NERC); NERC British Antarctic Survey; Rutgers University System; Rutgers University New Brunswick; Victoria University Wellington</t>
  </si>
  <si>
    <t>Turner, J (corresponding author), NERC, British Antarctic Survey, Madingley Rd, Cambridge CB3 0ET, England.</t>
  </si>
  <si>
    <t>jtu@bas.ac.uk</t>
  </si>
  <si>
    <t>Lu, Hua/GXA-0276-2022; Clem, Kyle/AAG-6626-2021</t>
  </si>
  <si>
    <t>Lu, Hua/0000-0001-9485-5082; Clem, Kyle/0000-0002-1419-2758; Marshall, Gareth/0000-0001-8887-7314; Turner, John/0000-0002-6111-5122</t>
  </si>
  <si>
    <t>Natural Environment Research Council; British Antarctic Survey; NERC [bas0100032] Funding Source: UKRI</t>
  </si>
  <si>
    <t>Natural Environment Research Council(UK Research &amp; Innovation (UKRI)Natural Environment Research Council (NERC)); British Antarctic Survey; NERC(UK Research &amp; Innovation (UKRI)Natural Environment Research Council (NERC))</t>
  </si>
  <si>
    <t>Natural Environment Research Council; British Antarctic Survey</t>
  </si>
  <si>
    <t>10.1002/joc.6378</t>
  </si>
  <si>
    <t>LJ9ST</t>
  </si>
  <si>
    <t>WOS:000497296600001</t>
  </si>
  <si>
    <t>Miloslavich, P; Seeyave, S; Muller-Karger, F; Bax, N; Ali, E; Delgado, C; Evers-King, H; Loveday, B; Lutz, V; Newton, J; Nolan, G; Brichtova, ACP; Traeger-Chatterjee, C; Urban, E</t>
  </si>
  <si>
    <t>Miloslavich, Patricia; Seeyave, Sophie; Muller-Karger, Frank; Bax, Nicholas; Ali, Elham; Delgado, Claudia; Evers-King, Hayley; Loveday, Benjamin; Lutz, Vivian; Newton, Jan; Nolan, Glenn; Brichtova, Ana C. Peralta; Traeger-Chatterjee, Christine; Urban, Edward</t>
  </si>
  <si>
    <t>Challenges for global ocean observation: the need for increased human capacity</t>
  </si>
  <si>
    <t>JOURNAL OF OPERATIONAL OCEANOGRAPHY</t>
  </si>
  <si>
    <t>Capacity development; essential ocean variables; EOVs; global ocean observing system; ocean observations; GOOS; sustainable development goal 14 (SDG14)</t>
  </si>
  <si>
    <t>CLIMATE-CHANGE; MARINE; SUPPORT; MANAGEMENT</t>
  </si>
  <si>
    <t>Sustained global ocean observations are needed to recognise, understand, and manage changes in marine biodiversity, resources and habitats, and to implement wise conservation and sustainable development strategies. To meet this need, the Global Ocean Observing System (GOOS), a network of observing systems distributed around the world and coordinated by the Intergovernmental Oceanographic Commission (IOC) has proposed Essential Ocean Variables (EOVs) that are relevant to both the scientific and the broader community, including resource managers. Building a network that is truly global requires expanding participation beyond scientists from well-resourced countries to a far broader representation of the global community. New approaches are required to provide appropriate training, and resources and technology should follow to enable the application of this training to engage meaningfully in global observing networks and in the use of the data. Investments in technical capacity fulfil international reporting obligations under the UN Sustainable Development Goal 14A. Important opportunities are emerging now for countries to develop research partnerships with the IOC and GOOS to address these obligations. Implementing these partnerships requires new funding models and initiatives that support a sustained research capacity and marine technology transfer.</t>
  </si>
  <si>
    <t>[Miloslavich, Patricia] Univ Tasmania, Inst Marine &amp; Antarctic Studies, Hobart, Tas, Australia; [Miloslavich, Patricia; Brichtova, Ana C. Peralta] Univ Simon Bolivar, Dept Estudios Ambientales, Caracas, Venezuela; [Seeyave, Sophie] POGO, Plymouth, Devon, England; [Muller-Karger, Frank] Univ S Florida, Coll Marine Sci, Inst Marine Remote Sensing IMaRS, St Petersburg, FL USA; [Bax, Nicholas] CSIRO, Hobart, Tas, Australia; [Ali, Elham] Suez Univ, Dept Environm Sci, Suez, Egypt; [Delgado, Claudia] UNESCO, Int Oceanog Data &amp; Informat Exchange IODE, IOC, Oostende, Belgium; [Evers-King, Hayley; Loveday, Benjamin] Plymouth Marine Lab, Plymouth, Devon, England; [Lutz, Vivian] Inst Nacl Desarrollo Pesquero INIDEP, Mar Del Plata, Buenos Aires, Argentina; [Newton, Jan] Univ Washington, Sch Oceanog, Coll Environm, Seattle, WA 98195 USA; [Nolan, Glenn] EuroGOOS AISBL, Brussels, Belgium; [Traeger-Chatterjee, Christine] European Org Exploitat Meteorol Satellites EUMETS, Darmstadt, Germany; [Urban, Edward] SCOR, Newark, NJ USA</t>
  </si>
  <si>
    <t>University of Tasmania; Simon Bolivar University; State University System of Florida; University of South Florida; Commonwealth Scientific &amp; Industrial Research Organisation (CSIRO); Egyptian Knowledge Bank (EKB); Suez University; Plymouth Marine Laboratory; University of Washington; University of Washington Seattle; European Organisation for the Exploitation of Meteorological Satellites</t>
  </si>
  <si>
    <t>Miloslavich, P (corresponding author), Univ Tasmania, Inst Marine &amp; Antarctic Studies, Hobart, Tas, Australia.;Miloslavich, P (corresponding author), Australia Univ Simon Bolivar, Caracas, Venezuela.</t>
  </si>
  <si>
    <t>pmilos@usb.ve</t>
  </si>
  <si>
    <t>ali, elham/GRJ-4792-2022; Bax, Nicholas/A-2321-2012</t>
  </si>
  <si>
    <t>Evers-King, Hayley/0000-0001-7731-6490; Seeyave, Sophie/0000-0002-4583-2869; Newton, Jan/0000-0002-2551-1830; Bax, Nicholas/0000-0002-9697-4963; Miloslavich, Patricia/0000-0001-5409-1401</t>
  </si>
  <si>
    <t>1755-876X</t>
  </si>
  <si>
    <t>1755-8778</t>
  </si>
  <si>
    <t>J OPER OCEANOGR</t>
  </si>
  <si>
    <t>J. Oper. Oceanogr.</t>
  </si>
  <si>
    <t>S137</t>
  </si>
  <si>
    <t>S156</t>
  </si>
  <si>
    <t>10.1080/1755876X.2018.1526463</t>
  </si>
  <si>
    <t>JD2HN</t>
  </si>
  <si>
    <t>WOS:000489795800010</t>
  </si>
  <si>
    <t>Pacyna, AD; Jakubas, D; Ausems, ANMA; Frankowski, M; Polkowska, Z; Wojczulanis-Jakubas, K</t>
  </si>
  <si>
    <t>Pacyna, Aneta Dorota; Jakubas, Dariusz; Ausems, Anne N. M. A.; Frankowski, Marcin; Polkowska, Zaneta; Wojczulanis-Jakubas, Katarzyna</t>
  </si>
  <si>
    <t>Storm petrels as indicators of pelagic seabird exposure to chemical elements in the Antarctic marine ecosystem</t>
  </si>
  <si>
    <t>Contamination; Feather; Toxic metals; ICP-MS; Mercury; Procellariiformes</t>
  </si>
  <si>
    <t>KING-GEORGE-ISLAND; SOUTHERN-OCEAN SEABIRDS; MERCURY EXPOSURE; DECEPTION-ISLAND; STABLE-ISOTOPES; TRACE-ELEMENTS; ENVIRONMENTAL COMPARTMENTS; SELENIUM CONCENTRATIONS; SHETLAND ISLANDS; WEST ANTARCTICA</t>
  </si>
  <si>
    <t>Data on trace element bioavailability in the south-polar marine ecosystem is still scarce, compared to that relating to temperate zones. Seabirds can be used as indicators of ecosystem health and sentinels of environmental pollution, constituting a link between marine and terrestrial environments. Here, we analysed the concentration of 17 elements (with special emphasis on mercury, Hg) in feathers of adults and chicks of two pelagic seabirds - the Wilson's storm petrel Oceanites oceanicus and the black-bellied storm petrel Fregetta tropica - breeding sympatrically in the maritime Antarctic. Since adult feathers are formed during the non-breeding period away from the breeding grounds, but down and body feathers of chicks grow at the breeding sites, we were able to evaluate the birds' exposure to contaminants at various stages of their annual life cycle and in various marine zones. We found that of the two studied species, adult black-bellied storm petrels had significantly higher mercury, selenium and copper levels (5.47 +/- 1.61; 5.19 +/- 1.18; 8.20 +/- 0.56 mu g g(-1) dw, respectively) than Wilson's storm petrels (2.38 +/- 1.47; 1.81 +/- 0.98; 2.52 +/- 2.35 mu g g(-1) dw, respectively). We found that Wilson's storm petrel chicks had a significantly different contaminant profile than adults. Arsenic, bismuth and antimony were detected exclusively in the chick feathers, and the Se:Hg molar ratio was higher in chicks than in adults. Our study also suggests considerable maternal transfer of Hg (to down feathers) in both species. As global contaminant emissions are expected to increase, birds inhabiting remote areas with sparse anthropogenic pollution can indicate the temporal trends in global contamination. (C) 2019 Elsevier B.V. All rights reserved.</t>
  </si>
  <si>
    <t>[Pacyna, Aneta Dorota; Polkowska, Zaneta] Gdansk Univ Technol, Fac Chem, Dept Analyt Chem, Gdansk, Poland; [Jakubas, Dariusz; Ausems, Anne N. M. A.; Wojczulanis-Jakubas, Katarzyna] Univ Gdansk, Fac Biol, Dept Vertebrate Ecol &amp; Zool, Gdansk, Poland; [Frankowski, Marcin] Adam Mickiewicz Univ, Fac Chem, Poznan, Poland</t>
  </si>
  <si>
    <t>Fahrenheit Universities; Gdansk University of Technology; Fahrenheit Universities; University of Gdansk; Adam Mickiewicz University</t>
  </si>
  <si>
    <t>Pacyna, AD; Polkowska, Z (corresponding author), Gdansk Univ Technol, Fac Chem, Dept Analyt Chem, Gdansk, Poland.</t>
  </si>
  <si>
    <t>an.pacyna90@gmail.com; zanpolko@pg.edu.pl</t>
  </si>
  <si>
    <t>Ausems, Anne N.M.A./AAP-6725-2021; Marcin, Frankowski/A-4608-2010; Polkowska, Zaneta/AAA-3578-2020; Wojczulanis-Jakubas, Katarzyna/AAO-4126-2021; Jakubas, Dariusz/N-3680-2019</t>
  </si>
  <si>
    <t>Ausems, Anne N.M.A./0000-0002-6683-6674; Marcin, Frankowski/0000-0001-6315-3758; Wojczulanis-Jakubas, Katarzyna/0000-0001-6230-0509; Jakubas, Dariusz/0000-0002-1879-4342; Polkowska, Zaneta/0000-0002-2730-0068; Pacyna-Kuchta, Aneta/0000-0002-5132-9290</t>
  </si>
  <si>
    <t>National Science Centre, Poland [2015/19/B/NZ8/01981]; Polish Ministry of Science and Higher Education [DWM.WKE.183.77.2017]</t>
  </si>
  <si>
    <t>National Science Centre, Poland(National Science Centre, Poland); Polish Ministry of Science and Higher Education(Ministry of Science and Higher Education, Poland)</t>
  </si>
  <si>
    <t>The birds were handled and the feather samples collected with permission from the Department of Antarctic Biology of the Polish Academy of Sciences. The study was supported by the National Science Centre, Poland, through grant No. 2015/19/B/NZ8/01981. We are grateful to all members of the 41st Polish Antarctic Expedition to Arctowski Station for their help and logistical support. Special thanks are given to the Polish Ministry of Science and Higher Education for financial support of research with project No. DWM.WKE.183.77.2017.</t>
  </si>
  <si>
    <t>10.1016/j.scitotenv.2019.07.137</t>
  </si>
  <si>
    <t>IW5BW</t>
  </si>
  <si>
    <t>WOS:000484994700038</t>
  </si>
  <si>
    <t>Bokhorst, S; van Logtestijn, R; Convey, P; Aerts, R</t>
  </si>
  <si>
    <t>Bokhorst, Stef; van Logtestijn, Richard; Convey, Peter; Aerts, Rien</t>
  </si>
  <si>
    <t>Nitrogen isotope fractionation explains the 15N enrichment of Antarctic cryptogams by volatilized ammonia from penguin and seal colonies</t>
  </si>
  <si>
    <t>Lichen; moss; nitrogen pathway; nutrient transfer; ocean-land interaction</t>
  </si>
  <si>
    <t>PRECIPITATION NITROGEN; CARBON; LAND; DELTA-N-15; RATIOS; ISLAND; SOILS</t>
  </si>
  <si>
    <t>Vegetation near bird and seal rookeries typically has high delta N-15 signatures and these high values are linked to the enriched delta N-15 values of rookery soils. However, Antarctic cryptogams are mostly dependent on atmospheric ammonia (NH3) and volatized NH3 from rookeries is severely depleted in delta N-15-NH3. So there is an apparent discrepancy between the isotopically depleted source (NH3) and delta N-15-enriched vegetation. In this article, we aim to resolve this discrepancy to better understand the mechanisms and processes involved in isotopic changes during nitrogen transfer between Antarctic marine and terrestrial ecosystems. Under laboratory conditions, we quantified whether volatized NH3 affects the isotopic signature of cryptogams. NH3 volatilizing from penguin guano and elephant seal dung was depleted (44-49 parts per thousand) in delta N-15 when captured on acidified filters, compared to the source itself. Cryptogams exposed to the volatized NH3 were enriched (18.8-23.9 parts per thousand) in delta N-15. The moss Andreaea regularis gained more nitrogen (0.9%) than the lichen Usnea antarctica (0.4%) from volatilized NH3, indicating a potential difference in atmospheric NH3 acquisition that is consistent with existing field differences in nitrogen concentrations and delta N-15 between mosses and lichens in general. This study clarifies the delta N-15 enrichment of cryptogams resulting from one of the most important nitrogen pathways for Antarctic vegetation.</t>
  </si>
  <si>
    <t>[Bokhorst, Stef; van Logtestijn, Richard; Aerts, Rien] Vrije Univ Amsterdam, Dept Ecol Sci, De Boelelaan 1085, NL-1081 HV Amsterdam, Netherlands; [Convey, Peter] British Antarctic Survey, Nat Environm Res Council, Cambridge, England</t>
  </si>
  <si>
    <t>Vrije Universiteit Amsterdam; UK Research &amp; Innovation (UKRI); Natural Environment Research Council (NERC); NERC British Antarctic Survey</t>
  </si>
  <si>
    <t>Bokhorst, S (corresponding author), Vrije Univ Amsterdam, Dept Ecol Sci, De Boelelaan 1085, NL-1081 HV Amsterdam, Netherlands.</t>
  </si>
  <si>
    <t>s.f.bokhorst@vu.nl</t>
  </si>
  <si>
    <t>Bokhorst, Stef/D-1858-2009; Convey, Peter/AAV-5728-2020; van Logtestijn, Richardus SP/B-9680-2009</t>
  </si>
  <si>
    <t>Convey, Peter/0000-0001-8497-9903; van Logtestijn, Richardus/0000-0001-9063-2180; Bokhorst, Stef/0000-0003-0184-1162; Aerts, Rien/0000-0001-6694-0669</t>
  </si>
  <si>
    <t>Netherlands Polar Programme [NPP-NWO 851.20.016]; Natural Environment Research Council; NERC [bas0100036] Funding Source: UKRI</t>
  </si>
  <si>
    <t>Netherlands Polar Programme; Natural Environment Research Council(UK Research &amp; Innovation (UKRI)Natural Environment Research Council (NERC)); NERC(UK Research &amp; Innovation (UKRI)Natural Environment Research Council (NERC))</t>
  </si>
  <si>
    <t>This study was financially supported by the Netherlands Polar Programme (NPP-NWO 851.20.016). PC is supported by the Natural Environment Research Council core funding to the BAS British Antarctic Survey's Biodiversity, Evolution and Adaptation team.</t>
  </si>
  <si>
    <t>NOV 19</t>
  </si>
  <si>
    <t>10.33265/polar.v38.3355</t>
  </si>
  <si>
    <t>JS3YS</t>
  </si>
  <si>
    <t>WOS:000500245000001</t>
  </si>
  <si>
    <t>Lamy, F; Chiang, JCH; Martínez-Méndez, G; Thierens, M; Arz, HW; Bosmans, J; Hebbeln, D; Lambert, F; Lembke-Jene, L; Stuut, JB</t>
  </si>
  <si>
    <t>Lamy, Frank; Chiang, John C. H.; Martinez-Mendez, Gema; Thierens, Mieke; Arz, Helge W.; Bosmans, Joyce; Hebbeln, Dierk; Lambert, Fabrice; Lembke-Jene, Lester; Stuut, Jan-Berend</t>
  </si>
  <si>
    <t>Precession modulation of the South Pacific westerly wind belt over the past million years</t>
  </si>
  <si>
    <t>orbital cycles; southern westerly wind belt; quaternary; paleoclimate</t>
  </si>
  <si>
    <t>TERRIGENOUS SEDIMENT INPUT; SEA-ICE EXTENT; SPLIT JET; SOUTHWESTERN AFRICA; SUBTROPICAL FRONT; ATACAMA DESERT; CLIMATE; OCEAN; VARIABILITY; HOLOCENE</t>
  </si>
  <si>
    <t>The southern westerly wind belt (SWW) interacts with the Antarctic Circumpolar Current and strongly impacts the Southern Ocean carbon budget, and Antarctic ice-sheet dynamics across glacial-interglacial cycles. We investigated precipitation-driven sediment input changes to the Southeast Pacific off the southern margin of the Atacama Desert over the past one million years, revealing strong precession (19/23-ka) cycles. Our simulations with 2 ocean-atmosphere general circulation models suggest that observed cyclic rainfall changes are linked to meridional shifts in water vapor transport from the tropical Pacific toward the southern Atacama Desert. These changes reflect a precessional modulation of the split in the austral winter South Pacific jet stream. For precession maxima, we infer significantly enhanced rainfall in the southern Atacama Desert due to a stronger South Pacific split jet with enhanced subtropical/subpolar jets, and a weaker midlatitude jet. Conversely, we derive dry conditions in northern Chile related to reduced subtropical/subpolar jets and an enhanced midlatitude jet for precession minima. The presence of precessional cycles in the Pacific SWW, and lack thereof in other basins, indicate that orbital-scale changes of the SWW were not zonally homogeneous across the Southern Hemisphere, in contrast to the hemispherewide shifts of the SWW suggested for glacial terminations. The strengthening of the jet is unique to the South Pacific realm and might have affected winter-controlled changes in the mixed layer depth, the formation of intermediate water, and the buildup of sea-ice around Antarctica, with implications for the global overturning circulation and the oceanic storage of atmospheric CO2.</t>
  </si>
  <si>
    <t>[Lamy, Frank; Martinez-Mendez, Gema; Thierens, Mieke; Lembke-Jene, Lester] Alfred Wegener Inst Helmholtz Zentrum Polar Meere, Marine Geol Sect, D-27570 Bremerhaven, Germany; [Chiang, John C. H.] Univ Calif Berkeley, Dept Geog, Berkeley, CA 94720 USA; [Hebbeln, Dierk] Univ Bremen, Ctr Marine Environm Sci, D-28334 Bremen, Germany; [Arz, Helge W.] Leibniz Inst Balt Sea Res, Dept Marine Geol, D-18119 Rostock, Germany; [Bosmans, Joyce] Univ Utrecht, Dept Phys Geog, NL-3584 CB Utrecht, Netherlands; [Lambert, Fabrice] Pontificia Univ Catolica Chile, Dept Phys Geog, Santiago 7820436, Chile; [Stuut, Jan-Berend] Royal Netherlands Inst Sea Res NIOZ, Ocean Syst TX, NL-1790 AB Deb Burg, Texel, Netherlands; [Stuut, Jan-Berend] Vrije Univ Amsterdam, Fac Sci, Dept Earth Sci, NL-1081 HV Amsterdam, Netherlands</t>
  </si>
  <si>
    <t>Helmholtz Association; Alfred Wegener Institute, Helmholtz Centre for Polar &amp; Marine Research; University of California System; University of California Berkeley; University of Bremen; Leibniz Institut fur Ostseeforschung Warnemunde; Utrecht University; Pontificia Universidad Catolica de Chile; Utrecht University; Royal Netherlands Institute for Sea Research (NIOZ); Vrije Universiteit Amsterdam</t>
  </si>
  <si>
    <t>Lamy, F (corresponding author), Alfred Wegener Inst Helmholtz Zentrum Polar Meere, Marine Geol Sect, D-27570 Bremerhaven, Germany.</t>
  </si>
  <si>
    <t>Frank.Lamy@awi.de</t>
  </si>
  <si>
    <t>Méndez, Gema Martínez/AAB-2245-2020; Arz, Helge W/A-6659-2013; Lambert, Fabrice/M-2003-2014; Lembke-Jene, Lester/ABC-6275-2020; Chiang, John/AAK-6169-2021; Stuut, Jan-Berend/K-2073-2013; Lembke-Jene, Lester/F-5084-2013</t>
  </si>
  <si>
    <t>Méndez, Gema Martínez/0000-0001-7950-6837; Lambert, Fabrice/0000-0002-2192-024X; Stuut, Jan-Berend/0000-0002-5348-2512; Lembke-Jene, Lester/0000-0002-6873-8533; Arz, Helge Wolfgang/0000-0002-1997-1718</t>
  </si>
  <si>
    <t>German Research Ministry within the project Palaoumweltgeschichte des Peru-Chile Stroms und des angrenzenden Chile uber die letzten Glazial-Interglazial-Zyklen (SO-211); German Research Ministry through Palmod Project PalMod 3.2 TP4 [FKZ01LP1510D]; AWI Helmholtz-Zentrum fur Polar- und Meeresforschung; MARUM-Center for Marine Environmental Sciences; US National Science Foundation [1537496]; Utrecht University; Directorate For Geosciences [1537496] Funding Source: National Science Foundation; Division Of Ocean Sciences [1537496] Funding Source: National Science Foundation</t>
  </si>
  <si>
    <t>German Research Ministry within the project Palaoumweltgeschichte des Peru-Chile Stroms und des angrenzenden Chile uber die letzten Glazial-Interglazial-Zyklen (SO-211); German Research Ministry through Palmod Project PalMod 3.2 TP4; AWI Helmholtz-Zentrum fur Polar- und Meeresforschung; MARUM-Center for Marine Environmental Sciences; US National Science Foundation(National Science Foundation (NSF)); Utrecht University; Directorate For Geosciences(National Science Foundation (NSF)NSF - Directorate for Geosciences (GEO)); Division Of Ocean Sciences(National Science Foundation (NSF)NSF - Directorate for Geosciences (GEO))</t>
  </si>
  <si>
    <t>We thank the scientific party, captain, and crew of R/V Sonne cruise SO-211. We thank T. Westerhold and V. Lukies for assistance during the XRF scanning. We thank A. J. Broccoli, M. P. Erb, and B. Raney for providing the GFDL model output used in this study. C. Lange, T. Ronge, T. Westerhold, and R. Tiedemann provided comments and suggestions that improved the paper. We acknowledge financial support for this work through the German Research Ministry, which funded this cruise within the project Palaoumweltgeschichte des Peru-Chile Stroms und des angrenzenden Chile uber die letzten Glazial-Interglazial-Zyklen (SO-211) and supported this project through Palmod Project PalMod 3.2 TP4 (FKZ01LP1510D). Further support was provided by the AWI Helmholtz-Zentrum fur Polar- und Meeresforschung and the MARUM-Center for Marine Environmental Sciences. J.C.H.C. acknowledges support from US National Science Foundation Grant 1537496. The computing budget for the EC-Earth simulations was provided by Utrecht University in a Focus en Massa grant, with support from the Faculty of Geoscience as well as the Royal Netherlands Meteorological Institute.</t>
  </si>
  <si>
    <t>10.1073/pnas.1905847116</t>
  </si>
  <si>
    <t>JQ0ZJ</t>
  </si>
  <si>
    <t>WOS:000498683000019</t>
  </si>
  <si>
    <t>Marrocchi, Y; Villeneuve, J; Jacquet, E; Piralla, M; Chaussidon, M</t>
  </si>
  <si>
    <t>Marrocchi, Yves; Villeneuve, Johan; Jacquet, Emmanuel; Piralla, Maxime; Chaussidon, Marc</t>
  </si>
  <si>
    <t>Rapid condensation of the first Solar System solids</t>
  </si>
  <si>
    <t>meteorites; condensation; protoplanetary disk; isotopes</t>
  </si>
  <si>
    <t>ALUMINUM-RICH INCLUSIONS; WARK-LOVERING RIMS; ISOTOPIC FRACTIONATION; OXYGEN-ISOTOPE; REFRACTORY INCLUSIONS; CHONDRITES EFREMOVKA; CV CHONDRITES; OLIVINE; CALCIUM; CAIS</t>
  </si>
  <si>
    <t>Chondritic meteorites are composed of primitive components formed during the evolution of the Solar protoplanetary disk. The oldest of these components formed by condensation, yet little is known about their formation mechanism because of secondary heating processes that erased their primordial signature. Amoeboid Olivine Aggregates (AOAs) have never been melted and underwent minimal thermal annealing, implying they might have retained the conditions under which they condensed. We performed a multiisotope (O, Si, Mg) characterization of AOAs to constrain the conditions under which they condensed and the information they bear on the structure and evolution of the Solar protoplanetary disk. High-precision silicon isotopic measurements of 7 AOAs from weakly metamorphosed carbonaceous chondrites show large, mass-dependent, light Si isotope enrichments (-9 parts per thousand &lt; delta Si-30 &lt; -1 parts per thousand). Based on physical modeling of condensation within the protoplanetary disk, we attribute these isotopic compositions to the rapid condensation of AOAs over timescales of days to weeks. The same AOAs show slightly positive delta Mg-25 that suggest that Mg isotopic homogenization occurred during thermal annealing without affecting Si isotopes. Such short condensation times for AOAs are inconsistent with disk transport timescales, indicating that AOAs, and likely other high-temperature condensates, formed during brief localized high-temperature events.</t>
  </si>
  <si>
    <t>[Marrocchi, Yves; Villeneuve, Johan; Piralla, Maxime] Univ Lorraine, CNRS, CRPG, UMR 7358, F-54501 Vandoeuvre Les Nancy, France; [Jacquet, Emmanuel] CNRS, IMPMC, F-75005 Paris, France; [Jacquet, Emmanuel] Museum Natl Hist Naturelle, UMR 7590, F-75005 Paris, France; [Chaussidon, Marc] Univ Paris, CNRS, Inst Phys Globe Paris, F-75238 Paris, France</t>
  </si>
  <si>
    <t>Centre National de la Recherche Scientifique (CNRS); CNRS - National Institute for Earth Sciences &amp; Astronomy (INSU); Universite de Lorraine; Centre National de la Recherche Scientifique (CNRS); Institut de Recherche pour le Developpement (IRD); Sorbonne Universite; Museum National d'Histoire Naturelle (MNHN); Centre National de la Recherche Scientifique (CNRS); CNRS - Institute of Physics (INP); Sorbonne Universite; Universite Paris Cite; Centre National de la Recherche Scientifique (CNRS)</t>
  </si>
  <si>
    <t>Marrocchi, Y (corresponding author), Univ Lorraine, CNRS, CRPG, UMR 7358, F-54501 Vandoeuvre Les Nancy, France.</t>
  </si>
  <si>
    <t>yvesm@crpg.cnrs-nancy.fr</t>
  </si>
  <si>
    <t>Chaussidon, Marc/E-7067-2017; Villeneuve, Johan/P-2378-2015</t>
  </si>
  <si>
    <t>Piralla, Maxime/0000-0001-9332-6250; Villeneuve, Johan/0000-0002-9892-8530</t>
  </si>
  <si>
    <t>NSF; NASA; l'Agence Nationale de la Recherche (ANR) [ANR-14-CE33-0002-01 SAPINS, ANR-18-CE31-0010-01 CASSYSS, ANR-15-CE31-0004-1 CRADLE]</t>
  </si>
  <si>
    <t>NSF(National Science Foundation (NSF)); NASA(National Aeronautics &amp; Space Administration (NASA)); l'Agence Nationale de la Recherche (ANR)(Agence Nationale de la Recherche (ANR))</t>
  </si>
  <si>
    <t>The authors are grateful to Nordine Bouden for his assistance with isotopic measurements. We thank the Museum national d'Histoire naturelle (Paris, France), the Natural History Museum of Vienna (Austria), and the Antarctic Search for Meteorites (ANSMET) program for loaning the NWA 5958, Kaba, and MIL 07342 sections. US Antarctic meteorite samples are recovered by ANSMET, funded by NSF and NASA, and characterized and curated by the Department of Mineral Sciences of the Smithsonian Institution and Astromaterials Curation Office at NASA Johnson Space Center. This research was funded by l'Agence Nationale de la Recherche (ANR) through Grant ANR-14-CE33-0002-01 SAPINS (Principal Investigator [PI] Y.M.), ANR-18-CE31-0010-01 CASSYSS (PI J.V.), and ANR-15-CE31-0004-1 CRADLE (PI M.C.). Tim Fagan and an anonymous reviewer are thanked for constructive comments. This is CRPG-CNRS Contribution 2715.</t>
  </si>
  <si>
    <t>10.1073/pnas.1912479116</t>
  </si>
  <si>
    <t>WOS:000498683000020</t>
  </si>
  <si>
    <t>Nauels, A; Gütschow, J; Mengel, M; Meinshausen, M; Clark, PU; Schleussner, CF</t>
  </si>
  <si>
    <t>Nauels, Alexander; Guetschow, Johannes; Mengel, Matthias; Meinshausen, Malte; Clark, Peter U.; Schleussner, Carl-Friedrich</t>
  </si>
  <si>
    <t>Attributing long-term sea-level rise to Paris Agreement emission pledges</t>
  </si>
  <si>
    <t>sea-level rise; Paris Agreement; emission pledges</t>
  </si>
  <si>
    <t>GREENHOUSE-GAS CONCENTRATIONS; ANTARCTIC ICE-SHEET; CARBON-CYCLE MODELS; ATMOSPHERE-OCEAN; SIMPLER MODEL; CLIMATE; CONSEQUENCES; PROJECTIONS; COMMITMENT; SCENARIOS</t>
  </si>
  <si>
    <t>Themain contributors to sea-level rise (oceans, glaciers, and ice sheets) respond to climate change on timescales ranging from decades to millennia. A focus on the 21st century thus fails to provide a complete picture of the consequences of anthropogenic greenhouse gas emissions on future sea-level rise and its long-term impacts. Here we identify the committed global mean sea-level rise until 2300 from historical emissions since 1750 and the currently pledged National Determined Contributions (NDC) under the Paris Agreement until 2030. Our results indicate that greenhouse gas emissions over this 280-y period result in about 1 m of committed global mean sea-level rise by 2300, with the NDC emissions from 2016 to 2030 corresponding to around 20 cm or 1/5 of that commitment. We also find that 26 cm (12 cm) of the projected sea-level-rise commitment in 2300 can be attributed to emissions from the top 5 emitting countries (China, United States of America, European Union, India, and Russia) over the 1991-2030 (2016-2030) period. Our findings demonstrate that global and individual country emissions over the first decades of the 21st century alone will cause substantial long-term sea-level rise.</t>
  </si>
  <si>
    <t>[Nauels, Alexander; Schleussner, Carl-Friedrich] Climate Analyt, D-10969 Berlin, Germany; [Nauels, Alexander; Meinshausen, Malte] Univ Melbourne, Australian German Climate &amp; Energy Coll, Parkville, Vic 3010, Australia; [Guetschow, Johannes; Mengel, Matthias; Meinshausen, Malte; Schleussner, Carl-Friedrich] Potsdam Inst Climate Impact Res, D-14412 Potsdam, Germany; [Clark, Peter U.] Oregon State Univ, Coll Earth Ocean &amp; Atmospher Sci, Corvallis, OR 97331 USA; [Clark, Peter U.] Univ Ulster, Sch Geog &amp; Environm Sci, Coleraine BT52 1SA, Londonderry, North Ireland; [Schleussner, Carl-Friedrich] Humboldt Univ, Integrat Res Inst Transformat Human Environm Syst, D-10099 Berlin, Germany</t>
  </si>
  <si>
    <t>University of Melbourne; Potsdam Institut fur Klimafolgenforschung; Oregon State University; Ulster University; Humboldt University of Berlin</t>
  </si>
  <si>
    <t>Nauels, A (corresponding author), Climate Analyt, D-10969 Berlin, Germany.;Nauels, A (corresponding author), Univ Melbourne, Australian German Climate &amp; Energy Coll, Parkville, Vic 3010, Australia.</t>
  </si>
  <si>
    <t>alex.nauels@climateanalytics.org</t>
  </si>
  <si>
    <t>Meinshausen, Malte/AAG-6505-2019</t>
  </si>
  <si>
    <t>Meinshausen, Malte/0000-0003-4048-3521; Clark, Peter/0000-0003-4752-6045; Gutschow, Johannes/0000-0001-9944-3685; Nauels, Alexander/0000-0003-1378-3377; Schleussner, Carl-Friedrich/0000-0001-8471-848X</t>
  </si>
  <si>
    <t>German Federal Ministry for the Environment, Nature Conservation and Nuclear Safety [16_II_148_Global_A_IMPACT, FKZ 3717181030]; German Federal Ministry of Education and Research [01LN1711A]</t>
  </si>
  <si>
    <t>German Federal Ministry for the Environment, Nature Conservation and Nuclear Safety; German Federal Ministry of Education and Research(Federal Ministry of Education &amp; Research (BMBF))</t>
  </si>
  <si>
    <t>A.N., J.G., and C.-F.S. acknowledge support by the German Federal Ministry for the Environment, Nature Conservation and Nuclear Safety (16_II_148_Global_A_IMPACT). C.-F.S. further acknowledges support by the German Federal Ministry of Education and Research (01LN1711A). J.G. further acknowledges support by the German Federal Ministry for the Environment, Nature Conservation and Nuclear Safety (FKZ 3717181030).</t>
  </si>
  <si>
    <t>10.1073/pnas.1907461116</t>
  </si>
  <si>
    <t>Green Published, hybrid, Green Submitted</t>
  </si>
  <si>
    <t>WOS:000498683000024</t>
  </si>
  <si>
    <t>Lee, K; Han, C; Hong, SB; Jun, SJ; Han, Y; Xiao, CD; Du, ZH; Hur, SD; Lee, JI; Boutron, CF; Hong, S</t>
  </si>
  <si>
    <t>Lee, Khanghyun; Han, Changhee; Hong, Sang-Bum; Jun, Seong-Joon; Han, Yeongcheol; Xiao, Cunde; Du, Zhiheng; Hur, Soon Do; Lee, Jong Ik; Boutron, Claude F.; Hong, Sungmin</t>
  </si>
  <si>
    <t>A 300-Year High-Resolution Greenland Ice Record of Large-Scale Atmospheric Pollution by Arsenic in the Northern Hemisphere</t>
  </si>
  <si>
    <t>ENVIRONMENTAL SCIENCE &amp; TECHNOLOGY</t>
  </si>
  <si>
    <t>HEAVY-METALS; ANTHROPOGENIC SOURCES; TRACE-ELEMENTS; QUANTITATIVE ASSESSMENT; SEASONAL-VARIATIONS; ANTARCTIC ICE; SNOW; EMISSIONS; CORE; CONTAMINATION</t>
  </si>
  <si>
    <t>We report the first high-resolution record of arsenic (As) observed in Greenland snow and ice for the periods 1711-1970 and 2003-2009 AD. The results show well-defined large-scale atmospheric pollution by this toxic element in the northern hemisphere, beginning as early as the 18th century. The most striking feature is an abrupt, unprecedented enrichment factor (EF) peak in the late 1890s, with an similar to 30-fold increase in the mean value above the Holocene natural level. Highly enriched As was evident until the late 1910s; a sharp decline was observed after the First World War, reaching a minimum in the early 1930s during the Great Depression. A subsequent increase lasted until the mid-1950s, before decreasing again. Comparisons between the observed variations and Cu smelting data indicate that Cu smelting in Europe and North America was the likely source of early anthropogenic As in Greenland. Despite a significant reduction of similar to 80% in concentration and similar to 60% in EF from the 1950s to the 2000s, more than 80% of present-day As in Greenland is of anthropogenic origin, probably due to increasing As emissions from coal combustion in China. This highlights the demand for the implementation of national and international environmental regulations to further reduce As emissions.</t>
  </si>
  <si>
    <t>[Lee, Khanghyun; Han, Changhee; Hong, Sang-Bum; Jun, Seong-Joon; Han, Yeongcheol; Hur, Soon Do; Lee, Jong Ik] Korea Polar Res Inst, 26 Songdomirae Ro, Incheon 21990, South Korea; [Xiao, Cunde] Beijing Normal Univ, State Key Lab Land Surface Proc &amp; Resource Ecol, Beijing 100875, Peoples R China; [Du, Zhiheng] Chinese Acad Sci, Northwest Inst Ecoenvironm &amp; Resources, State Key Lab Cryospher Sci, Lanzhou 730000, Gansu, Peoples R China; [Boutron, Claude F.] Univ Grenoble Alpes, CNRS, Inst Geosci Environm, 54 Rue Moliere, F-38400 St Martin Dheres, France; [Hong, Sungmin] Inha Univ, Dept Ocean Sci, 100 Inha Ro, Incheon 22212, South Korea</t>
  </si>
  <si>
    <t>Korea Polar Research Institute (KOPRI); Beijing Normal University; Chinese Academy of Sciences; Centre National de la Recherche Scientifique (CNRS); Communaute Universite Grenoble Alpes; Universite Grenoble Alpes (UGA); Inha University</t>
  </si>
  <si>
    <t>Hong, S (corresponding author), Inha Univ, Dept Ocean Sci, 100 Inha Ro, Incheon 22212, South Korea.</t>
  </si>
  <si>
    <t>smhong@inha.ac.kr</t>
  </si>
  <si>
    <t>Korea Polar Research Institute (KOPRI) [PE19040]; Basic Science Research Program through the National Research Foundation of Korea (NRF) - Ministry of Education, Science and Technology [NRF-2018R1A2B2006489]; Belgium (FNRS-CFB); Belgium (FWO); Canada (NRCan/GSC); China (CAS); Denmark (FIST); France (IPEV); France (CNRS/INSU); France (CEA); France (ANR); Germany (AWI); Iceland (Rannls); Japan (NIPR); Korea (KOPRI); Netherlands (NOW/ALW); Sweden (VR); Switzerland (SNF); UK (NERC); United States (US NSF OPP)</t>
  </si>
  <si>
    <t>Korea Polar Research Institute (KOPRI)(Korea Polar Research Institute of Marine Research Placement (KOPRI)); Basic Science Research Program through the National Research Foundation of Korea (NRF) - Ministry of Education, Science and Technology(National Research Foundation of Korea); Belgium (FNRS-CFB)(Fonds de la Recherche Scientifique - FNRS); Belgium (FWO)(FWO); Canada (NRCan/GSC)(Natural Resources Canada); China (CAS)(Chinese Academy of Sciences); Denmark (FIST)(Department of Science &amp; Technology (India)); France (IPEV); France (CNRS/INSU); France (CEA); France (ANR)(Agence Nationale de la Recherche (ANR)); Germany (AWI); Iceland (Rannls); Japan (NIPR); Korea (KOPRI)(Korea Polar Research Institute of Marine Research Placement (KOPRI)); Netherlands (NOW/ALW); Sweden (VR)(Swedish Research Council); Switzerland (SNF); UK (NERC)(UK Research &amp; Innovation (UKRI)Natural Environment Research Council (NERC)); United States (US NSF OPP)</t>
  </si>
  <si>
    <t>We thank all field personnel for sampling during the 2009 NEEM deep ice-core drilling campaign. This research was supported by a research grant (PE19040) from the Korea Polar Research Institute (KOPRI). This work was also supported by the Basic Science Research Program through the National Research Foundation of Korea (NRF) funded by the Ministry of Education, Science and Technology (NRF-2018R1A2B2006489). The NEEM project was directed and organized by the Center for Ice and Climate at the Niels Bohr Institute and the Polar Programs office of the US National Science Foundation. The project was supported by funding agencies and institutions in Belgium (FNRS-CFB and FWO), Canada (NRCan/GSC), China (CAS), Denmark (FIST), France (IPEV, CNRS/INSU, CEA, and ANR), Germany (AWI), Iceland (Rannls), Japan (NIPR), Korea (KOPRI), Netherlands (NOW/ALW), Sweden (VR), Switzerland (SNF), the UK (NERC), and the United States (US NSF OPP).</t>
  </si>
  <si>
    <t>AMER CHEMICAL SOC</t>
  </si>
  <si>
    <t>1155 16TH ST, NW, WASHINGTON, DC 20036 USA</t>
  </si>
  <si>
    <t>0013-936X</t>
  </si>
  <si>
    <t>1520-5851</t>
  </si>
  <si>
    <t>ENVIRON SCI TECHNOL</t>
  </si>
  <si>
    <t>Environ. Sci. Technol.</t>
  </si>
  <si>
    <t>10.1021/acs.est.9b01805</t>
  </si>
  <si>
    <t>JP5BG</t>
  </si>
  <si>
    <t>WOS:000498279400004</t>
  </si>
  <si>
    <t>Yan, JP; Jung, JY; Zhang, MM; Xu, SQ; Lin, Q; Zhao, SH; Chen, LQ</t>
  </si>
  <si>
    <t>Yan, Jinpei; Jung, Jinyoung; Zhang, Miming; Xu, Suqing; Lin, Qi; Zhao, Shuhui; Chen, Liqi</t>
  </si>
  <si>
    <t>Significant Underestimation of Gaseous Methanesulfonic Acid (MSA) over Southern Ocean</t>
  </si>
  <si>
    <t>SEA-SALT SULFATE; MARINE BOUNDARY-LAYER; COASTAL ANTARCTIC AEROSOL; SOLUBLE INORGANIC-IONS; METHANE SULFONIC-ACID; DIMETHYL SULFIDE; SULFUR-DIOXIDE; DMS; PARTICLES; OXIDATION</t>
  </si>
  <si>
    <t>Methanesulfonic acid (MSA), derived from the oxidation of dimethylsulfide (DMS), has a significant impact on biogenic sulfur cycle and climate. Gaseous MSA (MSA(g)) has been often ignored in previous studies due to its quick conversion to particulate MSA (MSA(P)) and low concentrations. MSA(g), MSA(p), and nss-SO42- were observed simultaneously for the first time with high-time resolution (1 h) in the Southern Ocean (SO). The mean MSA level reached up to 3.3 +/- 1.6 pptv, ranging from similar to 24.5 pptv in the SO, contributing to 31% +/- 3% to the total MSA (MSA(T)). A reduction of the MSA to nss-SO42- ratios by about 30% was obtained when MSA(g) was not accounted for in the calculation, indicating that MSAg was very important in the assessment of the biogenic sulfur contributions in the atmosphere. Mass ratios of MSA to nss-SO42- increased first and then decreased with the temperature from -10 to 5 degrees C, with a maximum value at the temperature of -3 degrees C. Positive correlations between MSA(g) to MSA(T) ratios and temperature were presented, when the temperature was higher than 5 degrees C. This study highlights the importance of MSA(g) for understanding the atmospheric DMS oxidation mechanism and extends the knowledge of MSA formation in the marine atmosphere.</t>
  </si>
  <si>
    <t>[Yan, Jinpei; Zhang, Miming; Xu, Suqing; Lin, Qi; Zhao, Shuhui; Chen, Liqi] MNR, Key Lab Global Change &amp; Marine Atmospher Chem, Xiamen 361005, Fujian, Peoples R China; [Yan, Jinpei; Zhang, Miming; Xu, Suqing; Lin, Qi; Zhao, Shuhui; Chen, Liqi] Minist Nat Resources, Inst Oceanog 3, Xiamen 361005, Fujian, Peoples R China; [Jung, Jinyoung] Korea Polar Res Inst, 26 Songdomirae Ro, Incheon 21990, South Korea</t>
  </si>
  <si>
    <t>Ministry of Natural Resources of the People's Republic of China; Third Institute of Oceanography, Ministry of Natural Resources; Korea Polar Research Institute (KOPRI)</t>
  </si>
  <si>
    <t>Yan, JP (corresponding author), MNR, Key Lab Global Change &amp; Marine Atmospher Chem, Xiamen 361005, Fujian, Peoples R China.;Yan, JP (corresponding author), Minist Nat Resources, Inst Oceanog 3, Xiamen 361005, Fujian, Peoples R China.</t>
  </si>
  <si>
    <t>jpyan@tio.org.cn</t>
  </si>
  <si>
    <t>Yan, Jin Pei/0000-0002-1273-9422</t>
  </si>
  <si>
    <t>Qingdao National Laboratory for marine science and technology [QNLM2016ORP0109]; Natural Science Foundation of Fujian Province, China [2019J01120]; National Natural Science Foundation of China [21106018, 41305133]; Korea Polar Research Institute (KOPRI) [PE19060]</t>
  </si>
  <si>
    <t>Qingdao National Laboratory for marine science and technology; Natural Science Foundation of Fujian Province, China(Natural Science Foundation of Fujian Province); National Natural Science Foundation of China(National Natural Science Foundation of China (NSFC)); Korea Polar Research Institute (KOPRI)(Korea Polar Research Institute of Marine Research Placement (KOPRI))</t>
  </si>
  <si>
    <t>This study is Financially Supported by Qingdao National Laboratory for marine science and technology (No. QNLM2016ORP0109), the Natural Science Foundation of Fujian Province, China (No. 2019J01120), the National Natural Science Foundation of China (No. 21106018, No. 41305133). Jinyoung Jung was supported by grants from Korea Polar Research Institute (KOPRI) (PE19060). The authors gratefully acknowledge Guangzhou Hexin Analytical Instrument Company Limited for the SPAMS data analysis and on-board observation technical assistance, and Zhangjia Instrument Company Limited (Taiwan) for the IGAC data analysis.</t>
  </si>
  <si>
    <t>10.1021/acs.est.9b05362</t>
  </si>
  <si>
    <t>WOS:000498279400010</t>
  </si>
  <si>
    <t>Bates, HC; King, AJ; Hanna, KLD; Bowles, NE; Russell, SS</t>
  </si>
  <si>
    <t>Bates, H. C.; King, A. J.; Donaldson Hanna, K. L.; Bowles, N. E.; Russell, S. S.</t>
  </si>
  <si>
    <t>Linking mineralogy and spectroscopy of highly aqueously altered CM and CI carbonaceous chondrites in preparation for primitive asteroid sample return</t>
  </si>
  <si>
    <t>SPITZER-SPACE-TELESCOPE; X-RAY-DIFFRACTION; MODAL MINERALOGY; MU-M; REFLECTANCE SPECTRA; INFRARED-SPECTRA; OXYGEN-ISOTOPE; PARENT BODIES; WATER; ASSEMBLAGES</t>
  </si>
  <si>
    <t>The highly hydrated, petrologic type 1 CM and CI carbonaceous chondrites likely derived from primitive, water-rich asteroids, two of which are the targets for JAXA's Hayabusa2 and NASA's OSIRIS-REx missions. We have collected visible and near-infrared (VNIR) and mid infrared (MIR) reflectance spectra from well-characterized CM1/2, CM1, and CI1 chondrites and identified trends related to their mineralogy and degree of secondary processing. The spectral slope between 0.65 and 1.05 mu m decreases with increasing total phyllosilicate abundance and increasing magnetite abundance, both of which are associated with more extensive aqueous alteration. Furthermore, features at similar to 3 mu m shift from centers near 2.80 mu m in the intermediately altered CM1/2 chondrites to near 2.73 mu m in the highly altered CM1 chondrites. The Christiansen features (CF) and the transparency features shift to shorter wavelengths as the phyllosilicate composition of the meteorites becomes more Mg-rich, which occurs as aqueous alteration proceeds. Spectra also show a feature near 6 mu m, which is related to the presence of phyllosilicates, but is not a reliable parameter for estimating the degree of aqueous alteration. The observed trends can be used to estimate the surface mineralogy and the degree of aqueous alteration in remote observations of asteroids. For example, (1) Ceres has a sharp feature near 2.72 mu m, which is similar in both position and shape to the same feature in the spectra of the highly altered CM1 MIL 05137, suggesting abundant Mg-rich phyllosilicates on the surface. Notably, both OSIRIS-REx and Hayabusa2 have onboard instruments which cover the VNIR and MIR wavelength ranges, so the results presented here will help in corroborating initial results from Bennu and Ryugu.</t>
  </si>
  <si>
    <t>[Bates, H. C.; King, A. J.; Russell, S. S.] Nat Hist Museum, Planetary Mat Grp, Dept Earth Sci, Cromwell Rd, London SW7 5BD, England; [Bates, H. C.; Donaldson Hanna, K. L.; Bowles, N. E.] Univ Oxford, Atmospher Ocean &amp; Planetary Phys, Oxford OX1 3PU, England; [King, A. J.] Open Univ, Sch Phys Sci, Milton Keynes MK7 6AA, Bucks, England; [Donaldson Hanna, K. L.] Univ Cent Florida, Dept Phys, 4111 Libra Dr, Orlando, FL 32816 USA</t>
  </si>
  <si>
    <t>Natural History Museum London; University of Oxford; Open University - UK; State University System of Florida; University of Central Florida</t>
  </si>
  <si>
    <t>Bates, HC (corresponding author), Nat Hist Museum, Planetary Mat Grp, Dept Earth Sci, Cromwell Rd, London SW7 5BD, England.;Bates, HC (corresponding author), Univ Oxford, Atmospher Ocean &amp; Planetary Phys, Oxford OX1 3PU, England.</t>
  </si>
  <si>
    <t>h.bates@nhm.ac.uk</t>
  </si>
  <si>
    <t>Hanna, Kerri Donaldson/AAC-9941-2020</t>
  </si>
  <si>
    <t>King, Ashley/0000-0001-6113-5417; Bates, Helena/0000-0002-0469-9483; Russell, Sara/0000-0001-5531-7847</t>
  </si>
  <si>
    <t>NSF; NASA; Science and Technology Facilities Council (STFC), UK [1860431]; STFC [1860431] Funding Source: UKRI</t>
  </si>
  <si>
    <t>NSF(National Science Foundation (NSF)); NASA(National Aeronautics &amp; Space Administration (NASA)); Science and Technology Facilities Council (STFC), UK(UK Research &amp; Innovation (UKRI)Science &amp; Technology Facilities Council (STFC)); STFC(UK Research &amp; Innovation (UKRI)Science &amp; Technology Facilities Council (STFC))</t>
  </si>
  <si>
    <t>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Hot desert meteorite samples were provided by Laurence Garvie at the Center for Meteorite Studies, Arizona State University, USA. We thank Paul Schofield for analysis advice, and Maria Cristina De Sanctis for providing the spectrum of Ceres. We are grateful to Ed Cloutis and Pierre Beck for comments and reviews which greatly improved this manuscript. This work was supported by the Science and Technology Facilities Council (STFC), UK, through grant 1860431.</t>
  </si>
  <si>
    <t>10.1111/maps.13411</t>
  </si>
  <si>
    <t>WOS:000497057800001</t>
  </si>
  <si>
    <t>Foster, SD; Hosack, GR; Monk, J; Lawrence, E; Barrett, NS; Williams, A; Przeslawski, R</t>
  </si>
  <si>
    <t>Foster, Scott D.; Hosack, Geoffrey R.; Monk, Jacquomo; Lawrence, Emma; Barrett, Neville S.; Williams, Alan; Przeslawski, Rachel</t>
  </si>
  <si>
    <t>Spatially balanced designs for transect-based surveys</t>
  </si>
  <si>
    <t>METHODS IN ECOLOGY AND EVOLUTION</t>
  </si>
  <si>
    <t>balanced acceptance sample; MBHdesign; quadrat; quasi-random; spatial balance; survey design; transect; unequal probability sample</t>
  </si>
  <si>
    <t>Many sampling techniques rely on taking measurements along a transect; an example is underwater imagery from towed platforms used for marine ecological studies. Despite transect-based sampling being commonly used, methods to generate randomized survey designs have not hitherto been developed. We develop methods to generate random transect designs, which respect the user-defined probability of sampling each grid cell (the cell inclusion probabilities). We show how to: (a) define transect inclusion probabilities from user-specified cell inclusion probabilities, which allows particular environments to be sampled more often; (b) alter the cell and transect inclusion probabilities so that when transects are sampled the frequencies of sampling cells approximate the cell inclusion probabilities, and; (c) draw a spatially balanced probability sample of transects. The spatially balanced transect designs approximately maintain the cell inclusion probabilities. The greatest of the small departures occur near the extreme corners of our convex study region, which are difficult to place transects into. The proposed designs also exhibit superior spatial balance compared to the non-balanced counterparts. We illustrate the successful application of the method to a towed-camera survey of deep-sea (500-2,000 m depths) seamounts off Tasmania, Australia. This was a challenging application due to the complex topology of the setting, and uneven inclusion probabilities for the property of interest - the presence of a stony coral. Our approach develops the randomization approach to transect-based surveys, thereby ensuring that transect-based surveys can enjoy the same benefits as random point-based surveys. The method approximates the cell inclusion probabilities, and does so while spatially balancing the transects throughout the study area. Practitioners can access the methods through the R-package MBHdesign, which is available from CRAN. We anticipate that it will act as a cornerstone for transect-based ecological monitoring programmes.</t>
  </si>
  <si>
    <t>[Foster, Scott D.; Hosack, Geoffrey R.; Williams, Alan] CSIRO, Hobart, Tas, Australia; [Monk, Jacquomo; Barrett, Neville S.] Univ Tasmania, Inst Marine &amp; Antarctic Studies, Hobart, Tas, Australia; [Lawrence, Emma] CSIRO, Brisbane, Qld, Australia; [Przeslawski, Rachel] Geosci Australia, Canberra, ACT, Australia</t>
  </si>
  <si>
    <t>Commonwealth Scientific &amp; Industrial Research Organisation (CSIRO); University of Tasmania; Commonwealth Scientific &amp; Industrial Research Organisation (CSIRO); Geoscience Australia</t>
  </si>
  <si>
    <t>Foster, SD (corresponding author), CSIRO, Hobart, Tas, Australia.</t>
  </si>
  <si>
    <t>scott.foster@data61.csiro.au</t>
  </si>
  <si>
    <t>Lawrence, Emma/A-5584-2009; Hosack, Geoffrey/E-8566-2010; Przeslawski, Rachel/IRZ-9563-2023; Foster, Scott/E-9311-2010; Barrett, Neville/J-7593-2014</t>
  </si>
  <si>
    <t>Hosack, Geoffrey/0000-0002-6462-6817; Przeslawski, Rachel/0000-0003-0269-3755; Foster, Scott/0000-0002-6719-8002; Barrett, Neville/0000-0002-6167-1356</t>
  </si>
  <si>
    <t>Australian Government's National Environmental Science Program</t>
  </si>
  <si>
    <t>Australian Government's National Environmental Science Program(Australian Government)</t>
  </si>
  <si>
    <t>This work was undertaken for the Marine Biodiversity Hub, a collaborative partnership supported through funding from the Australian Government's National Environmental Science Program. We would like to thank Malcolm Clark, Thomas Schlacher, Jan Jansen, Vanessa Lucieer, Keith Hayes, Stanley Foster and David Peel for data, useful discussions and comments. The reviewers and editors of this work provided valuable critiques. R. Przeslawski publishes with the permission of the Chief Executive Officer of Geoscience Australia.</t>
  </si>
  <si>
    <t>2041-210X</t>
  </si>
  <si>
    <t>2041-2096</t>
  </si>
  <si>
    <t>METHODS ECOL EVOL</t>
  </si>
  <si>
    <t>Methods Ecol. Evol.</t>
  </si>
  <si>
    <t>10.1111/2041-210X.13321</t>
  </si>
  <si>
    <t>KC9VK</t>
  </si>
  <si>
    <t>WOS:000497053900001</t>
  </si>
  <si>
    <t>Beaumet, J; Déqué, M; Krinner, G; Agosta, C; Alias, A</t>
  </si>
  <si>
    <t>Beaumet, Julien; Deque, Michel; Krinner, Gerhard; Agosta, Cecile; Alias, Antoinette</t>
  </si>
  <si>
    <t>Effect of prescribed sea surface conditions on the modern and future Antarctic surface climate simulated by the ARPEGE atmosphere general circulation model</t>
  </si>
  <si>
    <t>MASS-BALANCE; ICE-SHEET; EAST ANTARCTICA; CMIP5 MODELS; PENINSULA; LAND; RESOLUTION; BIAS; PRECIPITATION; TEMPERATURE</t>
  </si>
  <si>
    <t>Owing to increase in snowfall, the Antarctic Ice Sheet surface mass balance is expected to increase by the end of the current century. Assuming no associated response of ice dynamics, this will be a negative contribution to sea-level rise. However, the assessment of these changes using dynamical downscaling of coupled climate model projections still bears considerable uncertainties due to poorly represented high-southern-latitude atmospheric circulation and sea surface conditions (SSCs), that is sea surface temperature and sea ice concentration. This study evaluates the Antarctic surface climate simulated using a global high-resolution atmospheric model and assesses the effects on the simulated Antarctic surface climate of two different SSC data sets obtained from two coupled climate model projections. The two coupled models from which SSCs are taken, MIROC-ESM and NorESM1-M, simulate future Antarctic sea ice trends at the opposite ends of the CMIP5 RCP8.5 projection range. The atmospheric model ARPEGE is used with a stretched grid configuration in order to achieve an average horizontal resolution of 35 km over Antarctica. Over the 1981-2010 period, ARPEGE is driven by the SSCs from MIROC-ESM, NorESM1-M and CMIP5 historical runs and by observed SSCs. These three simulations are evaluated against the ERA-Interim reanalyses for atmospheric general circulation as well as the MAR regional climate model and in situ observations for surface climate. For the late 21st century, SSCs from the same coupled climate models forced by the RCP8.5 emission scenario are used both directly and bias-corrected with an anomaly method which consists in adding the future climate anomaly from coupled model projections to the observed SSCs with taking into account the quantile distribution of these anomalies. We evaluate the effects of driving the atmospheric model by the bias-corrected instead of the original SSCs. For the simulation using SSCs from NorESM1-M, no significantly different climate change signals over Antarctica as a whole are found when bias-corrected SSCs are used. For the simulation driven by MIROC-ESM SSCs, a significant additional increase in precipitation and in winter temperatures for the Antarctic Ice Sheet is obtained when using bias-corrected SSCs. For the range of Antarctic warming found (+ 3 to +4 K), we confirm that snowfall increase will largely outweigh increases in melt and rainfall. Using the end members of sea ice trends from the CMIP5 RCP8.5 projections, the difference in warming obtained (similar to 1 K) is much smaller than the spread of the CMIP5 Antarctic warming projections. This confirms that the errors in representing the Southern Hemisphere atmospheric circulation in climate models are also determinant for the diversity of their projected late 21st century Antarctic climate change.</t>
  </si>
  <si>
    <t>[Beaumet, Julien; Krinner, Gerhard] Univ Grenoble Alpes, CNRS, IGE, F-38000 Grenoble, France; [Deque, Michel; Alias, Antoinette] Univ Toulouse, CNRS, CNRM, Meteo France, Toulouse, France; [Agosta, Cecile] Univ Paris Saclay, LSCE, IPSL, CEA,CNRS,UVSQ, F-91198 Gif Sur Yvette, France</t>
  </si>
  <si>
    <t>Centre National de la Recherche Scientifique (CNRS); Communaute Universite Grenoble Alpes; Universite Grenoble Alpes (UGA); Centre National de la Recherche Scientifique (CNRS); Universite Paris Cite; Universite Paris Saclay; CEA; Centre National de la Recherche Scientifique (CNRS)</t>
  </si>
  <si>
    <t>Beaumet, J (corresponding author), Univ Grenoble Alpes, CNRS, IGE, F-38000 Grenoble, France.</t>
  </si>
  <si>
    <t>julien.beaumet@univ-grenoble-alpes.fr</t>
  </si>
  <si>
    <t>Krinner, Gerhard/AAB-8837-2022; Agosta, Cécile/HLQ-5577-2023; Krinner, Gerhard/A-6450-2011; Agosta, Cecile/B-9625-2013</t>
  </si>
  <si>
    <t>Krinner, Gerhard/0000-0002-2959-5920; Agosta, Cecile/0000-0003-4091-1653</t>
  </si>
  <si>
    <t>Agence Nationale de la Recherche [ANR-14-CE01-0001-01, ANR-15-CE01-0003]; European Space Agency (ESA) as part of the Snow_cci project of the Climate Change Initiative (CCI) (ESA ESRIN); Agence Nationale de la Recherche (ANR) [ANR-15-CE01-0003] Funding Source: Agence Nationale de la Recherche (ANR)</t>
  </si>
  <si>
    <t>Agence Nationale de la Recherche(Agence Nationale de la Recherche (ANR)); European Space Agency (ESA) as part of the Snow_cci project of the Climate Change Initiative (CCI) (ESA ESRIN); Agence Nationale de la Recherche (ANR)(Agence Nationale de la Recherche (ANR))</t>
  </si>
  <si>
    <t>This research has been supported by the Agence Nationale de la Recherche (project ASUMA, grant no. ANR-14-CE01-0001-01, and project APRES3, grant no. ANR-15-CE01-0003) and by the European Space Agency (ESA) as part of the Snow_cci project of the Climate Change Initiative (CCI) (ESA ESRIN).</t>
  </si>
  <si>
    <t>NOV 18</t>
  </si>
  <si>
    <t>10.5194/tc-13-3023-2019</t>
  </si>
  <si>
    <t>JO7VQ</t>
  </si>
  <si>
    <t>WOS:000497783600002</t>
  </si>
  <si>
    <t>Cordero, RR; Asencio, V; Feron, S; Damiani, A; Llanillo, PJ; Sepulveda, E; Jorquera, J; Carrasco, J; Casassa, G</t>
  </si>
  <si>
    <t>Cordero, Raul R.; Asencio, Valentina; Feron, Sarah; Damiani, Alessandro; Llanillo, Pedro J.; Sepulveda, Edgardo; Jorquera, Jose; Carrasco, Jorge; Casassa, Gino</t>
  </si>
  <si>
    <t>Dry-Season Snow Cover Losses in the Andes (18°-40°S) driven by Changes in Large-Scale Climate Modes</t>
  </si>
  <si>
    <t>SOUTH-AMERICA-CHILE; EL-NINO; GLACIER PARAMETERS; CORDILLERA BLANCA; PACIFIC; TRENDS; VARIABILITY; ARGENTINA; MEGADROUGHT; RAINFALL</t>
  </si>
  <si>
    <t>The Andean snowpack is the primary source of water for many communities in South America. We have used Landsat imagery over the period 1986-2018 in order to assess the changes in the snow cover extent across a north-south transect of approximately 2,500 km (18 degrees-40 degrees S). Despite the significant interannual variability, here we show that the dry-season snow cover extent declined across the entire study area at an average rate of about -12% per decade. We also show that this decreasing trend is mainly driven by changes in the El Nino Southern Oscillation (ENSO), especially at latitudes lower than 34 degrees S. At higher latitudes (34 degrees-40 degrees S), where the El Nino signal is weaker, snow cover losses appear to be also influenced by the poleward migration of the westerly winds associated with the positive trend in the Southern Annular Mode (SAM).</t>
  </si>
  <si>
    <t>[Cordero, Raul R.; Asencio, Valentina; Feron, Sarah; Damiani, Alessandro; Llanillo, Pedro J.; Sepulveda, Edgardo; Jorquera, Jose] Univ Santiago Chile, Ave Bernardo OHiggins 3363, Santiago, Chile; [Feron, Sarah] Stanford Univ, Sch Earth Energy &amp; Environm Sci, Stanford, CA 94305 USA; [Damiani, Alessandro] Chiba Univ, Ctr Environm Remote Sensing, Chiba, Japan; [Carrasco, Jorge; Casassa, Gino] Univ Magallanes, Ctr Invest GAIA Antartica, Punta Arenas, Chile; [Casassa, Gino] Minist Obras Publ, Direcc Gen Aguas, Unidad Glaciol &amp; Nieves, Santiago, Chile</t>
  </si>
  <si>
    <t>Universidad de Santiago de Chile; Stanford University; Chiba University; Universidad de Magallanes</t>
  </si>
  <si>
    <t>Feron, S (corresponding author), Univ Santiago Chile, Ave Bernardo OHiggins 3363, Santiago, Chile.;Feron, S (corresponding author), Stanford Univ, Sch Earth Energy &amp; Environm Sci, Stanford, CA 94305 USA.</t>
  </si>
  <si>
    <t>sferon@stanford.edu</t>
  </si>
  <si>
    <t>Llanillo, Pedro J/L-5877-2015; Casassa, Gino/AAX-6142-2020; Carrasco, Jorge/ACG-6766-2022; Carrasco, Jorge/AAC-4799-2021</t>
  </si>
  <si>
    <t>Carrasco, Jorge/0000-0003-2154-5483; Carrasco, Jorge/0000-0003-2154-5483; Cordero, Raul R./0000-0001-7607-7993</t>
  </si>
  <si>
    <t>Consejo Nacional de Ciencia y Tecnologia [ACT1410, Fondecyt 1191932, 1171690]; The Chilean Antarctic Institute (INACH) [RT_70-18]; Corporacion de Fomento de la Produccion (CORFO) [Preis 17BPE-73748, 18BPCR-89100, 18BPE-93920, 19BP-117358]; Universidad de Santiago de Chile (Dicyt-Potdoc)</t>
  </si>
  <si>
    <t>Consejo Nacional de Ciencia y Tecnologia(Consejo Nacional de Ciencia y Tecnologia (CONACyT)); The Chilean Antarctic Institute (INACH); Corporacion de Fomento de la Produccion (CORFO); Universidad de Santiago de Chile (Dicyt-Potdoc)</t>
  </si>
  <si>
    <t>We gratefully acknowledge the Global Precipitation Climatology Project (GPCP) for the provision of the Precipitation Data: GPCP Version 2.2 Combined Data Set, available at https://precip.gsfc.nasa.gov/gpcp_v2.2_comb_new.html. We also acknowledge United States Geological Survey (USGS) for the provision of the digital elevation model (DEM) as well as the satellite imagery from three sensors: Landsat Thematic Mapper (TM) carried on Landsat 5, Landsat Enhanced Thematic Mapper Plus (ETM+) carried on Landsat 7, and Landsat 8 Operational Land Imager (OLI); Landsat imagery is available at https://earthexplorer.usgs.gov/. We also acknowledge NOAA's Climate Prediction Center (CPC) for the provision of weekly sea surface temperature (SST) anomalies in the Nino regions; data available at: https://www.cpc.ncep.noaa.gov/data/indices/wksst8110.for. The support of the Consejo Nacional de Ciencia y Tecnologia (Anillo ACT1410, as well as Fondecyt 1191932 &amp; 1171690), The Chilean Antarctic Institute (INACH, RT_70-18), and the Corporacion de Fomento de la Produccion (CORFO, Preis 17BPE-73748, 18BPCR-89100, 18BPE-93920 &amp; 19BP-117358), and the Universidad de Santiago de Chile (Dicyt-Potdoc), is gratefully acknowledged.</t>
  </si>
  <si>
    <t>10.1038/s41598-019-53486-7</t>
  </si>
  <si>
    <t>JN5EF</t>
  </si>
  <si>
    <t>WOS:000496920900001</t>
  </si>
  <si>
    <t>Martins, TP; Ramos, V; Hentschke, GS; Castelo-Branco, R; Rego, A; Monteiro, M; Brito, A; Tamagnini, P; Cary, SC; Vasconcelos, V; Krienitz, L; Magalhaes, C; Leao, PN</t>
  </si>
  <si>
    <t>Martins, Teresa P.; Ramos, Vitor; Hentschke, Guilherme S.; Castelo-Branco, Raquel; Rego, Adriana; Monteiro, Maria; Brito, Angela; Tamagnini, Paula; Cary, S. Craig; Vasconcelos, Vitor; Krienitz, Lothar; Magalhaes, Catarina; Leao, Pedro N.</t>
  </si>
  <si>
    <t>The Extremophile Endolithella mcmurdoensis gen. et sp. nov. (Trebouxiophyceae, Chlorellaceae), A New Chlorella-like Endolithic Alga From Antarctica</t>
  </si>
  <si>
    <t>JOURNAL OF PHYCOLOGY</t>
  </si>
  <si>
    <t>18S rRNA; extremophiles; genus; LEGEcc; microalgae; sandstone</t>
  </si>
  <si>
    <t>GREEN-ALGAE; DRY VALLEYS; CHLOROPHYTA; DIVERSITY; COMMUNITY; ISLAND; POLYPHOSPHATE; MICROBIOLOGY; MICROALGAE; SEQUENCES</t>
  </si>
  <si>
    <t>The McMurdo Dry Valleys constitute the largest ice-free region of Antarctica and one of the most extreme deserts on Earth. Despite the low temperatures, dry and poor soils and katabatic winds, some microbes are able to take advantage of endolithic microenvironments, inhabiting the pore spaces of soil and constituting photosynthesis-based communities. We isolated a green microalga, Endolithella mcmurdoensis gen. et sp. nov, from an endolithic sandstone sample collected in the McMurdo Dry Valleys (Victoria Land, East Antarctica) during the K020 expedition, in January 2013. The single non-axenic isolate (E. mcmurdoensis LEGE Z-009) exhibits cup-shaped chloroplasts, electron-dense bodies, and polyphosphate granules but our analysis did not reveal any diagnostic morphological characters. On the basis of phylogenetic analysis of the 18S rRNA (SSU) gene, the isolate was found to represent a new genus within the family Chlorellaceae.</t>
  </si>
  <si>
    <t>[Martins, Teresa P.; Ramos, Vitor; Hentschke, Guilherme S.; Castelo-Branco, Raquel; Rego, Adriana; Monteiro, Maria; Vasconcelos, Vitor; Magalhaes, Catarina; Leao, Pedro N.] Univ Porto, Ctr Interdisciplinar Invest Marinha &amp; Ambiental, Terminal Cruzeiros Porto Leixoes, P-4450208 Matosinhos, Portugal; [Monteiro, Maria; Cary, S. Craig] Univ Waikato, Sch Sci, Hamilton, New Zealand; [Brito, Angela; Tamagnini, Paula] Univ Porto, Inst Invest &amp; Inovacao Saude, Rua Alfredo Allen 208, P-4200135 Porto, Portugal; [Brito, Angela; Tamagnini, Paula] Univ Porto, Inst Biol Mol &amp; Celular, Rua Alfredo Allen 208, P-4200135 Porto, Portugal; [Tamagnini, Paula; Vasconcelos, Vitor; Magalhaes, Catarina] Univ Porto, Fac Ciencias, Rua Campo Alegre, P-4169007 Porto, Portugal; [Cary, S. Craig] Univ Waikato, Int Ctr Terr Antarctic Res, Hamilton, New Zealand; [Krienitz, Lothar] Leibniz Inst Freshwater Ecol &amp; Inland Fisheries, Dept Expt Limnol, D-16775 Stechlin, Germany; [Ramos, Vitor] Inst Politecn Braganca, Ctr Invest Montanha CIMO, Campus Santa Apolenia, P-5300253 Braganca, Portugal</t>
  </si>
  <si>
    <t>Universidade do Porto; University of Waikato; Universidade do Porto; i3S - Instituto de Investigacao e Inovacao em Saude, Universidade do Porto; Universidade do Porto; Universidade do Porto; University of Waikato; Leibniz Institut fur Gewasserokologie und Binnenfischerei (IGB); Instituto Politecnico de Braganca</t>
  </si>
  <si>
    <t>Leao, PN (corresponding author), Univ Porto, Ctr Interdisciplinar Invest Marinha &amp; Ambiental, Terminal Cruzeiros Porto Leixoes, P-4450208 Matosinhos, Portugal.</t>
  </si>
  <si>
    <t>pleao@ciimar.up.pt</t>
  </si>
  <si>
    <t>Tamagnini, Paula/AGF-3206-2022; Rego, Adriana/KBD-3225-2024; Leão, Pedro N./E-1630-2011; REGO, ADRIANA/AAT-8017-2020; Vasconcelos, Vitor/A-8933-2008; Brito, Angela/I-4008-2016; Magalhaes, Catarina/A-6836-2016; Ramos, Vitor/A-4540-2011</t>
  </si>
  <si>
    <t>Tamagnini, Paula/0000-0003-4396-2122; Rego, Adriana/0000-0001-9647-1197; Leão, Pedro N./0000-0001-5064-9164; REGO, ADRIANA/0000-0002-2494-030X; Vasconcelos, Vitor/0000-0003-3585-2417; Scotta Hentschke, Guilherme/0000-0003-4396-024X; Cary, Stephen/0000-0002-2876-2387; Brito, Angela/0000-0001-5153-5230; Magalhaes, Catarina/0000-0001-9576-2398; Martins, Teresa/0000-0002-0594-8584; Ramos, Vitor/0000-0002-5824-3633; Castelo Branco, Raquel/0000-0001-6627-0140</t>
  </si>
  <si>
    <t>New Zealand Terrestrial Antarctic Biocomplexity Survey (nzTABS) through New Zealand Foundation for Research and Technology (FRST) [UOWX0710, UOWX1401]; Antarctica New Zealand; New Zealand Ministry of Business, Innovation and Employment; Portuguese Science and Technology Foundation (FCT) [UID/Multi/04423/2019, IF/01358/2014, PTDC/MAR-BIO/2818/2012, PTDC/CTA-AMB/30997/2017, SFRH/BD/140567/2018]; Fundação para a Ciência e a Tecnologia [PTDC/MAR-BIO/2818/2012, PTDC/CTA-AMB/30997/2017, SFRH/BD/140567/2018] Funding Source: FCT</t>
  </si>
  <si>
    <t>New Zealand Terrestrial Antarctic Biocomplexity Survey (nzTABS) through New Zealand Foundation for Research and Technology (FRST); Antarctica New Zealand; New Zealand Ministry of Business, Innovation and Employment(New Zealand Ministry of Business, Innovation and Employment (MBIE)); Portuguese Science and Technology Foundation (FCT)(Fundacao para a Ciencia e a Tecnologia (FCT)); Fundação para a Ciência e a Tecnologia(Fundacao para a Ciencia e a Tecnologia (FCT))</t>
  </si>
  <si>
    <t>We are sincerely grateful to Antarctica New Zealand for providing logistics support during K020 event. This campaign was conducted as part of the New Zealand Terrestrial Antarctic Biocomplexity Survey (nzTABS) through awards (UOWX0710 and UOWX1401) from the New Zealand Foundation for Research and Technology (FRST), Antarctica New Zealand, and the New Zealand Ministry of Business, Innovation and Employment to SCC. The work was also supported by the Portuguese Science and Technology Foundation (FCT) through grants UID/Multi/04423/2019 to CIIMAR, IF/01358/2014 and PTDC/MAR-BIO/2818/2012 to PNL, PTDC/CTA-AMB/30997/2017 to CM, and PhD scholarships to AR (SFRH/BD/140567/2018).</t>
  </si>
  <si>
    <t>0022-3646</t>
  </si>
  <si>
    <t>1529-8817</t>
  </si>
  <si>
    <t>J PHYCOL</t>
  </si>
  <si>
    <t>J. Phycol.</t>
  </si>
  <si>
    <t>10.1111/jpy.12940</t>
  </si>
  <si>
    <t>KL3AD</t>
  </si>
  <si>
    <t>WOS:000496745000001</t>
  </si>
  <si>
    <t>Reid, AJ; Halpin, JA; Dutch, RA</t>
  </si>
  <si>
    <t>Reid, A. J.; Halpin, J. A.; Dutch, R. A.</t>
  </si>
  <si>
    <t>Timing and style of high-temperature metamorphism across the Western Gawler Craton during the Paleo- to Mesoproterozoic</t>
  </si>
  <si>
    <t>AUSTRALIAN JOURNAL OF EARTH SCIENCES</t>
  </si>
  <si>
    <t>Metamorphism; phase equilibria; monazite; geochronology; tectonics; Proterozoic; Gawler Craton</t>
  </si>
  <si>
    <t>HIGH-GRADE METAMORPHISM; U-PB ZIRCON; AGE CONSTRAINTS; SOUTH-AUSTRALIA; EYRE PENINSULA; EVOLUTION; DEFORMATION; MAGMATISM; REWORKING; GEOCHRONOLOGY</t>
  </si>
  <si>
    <t>Combined in situ monazite dating, mineral equilibria modelling and zircon U-Pb detrital zircon analysis provide insight into the pressure-temperature-time (P-T-t) evolution of the western Gawler Craton. In the Nawa Domain, pelitic and quartzo-feldspathic gneisses were deposited after ca 1760 Ma and record high-grade metamorphic conditions of similar to 7.5 kbar and 850 degrees C at ca 1730 Ma. Post-peak microstructures, including partial plagioclase coronae and late biotite around garnet, and subtle retrograde garnet compositional zoning, suggest that these rocks cooled along a shallow down-pressure trajectory across an elevated dry solidus. In the northwest Fowler Domain (Colona Block), monazite grains from pelitic gneisses record two stages of growth/recrystallisation interpreted to represent discrete parts of the P-T path: (1) ca 1710 Ma monazite growth during prograde to peak conditions, and (2) ca 1690 Ma Y-enriched monazite growth/recrystallisation during partial garnet breakdown and cooling towards the solidus. Relict prograde growth zoning in garnet suggests rocks underwent a steep up-P path to peak conditions of similar to 8 kbar at 800 degrees C. The new P-T-t results suggest basement rocks of the southwestern Nawa and northwestern Fowler were buried to depths of 20-25 km during the Kimban Orogeny, ca 10 Myrs after the sedimentary precursors were deposited. The P-T path for the Kimban Orogeny is broadly anti-clockwise, suggesting that at least the early phase of this event was associated with extension. Exhumation of rocks from both the southwestern Nawa and northwestern Fowler domains may have occurred during the waning stages of the Kimban Orogeny (</t>
  </si>
  <si>
    <t>[Reid, A. J.; Dutch, R. A.] Geol Survey South Australia, Dept Energy &amp; Min, Adelaide, SA 5001, Australia; [Reid, A. J.; Dutch, R. A.] Univ Adelaide, Dept Earth Sci, Adelaide, SA 5005, Australia; [Halpin, J. A.] Univ Tasmania, ARC Ctr Excellence Ore Deposits CODES, Sch Nat Sci, Hobart, Tas 7001, Australia; [Halpin, J. A.] Univ Tasmania, Inst Marine &amp; Antarctic Studies, Private Bag 129, Hobart, Tas 7001, Australia</t>
  </si>
  <si>
    <t>University of Adelaide; University of Tasmania; University of Tasmania</t>
  </si>
  <si>
    <t>Reid, AJ (corresponding author), Geol Survey South Australia, Dept Energy &amp; Min, Adelaide, SA 5001, Australia.;Reid, AJ (corresponding author), Univ Adelaide, Dept Earth Sci, Adelaide, SA 5005, Australia.</t>
  </si>
  <si>
    <t>anthony.reid@sa.gov.au</t>
  </si>
  <si>
    <t>; Halpin, Jacqueline/A-3776-2014</t>
  </si>
  <si>
    <t>Reid, Anthony/0000-0002-9435-9342; Halpin, Jacqueline/0000-0002-4992-8681; Dutch, Rian/0000-0003-4247-7483</t>
  </si>
  <si>
    <t>0812-0099</t>
  </si>
  <si>
    <t>1440-0952</t>
  </si>
  <si>
    <t>AUST J EARTH SCI</t>
  </si>
  <si>
    <t>Aust. J. Earth Sci.</t>
  </si>
  <si>
    <t>NOV 17</t>
  </si>
  <si>
    <t>10.1080/08120099.2019.1602565</t>
  </si>
  <si>
    <t>IZ4FZ</t>
  </si>
  <si>
    <t>WOS:000487041000001</t>
  </si>
  <si>
    <t>Constantinou, NC; Hogg, AM</t>
  </si>
  <si>
    <t>Constantinou, Navid C.; Hogg, Andrew McC</t>
  </si>
  <si>
    <t>Eddy Saturation of the Southern Ocean: A Baroclinic Versus Barotropic Perspective</t>
  </si>
  <si>
    <t>Southern Ocean; Antarctic Circumpolar Current; eddy saturation; ocean eddies; topographic form stress; wind stress</t>
  </si>
  <si>
    <t>ANTARCTIC CIRCUMPOLAR CURRENT; WIND-DRIVEN; OVERTURNING CIRCULATION; MOMENTUM BALANCE; FORM STRESS; CURRENT TRANSPORT; TRANSIENT EDDIES; MODEL; PACIFIC; CHANNEL</t>
  </si>
  <si>
    <t>Eddy saturation is the regime in which the total time-mean volume transport of an oceanic current is relatively insensitive to the wind stress forcing and is often invoked as a dynamical description of Southern Ocean circulation. We revisit the problem of eddy saturation using a primitive equations model in an idealized channel setup with bathymetry. We apply only mechanical wind stress forcing; there is no diapycnal mixing or surface buoyancy forcing. Our main aim is to assess the relative importance of two mechanisms for producing eddy-saturated states: (i) the commonly invoked baroclinic mechanism that involves the competition of sloping isopycnals and restratification by production of baroclinic eddies and (ii) the barotropic mechanism that involves production of eddies through lateral shear instabilities or through the interaction of the barotropic current with bathymetric features. Our results suggest that the barotropic flow component plays a crucial role in determining the total volume transport.</t>
  </si>
  <si>
    <t>[Constantinou, Navid C.; Hogg, Andrew McC] Australian Natl Univ, Res Sch Earth Sci, Canberra, ACT, Australia; [Constantinou, Navid C.; Hogg, Andrew McC] Australian Natl Univ, ARC Ctr Excellence Climate Extremes, Canberra, ACT, Australia</t>
  </si>
  <si>
    <t>Australian National University; Australian National University</t>
  </si>
  <si>
    <t>Constantinou, NC (corresponding author), Australian Natl Univ, Res Sch Earth Sci, Canberra, ACT, Australia.;Constantinou, NC (corresponding author), Australian Natl Univ, ARC Ctr Excellence Climate Extremes, Canberra, ACT, Australia.</t>
  </si>
  <si>
    <t>Navid.Constantinou@anu.edu.au</t>
  </si>
  <si>
    <t>Hogg, Andy/AAZ-8733-2021; Constantinou, Navid C/GVS-6295-2022; Hogg, Andy McC./A-7553-2011</t>
  </si>
  <si>
    <t>Hogg, Andy/0000-0001-5898-7635; Constantinou, Navid C/0000-0002-8149-4094; Hogg, Andy McC./0000-0001-5898-7635</t>
  </si>
  <si>
    <t>Commonwealth of Australia</t>
  </si>
  <si>
    <t>Commonwealth of Australia(Australian Government)</t>
  </si>
  <si>
    <t>We acknowledge fruitful discussions with Louis-Phillipe Nadeau, Callum Shakespeare, Kial Stewart, and William Young. We appreciate the constructive review comments by Dave Munday and an anonymous reviewer. Furthermore, N. C. C. is indebted to Alistair Adcroft, Angus Gibson, Bob Hallberg, and Aidan Heerdegen for their help regarding using MOM6. Numerical simulations were conducted on the Australian National Computational Infrastructure at ANU, which is supported by the Commonwealth of Australia. MOM6 code is available online (https://github.com/NOAA-GFDL/MOM6).The model setup for the experiments presented can be found online (https://github.com/navidcy/EddySaturation-MOM6/).Model output is available online (https://doi.org/10.5281/zenodo.3246030).Scripts for producing figures are also available online (https://github.com/navidcy/EddySaturation-BtBc-GRL).</t>
  </si>
  <si>
    <t>NOV 16</t>
  </si>
  <si>
    <t>10.1029/2019GL084117</t>
  </si>
  <si>
    <t>JU5NV</t>
  </si>
  <si>
    <t>Green Submitted, Green Published</t>
  </si>
  <si>
    <t>WOS:000501723000068</t>
  </si>
  <si>
    <t>Calonne, N; Milliancourt, L; Burr, A; Philip, A; Martin, CL; Flin, F; Geindreau, C</t>
  </si>
  <si>
    <t>Calonne, Neige; Milliancourt, Lucas; Burr, Alexis; Philip, Armelle; Martin, Christophe L.; Flin, Frederic; Geindreau, Christian</t>
  </si>
  <si>
    <t>Thermal Conductivity of Snow, Firn, and Porous Ice From 3-D Image-Based Computations</t>
  </si>
  <si>
    <t>snow; firn; ice; conductivity; microstructure; tomography</t>
  </si>
  <si>
    <t>TEMPERATURE-GRADIENT METAMORPHISM; MICROSTRUCTURAL EVOLUTION; PHYSICAL-PROPERTIES; GREENLAND; HEAT; SUMMIT; MODEL; GLACIER; CORE; COLD</t>
  </si>
  <si>
    <t>Estimating thermal conductivity of snow, firn, and porous ice is key for modeling the thermal regime of alpine and polar glaciers. Whereas thermal conductivity of snow was widely investigated, studies on firn and porous ice are very scarce. This study presents the effective thermal conductivity tensor computed from 64 3-D images of microstructures of snow, antarctic firn, and porous ice at -3, -20, and -60 degrees C. We show that, in contrast with snow, conductivity of firn and porous ice correlates linearly with density, is approximately isotropic, and is largely impacted by temperature. We report that performances of commonly used estimates of thermal conductivity vary largely with density. In particular, formulas designed for snow lead to significant underestimations when applied to denser ice structures. We present a new formulation to accurately estimate the thermal conductivity throughout the whole density range, from fresh snow to bubbly ice, and for any temperature conditions encountered in glaciers.</t>
  </si>
  <si>
    <t>[Calonne, Neige; Flin, Frederic] Univ Toulouse, Univ Grenoble Alpes, CNRS, CNRM,Meteo France,Ctr Etud Neige, Grenoble, France; [Milliancourt, Lucas; Burr, Alexis; Philip, Armelle] Univ Grenoble Alpes, CNRS, Grenoble INP Inst Engn, IGE,IRD, Grenoble, France; [Milliancourt, Lucas; Geindreau, Christian] Univ Grenoble Alpes, 3SR, CNRS, Grenoble INP Inst Engn, Grenoble, France; [Burr, Alexis; Martin, Christophe L.] Univ Grenoble Alpes, CNRS, SIMaP, Grenoble INP Inst Engn, Grenoble, France</t>
  </si>
  <si>
    <t>Communaute Universite Grenoble Alpes; Universite Grenoble Alpes (UGA); Centre National de la Recherche Scientifique (CNRS); Meteo France; Centre National de la Recherche Scientifique (CNRS); Communaute Universite Grenoble Alpes; Universite Grenoble Alpes (UGA); Institut de Recherche pour le Developpement (IRD); Communaute Universite Grenoble Alpes; Institut National Polytechnique de Grenoble; Universite Grenoble Alpes (UGA); Centre National de la Recherche Scientifique (CNRS); Communaute Universite Grenoble Alpes; Institut National Polytechnique de Grenoble; Universite Grenoble Alpes (UGA); Centre National de la Recherche Scientifique (CNRS)</t>
  </si>
  <si>
    <t>Calonne, N (corresponding author), Univ Toulouse, Univ Grenoble Alpes, CNRS, CNRM,Meteo France,Ctr Etud Neige, Grenoble, France.</t>
  </si>
  <si>
    <t>neige.calonne@meteo.fr</t>
  </si>
  <si>
    <t>Burr, Alexis/0000-0003-1240-4873; Calonne, Neige/0000-0001-6091-0186; Flin, Frederic/0000-0001-9931-7769</t>
  </si>
  <si>
    <t>Labex Tec 21 (Investissements d'Avenir) [ANR-11-LABX-0030]; Labex OSUG@2020 (Investissements d'Avenir) [ANR-10-LABX-0056]; Labex CEMAM (Center of Excellence of Multifunctional Architectured Materials, Investments for the Future Program) [ANR-10-LABX-44-01]; Agence Nationale de la Recherche (ANR) [ANR-10-LABX-0056] Funding Source: Agence Nationale de la Recherche (ANR)</t>
  </si>
  <si>
    <t>Labex Tec 21 (Investissements d'Avenir)(Agence Nationale de la Recherche (ANR)); Labex OSUG@2020 (Investissements d'Avenir)(Agence Nationale de la Recherche (ANR)); Labex CEMAM (Center of Excellence of Multifunctional Architectured Materials, Investments for the Future Program); Agence Nationale de la Recherche (ANR)(Agence Nationale de la Recherche (ANR))</t>
  </si>
  <si>
    <t>The data presented in this paper are available online (https://doi.pangaea.de/10.1594/PANGAEA.906906).We greatly thank Sergey Marchenko for kindly providing his data set of thermal conductivity obtained at Lomonosovfonna, Svalbard. The 3SR lab is part of the Labex Tec 21 (Investissements d'Avenir, Grant Agreement ANR-11-LABX-0030). CNRM/CEN and IGE are part of Labex OSUG@2020 (Investissements d'Avenir, Grant ANR-10-LABX-0056). Authors acknowledge the Labex CEMAM (Center of Excellence of Multifunctional Architectured Materials, Investments for the Future Program, Grant ANR-10-LABX-44-01) for its contribution for the funding of the X-ray tomography equipment. This work has been also supported by a grant from Labex OSUG@2020 (Investissements d'Avenir-ANR-10-LABX-0056). We also thank the ID19 beamline of the ESRF for the acquisition of several tomographic images used in this study. We greatly thank Adrien Gilbert and an anonymous reviewer for their comments, which improved the manuscript quality.</t>
  </si>
  <si>
    <t>10.1029/2019GL085228</t>
  </si>
  <si>
    <t>WOS:000496646900001</t>
  </si>
  <si>
    <t>Meijers, AJS; Cerovecki, I; King, BA; Tamsitt, V</t>
  </si>
  <si>
    <t>Meijers, A. J. S.; Cerovecki, I.; King, B. A.; Tamsitt, V.</t>
  </si>
  <si>
    <t>A See-Saw in Pacific Subantarctic Mode Water Formation Driven by Atmospheric Modes</t>
  </si>
  <si>
    <t>Southern Ocean; Mode Water; Heat uptake; Variability; Atmospheric modes</t>
  </si>
  <si>
    <t>SOUTHERN-OCEAN; CIRCUMPOLAR CURRENT; VARIABILITY; ICE; CIRCULATION; TRENDS</t>
  </si>
  <si>
    <t>Subantarctic Mode Water (SAMW) in the Pacific forms in two distinct pools in the south central and southeast Pacific, which subduct into the ocean interior and impact global storage of heat and carbon. Wintertime thickness of the central and eastern SAMW pools vary predominantly out of phase with each other, by up to +/- 150 m between years, resulting in an interannual thickness see-saw. The thickness in the eastern (central) pool is found to be strongly positively (negatively) correlated with both the Southern Annular Mode (SAM) and El Nino-Southern Oscillation (ENSO). The relative phases of the SAM and ENSO set the SAMW thickness, with in phase reinforcing modes in 2005-2008 and 2012-2017 driving strong differences between the pools. Between 2008 and 2012 out of phase atmospheric modes result in less coherent SAMW patterns. SAMW thickness is dominated by local formation driven by SAM and ENSO modulated wind stress and turbulent heat fluxes.</t>
  </si>
  <si>
    <t>[Meijers, A. J. S.] British Antarctic Survey, Cambridge, England; [Cerovecki, I.] Scripps Inst Oceanog, La Jolla, CA USA; [King, B. A.] Natl Oceanog Ctr, Southampton, Hants, England; [Tamsitt, V.] Univ New South Wales, Sydney, NSW, Australia; [Tamsitt, V.] CSIRO Oceans &amp; Atmosphere, Ctr Southern Hemisphere Oceans Res, Hobart, Tas, Australia</t>
  </si>
  <si>
    <t>UK Research &amp; Innovation (UKRI); Natural Environment Research Council (NERC); NERC British Antarctic Survey; University of California System; University of California San Diego; Scripps Institution of Oceanography; NERC National Oceanography Centre; University of New South Wales Sydney; Commonwealth Scientific &amp; Industrial Research Organisation (CSIRO)</t>
  </si>
  <si>
    <t>Meijers, AJS (corresponding author), British Antarctic Survey, Cambridge, England.</t>
  </si>
  <si>
    <t>andmei@bas.ac.uk</t>
  </si>
  <si>
    <t>Tamsitt, Veronica/0000-0001-8816-2239; KING, Brian/0000-0003-1338-3234</t>
  </si>
  <si>
    <t>Natural Environment Research Council (NERC) [NE/N018095/1]; National Science Foundation (NSF) Ocean Sciences grant [NSF OCE1658001]; CSIRO; NERC [NE/N018095/1, bas0100033] Funding Source: UKRI</t>
  </si>
  <si>
    <t>Natural Environment Research Council (NERC)(UK Research &amp; Innovation (UKRI)Natural Environment Research Council (NERC)); National Science Foundation (NSF) Ocean Sciences grant(National Science Foundation (NSF)); CSIRO(Commonwealth Scientific &amp; Industrial Research Organisation (CSIRO)); NERC(UK Research &amp; Innovation (UKRI)Natural Environment Research Council (NERC))</t>
  </si>
  <si>
    <t>A. M. and B. K. were supported by Natural Environment Research Council (NERC) grants NE/N018095/1 (Ocean Regulation of Climate by Heat and Carbon Sequestration and Transports; ORCHESTRA). I. C. was supported by the National Science Foundation (NSF) Ocean Sciences grant NSF OCE1658001 to Scripps Institution of Oceanography. V.T. acknowledges support from CHSOR; CSHOR is a joint research center for Southern Hemisphere Ocean Research between QNLM and CSIRO. Data used in this work may be freely obtained from the websites listed in the Data and Methods section. Argo data were collected and made freely available by the International Argo Program and the national programs that contribute to it. (http://www.argo.ucsd.edu, http://argo.jcommops.org).The Argo Program is part of the Global Ocean Observing System. The Argo gridded product described in section is available for download at ftp://ftp.bas.ac.uk/pub/andmei/Argo_mappings/S_pac.</t>
  </si>
  <si>
    <t>10.1029/2019GL085280</t>
  </si>
  <si>
    <t>WOS:000496649000001</t>
  </si>
  <si>
    <t>Alexander, SP; Protat, A</t>
  </si>
  <si>
    <t>Alexander, S. P.; Protat, A.</t>
  </si>
  <si>
    <t>Vertical Profiling of Aerosols With a Combined Raman-Elastic Backscatter Lidar in the Remote Southern Ocean Marine Boundary Layer (43-66°S, 132-150°E)</t>
  </si>
  <si>
    <t>Southern Ocean; aerosol; atmospheric boundary layer; Raman lidar</t>
  </si>
  <si>
    <t>OPTICAL-PROPERTIES; DEPOLARIZATION RATIO; SAHARAN DUST; ATLANTIC-OCEAN; EXTINCTION; SATELLITE; SURFACE; CLOUDS; BORNE; CLASSIFICATION</t>
  </si>
  <si>
    <t>A combined Raman-elastic backscatter lidar, deployed aboard the research vessel RV Investigator for two campaigns for a total of 10 week's ship time, is used to quantify the properties of aerosols within the remote Southern Ocean marine boundary layer between Australia and Antarctica in the region 43-66 degrees S and 132-150 degrees E. Eleven Raman case studies are identified for analyses. Particle linear depolarization ratio and height-resolved lidar ratio S, calculated from the Raman retrievals, are consistent with values expected within the surface mixed layer for clean marine conditions. We determine S=(19 +/- 7) sr across the Southern Ocean with the Raman lidar observations. Aerosol optical properties in the marine boundary layer close to Tasmania (43 degrees S) sometimes indicate the influence of continental air masses. Aerosol optical depth at 355 nm calculated from the retrieved Raman extinction profiles within the surface mixed layer is tau=(0.11 +/- 0.04). Boundary-layer height is determined from the lidar observations and decreases from (0.9 +/- 0.4) km north of the Polar Front (around 55 degrees S) to (0.7 +/- 0.2) km south of the Polar Front. Dried sea salt is present above the midlatitude ocean in the dehumidified decoupled layer in different synoptic-scale atmospheric conditions including beneath a high-pressure system and in a post-frontal air mass. At all latitudes across the Southern Ocean, large aerosol backscatter, low depolarization ratio, and high relative humidity indicate the presence of sea salt droplets within the well-mixed near-surface layer.</t>
  </si>
  <si>
    <t>[Alexander, S. P.] Australian Antarctic Div, Kingston, Tas, Australia; [Alexander, S. P.] Antarctic Climate &amp; Ecosyst Cooperat Res Ctr, Hobart, Tas, Australia; [Protat, A.] Bur Meteorol, Melbourne, Vic, Australia</t>
  </si>
  <si>
    <t>Australian Antarctic Division; Antarctic Climate &amp; Ecosystems Cooperative Research Centre (ACE CRC); Bureau of Meteorology - Australia</t>
  </si>
  <si>
    <t>Alexander, SP (corresponding author), Australian Antarctic Div, Kingston, Tas, Australia.;Alexander, SP (corresponding author), Antarctic Climate &amp; Ecosyst Cooperat Res Ctr, Hobart, Tas, Australia.</t>
  </si>
  <si>
    <t>simon.alexander@aad.gov.au</t>
  </si>
  <si>
    <t>Alexander, Simon/0000-0001-6823-8857</t>
  </si>
  <si>
    <t>Australian Antarctic Programme [4292]</t>
  </si>
  <si>
    <t>Australian Antarctic Programme</t>
  </si>
  <si>
    <t>This research was conducted for Project 4292 of the Australian Antarctic Programme. The authors thank the Australian Marine National Facility (MNF) for its grant of sea time on Research Vessel Investigator and associated personnel, scientific equipment, and data management. We thank Murray Hamilton for the CAPRICORN-2016 radiosonde data and Bill Brown and theNational Centre for Atmospheric Research (NCAR) for the CAPRICORN-2018 radiosonde data. We thank Daniel Buonome and Isabel Suhr for launching and collection of the CAPRICORN-2018 radiosonde data aboard the ship. The RMAN lidar data and the 2016 radiosonde data are available at the following permanent, freely accessible archive (ftp://ftp.bom.gov.au/anon/home/cawcr/perm/protat/JGR2019_ Alexander_Lidar_Data/), while the 2018 radiosonde data are available at the following permanent, freely accessible archive (http://data.eol.ucar.edu/dataset/552.008).The METOP satellite images were downloaded from https://navigator.eumetsat.int/start following registration, while ERA-Interim data were downloaded from https://apps.ecmwf.int/datasets/following registration.</t>
  </si>
  <si>
    <t>10.1029/2019JD030628</t>
  </si>
  <si>
    <t>WOS:000496669100001</t>
  </si>
  <si>
    <t>Pappa, F; Ebbing, J; Ferraccioli, F; van der Wal, W</t>
  </si>
  <si>
    <t>Pappa, F.; Ebbing, J.; Ferraccioli, F.; van der Wal, W.</t>
  </si>
  <si>
    <t>Modeling Satellite Gravity Gradient Data to Derive Density, Temperature, and Viscosity Structure of the Antarctic Lithosphere</t>
  </si>
  <si>
    <t>Antarctica; Moho; Lithosphere; Glacial Isostatic Adjustment; Gravity Gradients</t>
  </si>
  <si>
    <t>UPPER-MANTLE STRUCTURE; WILKES SUBGLACIAL BASIN; MARIE BYRD LAND; NORTHERN TRANSANTARCTIC MOUNTAINS; ISOSTATIC-ADJUSTMENT MODEL; RAPID BEDROCK UPLIFT; DRONNING MAUD LAND; STRUCTURE BENEATH; WEST ANTARCTICA; THERMAL STRUCTURE</t>
  </si>
  <si>
    <t>In this study we combine seismological and petrological models with satellite gravity gradient data to obtain the thermal and compositional structure of the Antarctic lithosphere. Our results indicate that Antarctica is largely in isostatic equilibrium, although notable anomalies exist. A new Antarctic Moho depth map is derived that fits the satellite gravity gradient anomaly field and is in good agreement with independent seismic estimates. It exhibits detailed crustal thickness variations also in areas of East Antarctica that are poorly explored due to sparse seismic station coverage. The thickness of the lithosphere in our model is in general agreement with seismological estimates, confirming the marked contrast between West Antarctica (&lt;100 km) and East Antarctica (up to 260 km). Finally, we assess the implications of the temperature distribution in our model for mantle viscosities and glacial isostatic adjustment. The upper mantle temperatures we model are lower than obtained from previous seismic velocity studies. This results in higher estimated viscosities underneath West Antarctica. When combined with present-day uplift rates from GPS, a bulk dry upper mantle rheology appears permissible.</t>
  </si>
  <si>
    <t>[Pappa, F.; Ebbing, J.] Univ Kiel, Dept Geosci, Kiel, Germany; [Ferraccioli, F.] British Antarctic Survey, Cambridge, England; [van der Wal, W.] Delft Univ Technol, Delft, Netherlands</t>
  </si>
  <si>
    <t>University of Kiel; UK Research &amp; Innovation (UKRI); Natural Environment Research Council (NERC); NERC British Antarctic Survey; Delft University of Technology</t>
  </si>
  <si>
    <t>Pappa, F (corresponding author), Univ Kiel, Dept Geosci, Kiel, Germany.</t>
  </si>
  <si>
    <t>folker.pappa@ifg.uni-kiel.de</t>
  </si>
  <si>
    <t>Ebbing, Joerg/B-8796-2013</t>
  </si>
  <si>
    <t>Ebbing, Joerg/0000-0001-7492-5338; van der Wal, Wouter/0000-0001-8030-9080; Ferraccioli, Fausto/0000-0002-9347-4736</t>
  </si>
  <si>
    <t>European Space Agency (ESA); NERC [bas0100029] Funding Source: UKRI</t>
  </si>
  <si>
    <t>European Space Agency (ESA)(European Space Agency); NERC(UK Research &amp; Innovation (UKRI)Natural Environment Research Council (NERC))</t>
  </si>
  <si>
    <t>This study was carried out in the course of the projects GOCE + Antarctica and 3-D Earth. Both projects have been funded by the European Space Agency (ESA) as a Support to Science Element. We thank Eva Bredow for her kind support with earlier versions of the manuscript. Pippa Whitehouse is acknowledged for making available the W12 ice history (Whitehouse et al., 2012). Our special thanks go to J. P. O'Donnell, Doug Wiens, and one anonymous reviewer for their constructive contribution and criticism. All grid files and maps were created using Generic Mapping Tools (GMT) Version 5 (Wessel et al., 2013), partly making use of color maps from Fabio Crameri (2018). Other data, models, and modeling software used in this study have been obtained from Amante and Eakins (2009), An et al. (2015a, 2015b), Bouman et al. (2016), Connolly (2005), Fretwell et al. (2013), Fullea et al. (2009), Garcia-Castellanos (2002), Golynsky et al. (2001), Uieda et al. (2011), Whittaker et al. (2013), and Wobbe et al. (2014). Our modeling results can be found in the supporting information and will also be available for download from the project website (https://www.bas.ac.uk/project/goceantarctica/).</t>
  </si>
  <si>
    <t>10.1029/2019JB017997</t>
  </si>
  <si>
    <t>KA1FD</t>
  </si>
  <si>
    <t>WOS:000496692000001</t>
  </si>
  <si>
    <t>Jones, CS; Abernathey, RP</t>
  </si>
  <si>
    <t>Jones, C. S.; Abernathey, Ryan P.</t>
  </si>
  <si>
    <t>Isopycnal Mixing Controls Deep Ocean Ventilation</t>
  </si>
  <si>
    <t>OVERTURNING CIRCULATION; MESOSCALE EDDIES; SOUTHERN-OCEAN; ARGO FLOAT; WATER; TRANSPORT; TRACER; DISTRIBUTIONS; DIFFUSIVITY; SENSITIVITY</t>
  </si>
  <si>
    <t>Climate models often parameterize isopycnal mixing by mesoscale eddies using a diffusion operator that acts in the isopycnal direction, multiplied by an isopycnal-mixing coefficient. The magnitude of this coefficient is uncertain, with observational estimates ranging from 10 to 10,000 m(2)/s. In an idealized-geometry ocean model, the isopycnal-mixing coefficient is varied across a similar range without allowing the circulation to change: This leads to large changes in the ventilation of the deep ocean. Passive tracers are used to assess the impact of varying the isopycnal-mixing coefficient on water mass distributions. Increasing the isopycnal-mixing coefficient from 50 to 5,000 m(2)/s leads to a 63% reduction in the amount of North Atlantic Deep Water and a doubling in the amount of Antarctic Bottom Water in the deep Pacific ocean. This change is associated with a 700-yr reduction in the ideal age of water in the deep Pacific ocean.</t>
  </si>
  <si>
    <t>[Jones, C. S.; Abernathey, Ryan P.] Lamont Doherty Earth Observ, Palisades, NY 10964 USA</t>
  </si>
  <si>
    <t>Columbia University</t>
  </si>
  <si>
    <t>Jones, CS (corresponding author), Lamont Doherty Earth Observ, Palisades, NY 10964 USA.</t>
  </si>
  <si>
    <t>spencerj@ldeo.columbia.edu</t>
  </si>
  <si>
    <t>Abernathey, Ryan/0000-0001-5999-4917; Jones, C Spencer/0000-0003-1094-0306</t>
  </si>
  <si>
    <t>Lamont Postdoctoral Fellowship; NSF [OCE 1553593, OCE 1740648]</t>
  </si>
  <si>
    <t>Lamont Postdoctoral Fellowship; NSF(National Science Foundation (NSF))</t>
  </si>
  <si>
    <t>C. S. J. is funded by the Lamont Postdoctoral Fellowship. R. P. A. acknowledges support from NSF Award OCE 1553593. The authors would like to thank Malte Jansen, David Munday, and one anonymous reviewer for comments that helped us to improve the paper. Code is available online (https://github.com/cspencerjones/tracers_two_basin/), with data (https://doi.org/10.6084/m9.figshare.7952465.v2).Xarray (Hoyer &amp; Hamman, 2017) and other software tools supported by the Pangeo Project (NSF Award OCE 1740648) were used to perform data analysis and visualization.</t>
  </si>
  <si>
    <t>10.1029/2019GL085208</t>
  </si>
  <si>
    <t>WOS:000496646400001</t>
  </si>
  <si>
    <t>Brunt, KM; Neumann, TA; Smith, BE</t>
  </si>
  <si>
    <t>Brunt, K. M.; Neumann, T. A.; Smith, B. E.</t>
  </si>
  <si>
    <t>Assessment of ICESat-2 Ice Sheet Surface Heights, Based on Comparisons Over the Interior of the Antarctic Ice Sheet</t>
  </si>
  <si>
    <t>remote sensing; ice sheets; GPS; validation</t>
  </si>
  <si>
    <t>GPS DATA</t>
  </si>
  <si>
    <t>We collected kinematic Global Navigation Satellite Systems (GNSS) surface height data, on a 750-km ground-based traverse of the flat interior of the Antarctic ice sheet, for comparison with Ice, Cloud, and Land Elevation Satellite-2 (ICESat-2) surface heights. Vertical errors in the GNSS data are estimated to be 5.6 cm, comparable to results from a previous traverse and with year-to-year comparisons. Comparisons of the GNSS heights and 6 months of ICESat-2 ATL03 photon-based heights and ATL06 segment-based heights indicate that the accuracy and precision of ICESat-2 data are comparable to that of results from the ICESat mission: ATL03 is currently accurate to better than 5 cm with better than 13 cm of surface measurement precision, while ATL06 is currently accurate to better than 3 cm with better than 9 cm of surface measurement precision.</t>
  </si>
  <si>
    <t>[Brunt, K. M.] Univ Maryland, Earth Syst Sci Interdisciplinary Ctr, College Pk, MD 20742 USA; [Brunt, K. M.; Neumann, T. A.] NASA, Goddard Space Flight Ctr, Greenbelt, MD 20771 USA; [Smith, B. E.] Univ Washington, Appl Phys Lab, Seattle, WA 98105 USA</t>
  </si>
  <si>
    <t>University System of Maryland; University of Maryland College Park; National Aeronautics &amp; Space Administration (NASA); NASA Goddard Space Flight Center; University of Washington; University of Washington Seattle</t>
  </si>
  <si>
    <t>Brunt, KM (corresponding author), Univ Maryland, Earth Syst Sci Interdisciplinary Ctr, College Pk, MD 20742 USA.;Brunt, KM (corresponding author), NASA, Goddard Space Flight Ctr, Greenbelt, MD 20771 USA.</t>
  </si>
  <si>
    <t>kelly.m.brunt@nasa.gov</t>
  </si>
  <si>
    <t>Neumann, Thomas/JLL-4672-2023</t>
  </si>
  <si>
    <t>brunt, kelly/0000-0002-6462-6112; Neumann, Thomas/0000-0002-6926-937X</t>
  </si>
  <si>
    <t>NASA ICESat-2 Project Science Office; NSF; NASA; NSF [ANT-1043681]</t>
  </si>
  <si>
    <t>NASA ICESat-2 Project Science Office; NSF(National Science Foundation (NSF)); NASA(National Aeronautics &amp; Space Administration (NASA)); NSF(National Science Foundation (NSF))</t>
  </si>
  <si>
    <t>Funding was provided by the NASA ICESat-2 Project Science Office. We thank the ICESat-2 instrument, ground systems, and data product teams. We thank Adam Greeley, Matt Means, Chris Simmons, Chad Seay, and Forrest McCarthy for 88S Traverse support. We thank the National Science Foundation (NSF) Office of Polar Programs for logistical support of the 88S Traverse. We thank NSIDC for ICESat-2 data distribution. We thank the numerous personnel with the U.S. Antarctic Program for their dedication to Polar research. Finally, we thank our Editor (Mathieu Morlighem), Jack Kohler, and one anonymous reviewer for constructive comments that contributed to this manuscript. ICESat-2 data are available via NSIDC (https://nsidc.org/data/icesat-2); 88S Traverse GNSS data are available on the ICESat-2 website (https://icesat-2.gsfc.nasa.gov).WorldView-2 imagery is available to NSF-and NASA-funded researchers via the Polar Geospatial Center at the University of Minnesota, supported by Grant ANT-1043681 from the NSF.</t>
  </si>
  <si>
    <t>10.1029/2019GL084886</t>
  </si>
  <si>
    <t>WOS:000496647500001</t>
  </si>
  <si>
    <t>Zamanillo, M; Ortega-Retuerta, E; Nunes, S; Estrada, M; Sala, MM; Royer, SJ; López-Sandoval, DC; Emelianov, M; Vaqué, D; Marrasé, C; Simó, R</t>
  </si>
  <si>
    <t>Zamanillo, Marina; Ortega-Retuerta, Eva; Nunes, Sdena; Estrada, Marta; Sala, Maria Montserrat; Royer, Sarah-Jeanne; Lopez-Sandoval, Daffne C.; Emelianov, Mikhail; Vaque, Dolors; Marrase, Celia; Simo, Rafel</t>
  </si>
  <si>
    <t>Distribution of transparent exopolymer particles (TEP) in distinct regions of the Southern Ocean</t>
  </si>
  <si>
    <t>Transparent exopolymer particles; Phytoplankton; Prokaryotes; Solar radiation dose; Southern Ocean</t>
  </si>
  <si>
    <t>DISSOLVED ORGANIC-MATTER; SEA-SURFACE MICROLAYER; PHOTOSYNTHETIC EFFICIENCY; PHAEOCYSTIS-GLOBOSA; PHYTOPLANKTON; DYNAMICS; CARBON; AGGREGATION; TURBULENCE; NUTRIENTS</t>
  </si>
  <si>
    <t>Transparent exopolymer particles (TEP) are an abundant class of suspended organic particles, mainly formed by polysaccharides, which play important roles in biogeochemical and ecological processes in the ocean. In this study we investigated horizontal and vertical TEP distributions (within the euphotic layer, including the upper surface) and their short-term variability along with a suite of environmental and biological variables in four distinct regions of the Southern Ocean. TEP concentrations in the surface (4 m) averaged 102.3 +/- 40.4 mu g XGeq. L-1 and typically decreased with depth. Chlorophyll a (Chl a) concentration was a better predictor of TEP variability across the horizontal (R-2 = 0.66, p &lt; 0.001) and vertical (R-2 = 0.74, p &lt; 0.001) scales than prokaryotic heterotrophic abundance and production. Incubation experiments further confirmed the main role of phytoplankton as TEP producers. The highest surface TEP concentrations were found north of the South Orkney Islands (144.4 +/- 21.7 mu g XG eq. L-1), where the phytoplankton was dominated by cryptophytes and haptophytes; however, the highest TEP:Chl a ratios were found south of these islands (153.4 +/- 29.8 mu g XG eq (mu g Chl a)(-1), compared to a mean of 79.3 +/- 54.9 mu g XG eq (mu g Chl a)(-1) in the whole cruise, in association with haptophyte dominance, proximity of sea ice and high exposure to solar radiation. TEP were generally enriched in the upper surface (10 cm) respect to 4 m, despite a lack of biomass enrichment, suggesting either upward transport by positive buoyancy or bubble scavenging, or higher production at the upper surface by light stress or aggregation. TEP concentrations did not present any significant cyclic diel pattern. Altogether, our results suggest that photobiological stress, sea ice melt and turbulence add to phytoplankton productivity in driving TEP distribution across the Antarctic Peninsula area and Atlantic sector of the Southern Ocean. (c) 2019 Elsevier B.V. All rights reserved.</t>
  </si>
  <si>
    <t>[Zamanillo, Marina; Ortega-Retuerta, Eva; Nunes, Sdena; Estrada, Marta; Sala, Maria Montserrat; Royer, Sarah-Jeanne; Lopez-Sandoval, Daffne C.; Emelianov, Mikhail; Vaque, Dolors; Marrase, Celia; Simo, Rafel] CSIC, Inst Ciencies Mar, Biol Marina &amp; Oceanog, Barcelona, Catalonia, Spain; [Ortega-Retuerta, Eva] Sorbonne Univ, Lab Oceanog Microbienne, CNRS, UMR 7621, Banyuls Sur Mer, France; [Royer, Sarah-Jeanne] Univ Calif San Diego, Scripps Inst Oceanog, La Jolla, CA 92093 USA; [Lopez-Sandoval, Daffne C.] KAUST, RSRC, Thuwal, Saudi Arabia</t>
  </si>
  <si>
    <t>Consejo Superior de Investigaciones Cientificas (CSIC); CSIC - Centro Mediterraneo de Investigaciones Marinas y Ambientales (CMIMA); CSIC - Instituto de Ciencias del Mar (ICM); Centre National de la Recherche Scientifique (CNRS); CNRS - National Institute for Earth Sciences &amp; Astronomy (INSU); Sorbonne Universite; University of California System; University of California San Diego; Scripps Institution of Oceanography; King Abdullah University of Science &amp; Technology</t>
  </si>
  <si>
    <t>Simó, R (corresponding author), CSIC, Inst Ciencies Mar, Biol Marina &amp; Oceanog, Barcelona, Catalonia, Spain.</t>
  </si>
  <si>
    <t>rsimo@icm.csic.es</t>
  </si>
  <si>
    <t>, Maria Montserrat/AAW-7487-2021; Estrada, Marta/L-6207-2014; Lopez Sandoval, Daffne/O-8516-2018; SALA, Maria Montserrat/O-4726-2014; Ortega-Retuerta, Eva/I-2432-2015; Marrase, Celia/I-1166-2015; Vaque, Dolors/H-6973-2018; Emelianov, Mikhail/M-1400-2014</t>
  </si>
  <si>
    <t>Estrada, Marta/0000-0001-5769-9498; Lopez Sandoval, Daffne/0000-0002-4605-0113; SALA, Maria Montserrat/0000-0002-3804-5680; Ortega-Retuerta, Eva/0000-0003-0780-8347; Zamanillo, Marina/0000-0002-0753-4748; Simo, Rafel/0000-0003-3276-7663; Marrase, Celia/0000-0002-5097-4829; Vaque, Dolors/0000-0002-0420-5914; Emelianov, Mikhail/0000-0002-1459-2911</t>
  </si>
  <si>
    <t>Spanish Ministry of Economy and Competitiveness [CTM2012-37615, CTM2016-81008-R]; FPU predoctoral fellowship from the Spanish Ministry of Education and Culture [FPU13/04630]</t>
  </si>
  <si>
    <t>Spanish Ministry of Economy and Competitiveness(Spanish Government); FPU predoctoral fellowship from the Spanish Ministry of Education and Culture</t>
  </si>
  <si>
    <t>This research was supported by the Spanish Ministry of Economy and Competitiveness through projects PEGASO (CTM2012-37615) and BIOGAPS (CTM2016-81008-R) to RS. MZ was supported by a FPU predoctoral fellowship (FPU13/04630) from the Spanish Ministry of Education and Culture. Gonzalo Luis Perez, Maximino Delgado, Alicia Duro, Encarna Borrull, Carolina Antequera, Clara Cardelus and Pablo Rodriguez-Ros are greatly acknowledged for providing data and technical support. The authors also want to thank the captain, officers and crew of RV Hesperides, engineers of the Marine Technology Unit and researchers for their support and help during the cruise.</t>
  </si>
  <si>
    <t>NOV 15</t>
  </si>
  <si>
    <t>10.1016/j.scitotenv.2019.06.524</t>
  </si>
  <si>
    <t>JX8WQ</t>
  </si>
  <si>
    <t>WOS:000504009600070</t>
  </si>
  <si>
    <t>Eichler, TP; Market, P</t>
  </si>
  <si>
    <t>Eichler, Timothy P.; Market, Patrick</t>
  </si>
  <si>
    <t>The climatology and interannual variability of cyclone tracks in the National Center for Environmental Prediction's climate forecast system model for the Southern Hemisphere</t>
  </si>
  <si>
    <t>climatology; cyclone-tracks; model; reanalysis; teleconnections; variability</t>
  </si>
  <si>
    <t>INDIAN-OCEAN DIPOLE; ATMOSPHERIC CIRCULATION; ANTARCTIC OSCILLATION; ANNULAR MODE; STORM TRACKS; EXTRATROPICAL CYCLONES; EL-NINO; SEA-ICE; ENSO; TELECONNECTION</t>
  </si>
  <si>
    <t>Evaluating cyclone tracks in climate models represents an excellent way to evaluate their ability to simulate synoptic-scale phenomena. Cyclone tracks were generated from two free-runs from the National Centers for Environmental Prediction Climate Forecast System (CFSv1) model for the Southern Hemisphere (SH), and compared with cyclone tracks generated from CFS reanalysis and ERA Interim data from 1979 to 2016. It is demonstrated that CFSv1 is capable of simulating realistic SH cyclone track climatology for both intensity and frequency. The CFSv1's ability to capture interannual variability is also highlighted. Specifically, the impacts of the Antarctic Oscillation (AAO), El Nino/Southern Oscillation (ENSO), and the Indian Ocean Dipole (IOD) on cyclone track frequency and intensity were assessed. The CFSv1 exhibits an annular structure in frequency and intensity in response to the AAO. For the reanalysis data, AAO cyclone frequency is less annular in the South Pacific especially during Austral Summer, possibly due to a positive trend in the AAO in recent decades. To test this, a reconstruction of cyclone tracks for ERA40 data from 1958 to 2001 produces a more annular structure. The response of cyclone tracks due to ENSO is fairly robust, with the reanalysis datasets and one member of the CFSv1 producing a pattern of cyclone variability consistent with the Pacific South American teleconnection pattern. In contrast, the cyclone frequency and intensity response to the IOD shows little agreement between reanalysis and CFSv1. An examination of 200-hPa stream function supports the CFS model producing a teleconnection response to ENSO but not the IOD, possibly due to anomalous heating generated from the IOD being too small. Our results suggest that assessing interannual variability of cyclone tracks in current state-of-the-art models be done with large-number ensembles when possible, especially when considering sensitivity to initial conditions and the magnitude of external forcing.</t>
  </si>
  <si>
    <t>[Eichler, Timothy P.] Univ Arkansas, Eleanor Mann Sch Nursing, Fayetteville, AR 72701 USA; [Eichler, Timothy P.; Market, Patrick] Univ Missouri, Sch Nat Resources, Columbia, MO USA</t>
  </si>
  <si>
    <t>University of Arkansas System; University of Arkansas Fayetteville; University of Missouri System; University of Missouri Columbia</t>
  </si>
  <si>
    <t>Eichler, TP (corresponding author), Univ Arkansas, Eleanor Mann Sch Nursing, Fayetteville, AR 72701 USA.</t>
  </si>
  <si>
    <t>tpeichle@uark.edu</t>
  </si>
  <si>
    <t>Market, Patrick Shawn/AGO-5184-2022; Eichler, Timothy/A-5040-2015</t>
  </si>
  <si>
    <t>Market, Patrick Shawn/0000-0002-5574-319X; Eichler, Timothy/0000-0003-0342-9681</t>
  </si>
  <si>
    <t>Directorate for Geosciences, EPSCoR</t>
  </si>
  <si>
    <t>Directorate for Geosciences, Grant/Award Number: EPSCoR</t>
  </si>
  <si>
    <t>10.1002/joc.6120</t>
  </si>
  <si>
    <t>JH5FS</t>
  </si>
  <si>
    <t>WOS:000492795100005</t>
  </si>
  <si>
    <t>Russo, CS; Lamont, T; Tutt, GCO; van den Berg, MA; Barlow, RG</t>
  </si>
  <si>
    <t>Russo, C. S.; Lamont, T.; Tutt, G. C. O.; van den Berg, M. A.; Barlow, R. G.</t>
  </si>
  <si>
    <t>Hydrography of a shelf ecosystem inshore of a major Western Boundary Current</t>
  </si>
  <si>
    <t>ESTUARINE COASTAL AND SHELF SCIENCE</t>
  </si>
  <si>
    <t>Agulhas Current; South African southeast shelf; Circulation; Cyclonic eddies; Water masses; Upwelling</t>
  </si>
  <si>
    <t>AGULHAS CURRENT; EAST-COAST; OCEAN CIRCULATION; CAPE PROVINCE; SOUTH-AFRICA; NATAL PULSE; ALGOA BAY; VARIABILITY; EDDIES; WATER</t>
  </si>
  <si>
    <t>The Agulhas Current, the largest Western Boundary Current in the Southern Hemisphere, strongly influences the oceanographic conditions of its adjacent shelf system. As a result of limited societal drivers, such as large-scale fisheries and marine mining, the South African southeast shelf, between Port Elizabeth and Port Shepstone, is one of the least studied and under-sampled shelf systems in Southern Africa. This study describes hydrographic conditions from the first two shelf-wide high-resolution surveys (January/February and July/August 2017) of this region. These data provide a baseline of environmental conditions and hydrographic processes across the shelf. The Agulhas Current, as well as cyclonic mesoscale eddies along the inshore edge of the Current, were observed to strongly drive conditions on the shelf. Substantial differences in the impacts of these cyclonic eddies were evident, with the smaller less intense January/February eddy inducing much stronger upwelling than the larger more intense July/August eddy. Indications of seasonality in temperature, salinity and chlorophyll-a were observed in the surface layers. Surface waters were 4 degrees C warmer in January/February than in July/August. Considerably lower salinities (33.77 g kg(-1)) were observed in January/February as a result of high rainfall and subsequent increased river outflow. Upwelling mechanisms such as divergence-induced upwelling, Ekman veering in the bottom boundary layer, Ekman pumping associated with cyclonic eddies, were observed to uplift colder, nutrient-rich water from deeper layers onto the mesotrophic shelf. These colder waters ultimately reached the surface as a result of wind-driven Ekman transport and vertical mixing. Tropical Surface Water, Subtropical Surface Water and South Indian Central Water were observed on the shelf. Red Sea Water as well as Antarctic Intermediate Water generally occupied the slope regions except where cyclonic eddies uplifted intermediate waters onto the shelf. The shelf-wide dissolved oxygen levels (&gt; 3 ml l(-1)) suggested that oxygen availability adequately facilitated the survival of the existing shelf biology.</t>
  </si>
  <si>
    <t>[Russo, C. S.; Lamont, T.; Tutt, G. C. O.; van den Berg, M. A.] Dept Environm Affairs, Oceans &amp; Coasts Res Branch, Private Bag X4390, ZA-8000 Cape Town, South Africa; [Russo, C. S.; Lamont, T.; Barlow, R. G.] Univ Cape Town, Marine Res Inst, Private Bag X3, ZA-7701 Rondebosch, South Africa; [Russo, C. S.; Lamont, T.; Barlow, R. G.] Univ Cape Town, Dept Oceanog, Private Bag X3, ZA-7701 Rondebosch, South Africa; [Barlow, R. G.] Bayworld Ctr Res &amp; Educ, 5 Riesling Rd, ZA-7806 Cape Town, South Africa</t>
  </si>
  <si>
    <t>Department of Environment, Forestry &amp; Fisheries; University of Cape Town; University of Cape Town</t>
  </si>
  <si>
    <t>Russo, CS (corresponding author), Dept Environm Affairs, Oceans &amp; Coasts Res Branch, Private Bag X4390, ZA-8000 Cape Town, South Africa.</t>
  </si>
  <si>
    <t>cristinaserenarusso@gmail.com</t>
  </si>
  <si>
    <t>Lamont, Tarron/0000-0001-8464-891X</t>
  </si>
  <si>
    <t>South African National Research Foundation; African Coelacanth Ecosystem Programme (ACEP) Phakisa Ocean Cruises Initiative; DEA</t>
  </si>
  <si>
    <t>South African National Research Foundation(National Research Foundation - South Africa); African Coelacanth Ecosystem Programme (ACEP) Phakisa Ocean Cruises Initiative; DEA</t>
  </si>
  <si>
    <t>The authors would like to sincerely thank the Captain, officers and crew of the RV Algoa, as well as the technical staff of Oceans and Coasts Research of the South African Department of Environmental Affairs (DEA) for their helpful assistance throughout the two surveys. In particular, Mr Leon Jacobs and Mr Mbulelo Makhetha are thanked for their assistance in data and sample collection, Mr Kobus Britz is thanked for his contributions to sample processing, and Mr Matthew Carr is thanked for his insight and knowledge of Matlab. The Department of Oceanography at the University of Cape Town is thanked for nutrient analysis. The authors also wish to acknowledge the South African National Research Foundation, the African Coelacanth Ecosystem Programme (ACEP) Phakisa Ocean Cruises Initiative, as well as the DEA for their funding, administrative, and logistical assistance. The authors would also like to thank Professor Isabelle Ansorge for her astute contributions to the project as well as funding support. Altimetry products used in this study were produced and distributed by the Copernicus Marine Environment Monitoring Service (http://marine.copernicus.eu/).The Laxenaire et al. (2018) eddy tracking database is available from https://vesg.ipsl.upmc.fr/thredds/catalog/IPSLFS/rlaxe/catalog.html? dataset = DatasetScanIPSLFS/rlaxe/Database_South_AtLzip, while the Schlax and Chelton (2016) database is available at http://wombat.coas.oregonstate.edu/eddies/index.html.</t>
  </si>
  <si>
    <t>0272-7714</t>
  </si>
  <si>
    <t>1096-0015</t>
  </si>
  <si>
    <t>ESTUAR COAST SHELF S</t>
  </si>
  <si>
    <t>Estuar. Coast. Shelf Sci.</t>
  </si>
  <si>
    <t>10.1016/j.ecss.2019.106363</t>
  </si>
  <si>
    <t>JN0RK</t>
  </si>
  <si>
    <t>WOS:000496611500023</t>
  </si>
  <si>
    <t>Brearley, JA; Moffat, C; Venables, HJ; Meredith, MP; Dinniman, MS</t>
  </si>
  <si>
    <t>Brearley, J. Alexander; Moffat, Carlos; Venables, Hugh J.; Meredith, Michael P.; Dinniman, Michael S.</t>
  </si>
  <si>
    <t>The Role of Eddies and Topography in the Export of Shelf Waters From the West Antarctic Peninsula Shelf</t>
  </si>
  <si>
    <t>shelf-basin exchange; West Antarctic; heat transport; eddies</t>
  </si>
  <si>
    <t>CIRCUMPOLAR DEEP-WATER; CONTINENTAL RISE WEST; BAROCLINIC INSTABILITY; SEDIMENT DRIFTS; CROSS-SHELF; PINE ISLAND; ICE COVER; TRANSPORT; CIRCULATION; MODEL</t>
  </si>
  <si>
    <t>Oceanic heat strongly influences the glaciers and ice shelves along West Antarctica. Prior studies show that the subsurface onshore heat flux from the Southern Ocean on the shelf occurs through deep, glacially carved channels. The mechanisms enabling the export of colder shelf waters to the open ocean, however, have not been determined. Here, we use ocean glider measurements collected near the mouth of Marguerite Trough (MT), west Antarctic Peninsula, to reveal shelf-modified cold waters on the slope over a deep (2,700 m) offshore topographic bank. The shelf hydrographic sections show subsurface cold features (theta &lt;=1.5 degrees C), and associated potential vorticity fields suggest a significant instability-driven eddy field. Output from a high-resolution numerical model reveals offshore export modulated by small (6 km), cold-cored, cyclonic eddies preferentially generated along the slope and at the mouth of MT. While baroclinic and barotropic instabilities appear active in the surrounding open ocean, the former is suppressed along the steep shelf slopes, while the latter appears enhanced. Altimetry and model output reveal the mean slope flow splitting to form an offshore branch over the bank, which eventually forms a large (116 km wide) persistent lee eddy, and an onshore branch in MT. The offshore flow forms a pathway for the small cold-cored eddies to move offshore, where they contribute significantly to cooling over the bank, including the large lee eddy. These results suggest eddy fluxes, and topographically modulated flows are key mechanisms for shelf water export along this shelf, just as they are for the shoreward warm water transport.</t>
  </si>
  <si>
    <t>[Brearley, J. Alexander; Venables, Hugh J.; Meredith, Michael P.] British Antarctic Survey, Cambridge, England; [Moffat, Carlos] Univ Delaware, Sch Marine Sci &amp; Policy, Newark, DE USA; [Dinniman, Michael S.] Old Dominion Univ, Ctr Coastal Phys Oceanog, Norfolk, VA USA</t>
  </si>
  <si>
    <t>UK Research &amp; Innovation (UKRI); Natural Environment Research Council (NERC); NERC British Antarctic Survey; University of Delaware; Old Dominion University</t>
  </si>
  <si>
    <t>Brearley, JA (corresponding author), British Antarctic Survey, Cambridge, England.</t>
  </si>
  <si>
    <t>jambre@bas.ac.uk</t>
  </si>
  <si>
    <t>Brearley, Alexander/C-3313-2012; Moffat, Carlos F/B-3565-2015</t>
  </si>
  <si>
    <t>Moffat, Carlos F/0000-0002-7768-8275; Brearley, Alexander/0000-0003-3700-8017; Meredith, Michael/0000-0002-7342-7756; Dinniman, Michael/0000-0001-7519-9278</t>
  </si>
  <si>
    <t>NERC Independent Research Fellowship [NE/L011166/1]; NSF [1703310, 1543018]; CNES; NERC [NE/L011166/1, bas0100033] Funding Source: UKRI; Directorate For Geosciences; Office of Polar Programs (OPP) [1543018] Funding Source: National Science Foundation; Office of Polar Programs (OPP); Directorate For Geosciences [1703310] Funding Source: National Science Foundation</t>
  </si>
  <si>
    <t>NERC Independent Research Fellowship(UK Research &amp; Innovation (UKRI)Natural Environment Research Council (NERC)); NSF(National Science Foundation (NSF)); CNES(Centre National D'etudes Spatiales); NERC(UK Research &amp; Innovation (UKRI)Natural Environment Research Council (NERC)); Directorate For Geosciences; Office of Polar Programs (OPP)(National Science Foundation (NSF)NSF - Directorate for Geosciences (GEO)); Office of Polar Programs (OPP); Directorate For Geosciences(National Science Foundation (NSF)NSF - Directorate for Geosciences (GEO))</t>
  </si>
  <si>
    <t>The authors thank Dr. Jennifer Graham for her extensive work in setting up and testing the ROMS 1.5-km model for the West Antarctic Peninsula. The work was supported by NERC Independent Research Fellowship NE/L011166/1 and NSF Grants 1703310 (C. Moffat) and 1543018 (M. Dinniman). We also thank the officers and crew of RRS James Clark Ross and RV Lawrence M. Gould. The altimeter products were produced by Ssalto/Duacs and distributed by Aviso, with support from CNES (2011) and can be found online (https://www.aviso.altimetry.fr/en/data/data-access/gridded-dataextraction-tool.html).The glider data (temperature, salinity, pressure, and velocity fields) are uploaded with this submission in Matlab format (data_final_409_agu.mat), and the Antarctic Peninsula velocities used to detide the glider data can be found online (https://www.esr.org/polar_ tide_models/Model_AntPen0401. html). Model fields from the ROMS output can be found online (https://odu.box.com/s/kq0r6epdz6akxvgtkemyigxyd0cyslz6).We additionally thank two anonymous reviewers for their helpful comments on the manuscript.</t>
  </si>
  <si>
    <t>10.1029/2018JC014679</t>
  </si>
  <si>
    <t>WOS:000496617100001</t>
  </si>
  <si>
    <t>Mohaghar, M; Adhikari, D; Webster, DR</t>
  </si>
  <si>
    <t>Mohaghar, Mohammad; Adhikari, Deepak; Webster, Donald R.</t>
  </si>
  <si>
    <t>Characteristics of swimming shelled Antarctic pteropods (Limacina helicina antarctica) at intermediate Reynolds number regime</t>
  </si>
  <si>
    <t>PHYSICAL REVIEW FLUIDS</t>
  </si>
  <si>
    <t>CLIONE-LIMACINA; MOLLUSK; FLIGHT; KINEMATICS; ANIMALS; SPEED</t>
  </si>
  <si>
    <t>The swimming characteristics achieved by flapping wings, translating motion, and shell pitching are studied from observations of shelled Antarctic pteropods (aquatic snails nicknamed sea butterflies). These pteropods (Limacina helicina antarctica) swim with a pair of parapodia (or wings) via a unique flapping propulsion mechanism that incorporates similar techniques as observed in small flying insects. The geometric scaling of the wing span (L), wing chord (c), and minor shell diameter (d) with respect to the major shell diameter (D) reveal geometric similitude. Thus, the major shell diameter (D) is the only length scale required to describe the size of the pteropods. The motion of swimming pteropods is characterized using flapping, translational, and rotational Reynolds numbers (i.e., Re-f, Re-U, and Re-Omega). A critical value of the flapping Reynolds number, Re-f = 35, is found for the onset of translating and pitching locomotion. Finally, the relationship is obtained for the Strouhal number (St(A) = fA/U) for the pteropods using the geometric scalings and the translational and flapping Reynolds numbers. The Strouhal number is found to be between 0.2 and 0.4, which indicates general agreement with other oscillating organisms moving with high propulsion efficiency.</t>
  </si>
  <si>
    <t>[Mohaghar, Mohammad; Adhikari, Deepak; Webster, Donald R.] Georgia Inst Technol, Sch Civil &amp; Environm Engn, 790 Atlantic Dr, Atlanta, GA 30332 USA</t>
  </si>
  <si>
    <t>University System of Georgia; Georgia Institute of Technology</t>
  </si>
  <si>
    <t>Webster, DR (corresponding author), Georgia Inst Technol, Sch Civil &amp; Environm Engn, 790 Atlantic Dr, Atlanta, GA 30332 USA.</t>
  </si>
  <si>
    <t>dwebster@ce.gatech.edu</t>
  </si>
  <si>
    <t>Mohaghar, Mohammad/W-4783-2019</t>
  </si>
  <si>
    <t>Mohaghar, Mohammad/0000-0003-2269-2741</t>
  </si>
  <si>
    <t>US National Science Foundation [PLR-1246296]</t>
  </si>
  <si>
    <t>US National Science Foundation(National Science Foundation (NSF))</t>
  </si>
  <si>
    <t>We gratefully acknowledge financial support by the US National Science Foundation (PLR-1246296). We thank the United States Antarctic Program for their support on RV Laurence M. Gould and at Palmer Station, Antarctica. We acknowledge and thank Dr. Jeannette Yen for collecting pteropods in Antarctica and for helpful discussions. Thanks also to Dr. Rajat Mittal and Dr. David Murphy for insightful discussions.</t>
  </si>
  <si>
    <t>AMER PHYSICAL SOC</t>
  </si>
  <si>
    <t>COLLEGE PK</t>
  </si>
  <si>
    <t>ONE PHYSICS ELLIPSE, COLLEGE PK, MD 20740-3844 USA</t>
  </si>
  <si>
    <t>2469-990X</t>
  </si>
  <si>
    <t>PHYS REV FLUIDS</t>
  </si>
  <si>
    <t>Phys. Rev. Fluids</t>
  </si>
  <si>
    <t>10.1103/PhysRevFluids.4.111101</t>
  </si>
  <si>
    <t>Physics, Fluids &amp; Plasmas</t>
  </si>
  <si>
    <t>Physics</t>
  </si>
  <si>
    <t>JN5IT</t>
  </si>
  <si>
    <t>WOS:000496932700001</t>
  </si>
  <si>
    <t>Pethybridge, HR; Weijerman, M; Perrymann, H; Audzijonyte, A; Porobic, J; McGregor, V; Girardin, R; Bulman, C; Ortega-Cisneros, K; Sinerchia, M; Hutton, T; Lozano-Montes, H; Mori, M; Novaglio, C; Fay, G; Gorton, R; Fulton, EA</t>
  </si>
  <si>
    <t>Pethybridge, Heidi R.; Weijerman, Mariska; Perrymann, Holly; Audzijonyte, Asta; Porobic, Javier; McGregor, Vidette; Girardin, Raphael; Bulman, Cathy; Ortega-Cisneros, Kelly; Sinerchia, Matteo; Hutton, Trevor; Lozano-Montes, Hector; Mori, Mao; Novaglio, Camilla; Fay, Gavin; Gorton, Rebecca; Fulton, Elizabeth A.</t>
  </si>
  <si>
    <t>Calibrating process-based marine ecosystem models: An example case using Atlantis</t>
  </si>
  <si>
    <t>ECOLOGICAL MODELLING</t>
  </si>
  <si>
    <t>Best practices; Model diagnostics; Food web; Pedigree; Parameter estimation</t>
  </si>
  <si>
    <t>ECOLOGICAL INDICATORS; FOOD WEBS; SIZE; ECOPATH; MANAGEMENT; UNCERTAINTY; ECOSIM; RATES; RECRUITMENT; SENSITIVITY</t>
  </si>
  <si>
    <t>Calibration of complex, process-based ecosystem models is a timely task with modellers challenged by many parameters, multiple outputs of interest and often a scarcity of empirical data. Incorrect calibration can lead to unrealistic ecological and socio-economic predictions with the modeller's experience and available knowledge of the modelled system largely determining the success of model calibration. Here we provide an overview of best practices when calibrating an Atlantis marine ecosystem model, a widely adopted framework that includes the parameters and processes comprised in many different ecosystem models. We highlight the importance of understanding the model structure and data sources of the modelled system. We then focus on several model outputs (biomass trajectories, age distributions, condition at age, realised diet proportions, and spatial maps) and describe diagnostic routines that can assist modellers to identify likely erroneous parameter values. We detail strategies to fine tune values of four groups of core parameters: growth, predator-prey interactions, recruitment and mortality. Additionally, we provide a pedigree routine to evaluate the uncertainty of an Atlantis ecosystem model based on data sources used. Describing best and current practices will better equip future modellers of complex, processed-based ecosystem models to provide a more reliable means of explaining and predicting the dynamics of marine ecosystems. Moreover, it promotes greater transparency between modellers and end-users, including resource managers.</t>
  </si>
  <si>
    <t>[Pethybridge, Heidi R.; Porobic, Javier; Bulman, Cathy; Hutton, Trevor; Lozano-Montes, Hector; Novaglio, Camilla; Gorton, Rebecca; Fulton, Elizabeth A.] CSIRO Oceans &amp; Atmosphere, GPO Box 1538, Hobart, Tas 7000, Australia; [Weijerman, Mariska] NOAA Fisheries, Pacific Isl Fisheries Sci Ctr, Honolulu, HI 96818 USA; [Perrymann, Holly] IMR, Nordnesgaten 33, N-5005 Bergen, Norway; [Audzijonyte, Asta; Mori, Mao] Univ Tasmania, Inst Marine &amp; Antarctic Studies, 20 Castray Esplanade, Hobart, Tas 7001, Australia; [McGregor, Vidette] Natl Inst Water &amp; Atmospher Res NIWA, 301 Evans Bay Parade, Wellington, New Zealand; [Girardin, Raphael] IFREMER, Channel &amp; North Sea Fisheries Res Unit, 150 Quai Gambetta,BP 699, F-62321 Boulogne Sur Mer, France; [Ortega-Cisneros, Kelly] Rhodes Univ, Dept Ichthyol &amp; Fisheries Sci, Grahamstown, South Africa; [Sinerchia, Matteo] CNR IAS Inst Anthrop Impacts &amp; Sustainabil Marine, Oristano, Italy; [Fay, Gavin] Univ Massachusetts Dartmouth, Sch Marine Sci &amp; Technol, Dept Fisheries Oceanog, 200 Mill Rd, Fairhaven, MA 02719 USA</t>
  </si>
  <si>
    <t>Commonwealth Scientific &amp; Industrial Research Organisation (CSIRO); National Oceanic Atmospheric Admin (NOAA) - USA; Institute of Marine Research - Norway; University of Tasmania; National Institute of Water &amp; Atmospheric Research (NIWA) - New Zealand; Ifremer; Rhodes University; Consiglio Nazionale delle Ricerche (CNR); Istituto per lo Studio degli Impatti Antropici Sostenibilita in Ambiente Marino (IAS-CNR); University of Massachusetts System; University Massachusetts Dartmouth</t>
  </si>
  <si>
    <t>Pethybridge, HR (corresponding author), CSIRO Oceans &amp; Atmosphere, GPO Box 1538, Hobart, Tas 7000, Australia.</t>
  </si>
  <si>
    <t>Heidi.Pethybridge@csiro.au</t>
  </si>
  <si>
    <t>Lozano-Montes, Hector M/E-5034-2014; Pethybridge, Heidi/AEO-8594-2022; Fulton, Beth/A-2871-2008; Audzijonyte, Asta/O-5598-2017; Porobic, Javier/ABE-7495-2021; Pethybridge, Heidi/AAI-9824-2021; Sinerchia, Matteo/IAQ-9643-2023; Bulman, Catherine/A-9795-2012</t>
  </si>
  <si>
    <t>Pethybridge, Heidi/0000-0002-7291-5766; Porobic, Javier/0000-0001-5642-5372; Weijerman, Mariska/0000-0001-5990-7385; Sinerchia, Matteo/0000-0002-2644-9418; Fay, Gavin/0000-0003-0425-9952; Audzijonyte, Asta/0000-0002-9919-9376; Girardin, Raphael/0000-0001-5244-0225; Ortega-Cisneros, Kelly/0000-0003-2511-5448; Gorton, Rebecca/0000-0002-5290-3506; Perryman, Holly/0000-0001-9341-682X; Bulman, Catherine/0000-0002-8997-4615; Novaglio, Camilla/0000-0003-3681-1377</t>
  </si>
  <si>
    <t>CSIRO Community of Practice internal investment project; NOAA; NIWA; IFREMER; IMR's REDUS Project; Claude Leon Foundation</t>
  </si>
  <si>
    <t>CSIRO Community of Practice internal investment project; NOAA(National Oceanic Atmospheric Admin (NOAA) - USA); NIWA; IFREMER; IMR's REDUS Project; Claude Leon Foundation</t>
  </si>
  <si>
    <t>Funded by a CSIRO Community of Practice internal investment project and contributions from NOAA, NIWA, IFREMER, and IMR's REDUS Project. KOC acknowledges support from the Claude Leon Foundation through a postdoctoral fellowship and the resources from the Cluster for High Performance Computing.</t>
  </si>
  <si>
    <t>0304-3800</t>
  </si>
  <si>
    <t>1872-7026</t>
  </si>
  <si>
    <t>ECOL MODEL</t>
  </si>
  <si>
    <t>Ecol. Model.</t>
  </si>
  <si>
    <t>10.1016/j.ecolmodel.2019.108822</t>
  </si>
  <si>
    <t>JK5LW</t>
  </si>
  <si>
    <t>WOS:000494885900004</t>
  </si>
  <si>
    <t>Nykiel, G; Zanimonskiy, Y; Koloskov, A; Figurski, M</t>
  </si>
  <si>
    <t>Nykiel, Grzegorz; Zanimonskiy, Yevgen; Koloskov, Aleksander; Figurski, Mariusz</t>
  </si>
  <si>
    <t>The possibility of estimating the height of the ionospheric inhomogeneities based on TEC variations maps obtained from dense GPS network</t>
  </si>
  <si>
    <t>GNSS; Total electron content; Ionospheric disturbances; Height of ionospheric inhomogeneities; Dense network</t>
  </si>
  <si>
    <t>DIAGNOSTICS; TIDS</t>
  </si>
  <si>
    <t>A state of the ionosphere can be effectively studied using electromagnetic signals received from global navigation satellite systems (GNSS). Utilization of the dual frequency observations allows estimating values of the total electron content (TEC). They can be used for a number of scientific studies such as detection and monitoring of traveling ionospheric disturbances or plasma bubbles. Moreover, maps of TEC variations allow to classify ionospheric heterogeneities and to evaluate their parameters. However, most of the research describes ionospheric parameters only in 2D space and time. In this paper, we focus on the determination of the height of the ionospheric inhomogeneities. We used a dense network of GPS receivers to obtain the sequences of TEC variation maps for different heights of the ionospheric layer. For each satellite observed above 70 degrees, we constructed separate sets of maps. For each ionospheric height, the cross-correlation function between maps corresponding to different satellites was calculated. The biggest cross-correlation coefficient value determines the height of the ionospheric irregularities. This paper describes the methodology and the results obtained for a geomagnetic storm on St. Patrick's Day in March 2013. We have found that in quiet geomagnetic conditions the ionospheric irregularities are localized predominantly within the interval 180-220 km close to the maximum of the ionospheric F2 layer. In disturbed conditions, the height of their localization was increased up to several hundreds of kilometers. These estimations correspond to the changes in the slab thickness of the ionosphere. (C) 2019 COSPAR. Published by Elsevier Ltd. All rights reserved.</t>
  </si>
  <si>
    <t>[Nykiel, Grzegorz; Figurski, Mariusz] Gdansk Univ Technol, Fac Civil &amp; Environm Engn, G Narutowicza 11-12, PL-80233 Gdansk, Poland; [Zanimonskiy, Yevgen; Koloskov, Aleksander] Natl Acad Sci Ukraine, Inst Radio Astron, Mystetstv 4, UA-61002 Kharkov, Ukraine; [Koloskov, Aleksander] State Inst Natl Antarctic Sci Ctr, Minist Educ &amp; Sci Ukraine, Taras Shevchenko Blvd 16, UA-01601 Kiev, Ukraine</t>
  </si>
  <si>
    <t>Fahrenheit Universities; Gdansk University of Technology; National Academy of Sciences Ukraine; Institute of Radio Astronomy of the National Academy of Sciences of Ukraine; Ministry of Education &amp; Science of Ukraine; State Institution National Antarctic Scientific Center</t>
  </si>
  <si>
    <t>Nykiel, G (corresponding author), Gdansk Univ Technol, Fac Civil &amp; Environm Engn, G Narutowicza 11-12, PL-80233 Gdansk, Poland.</t>
  </si>
  <si>
    <t>grzegorz.nykiel@pg.edu.pl</t>
  </si>
  <si>
    <t>Zanimonskiy, Yevgen/ABD-2273-2020; Koloskov, Oleksandr/ABB-4631-2020; Nykiel, Grzegorz/A-6235-2016; Figurski, Mariusz/U-8665-2017</t>
  </si>
  <si>
    <t>Koloskov, Oleksandr/0000-0001-8921-3851; Nykiel, Grzegorz/0000-0002-6827-0205; Figurski, Mariusz/0000-0001-9602-5007</t>
  </si>
  <si>
    <t>Faculty of Civil and Environmental Engineering of Gdansk University of Technology; EOARDSTCU partner project [P667]</t>
  </si>
  <si>
    <t>Faculty of Civil and Environmental Engineering of Gdansk University of Technology; EOARDSTCU partner project</t>
  </si>
  <si>
    <t>This work was partially supported by the EOARDSTCU partner project P667. Part of this research was financed by the Faculty of Civil and Environmental Engineering of Gdansk University of Technology statutory research funds.</t>
  </si>
  <si>
    <t>10.1016/j.asr.2019.06.008</t>
  </si>
  <si>
    <t>JF2MB</t>
  </si>
  <si>
    <t>WOS:000491218400014</t>
  </si>
  <si>
    <t>Davidson, J; Alexander, CMO; Stroud, RM; Busemann, H; Nittler, LR</t>
  </si>
  <si>
    <t>Davidson, Jemma; Alexander, Conel M. O'D.; Stroud, Rhonda M.; Busemann, Henner; Nittler, Larry R.</t>
  </si>
  <si>
    <t>Mineralogy and petrology of Dominion Range 08006: A very primitive CO3 carbonaceous chondrite</t>
  </si>
  <si>
    <t>CO chondrites; DOM 08006; Primitive meteorites; Thermal metamorphism</t>
  </si>
  <si>
    <t>NOBLE-GASES; ORGANIC-MATTER; ISOTOPIC ANOMALIES; REFRACTORY INCLUSIONS; INTERSTELLAR GRAINS; METAMORPHIC HISTORY; PRESOLAR SILICATE; HIGH ABUNDANCES; SOLID-SOLUTION; METEORITES</t>
  </si>
  <si>
    <t>Here we report the relative degrees of thermal metamorphism for five Antarctic Ornans-like carbonaceous (CO) chondrites, including Dominion Range (DOM) 08006, as determined from the Cr-content of their FeO-rich (ferroan) olivine. These five CO3 chondrites complete the previously poorly-defined CO3.00 to 3.2 chondrite metamorphic trend. DOM 08006 appears to be a highly primitive CO chondrite of petrologic type 3.00. We report the detailed mineralogy and petrography of DOM 08006 using a coordinated, multi-technique approach. The interchondrule matrix in DOM 08006 consists of unequilibrated mixtures of silicate, metal, and sulfide minerals and lacks Fe-rich rims on silicates indicating that DOM 08006 has only experienced minimal, if any, thermal metamorphism. This is also reflected by the Co/Ni ratios of Ni-rich and Ni-poor metal, a sensitive indicator of thermal metamorphism, and the presence of euhedral chrome-spinel grains, which typically become subhedral to anhedral during progressive metamorphism. DOM 08006 matrix shows minor evidence for aqueous alteration and while the presence of magnetite surrounding metal in chondrules indicates that there has been some interaction with fluid, much metal remains and none of the sulfides analyzed show evidence of being formed by aqueous alteration. Furthermore, the plagioclase of similar to 50% of chondrules analyzed show resolvable excess silica indicating that these chondrules have experienced minimal, if any, reprocessing in the CO parent body. Noble gas data for DOM 08006 show that it contains the highest concentrations of trapped Ar-36 and Xe-132 of all CO chondrites analyzed to date, further indicating that DOM 08006 is the most primitive CO chondrite known. The cosmic ray exposure age of DOM 08006 is estimated to be similar to 19 Ma. The minimally altered nature of DOM 08006 demonstrates that it is an extremely important sample for providing valuable insight into early Solar System conditions. At a total weight of 667 g, a significant amount of material is available for a wide array of future studies. (C) 2019 Elsevier Ltd. All rights reserved.</t>
  </si>
  <si>
    <t>[Davidson, Jemma; Alexander, Conel M. O'D.; Nittler, Larry R.] Carnegie Inst Sci, Dept Terr Magnetism, 5241 Broad Branch Rd, Washington, DC 20015 USA; [Stroud, Rhonda M.] Naval Res Lab, Code 6366,4555 Overlook Ave SW, Washington, DC 20375 USA; [Busemann, Henner] Swiss Fed Inst Technol, Inst Geochem &amp; Petr, Clausiusstr 25, CH-8092 Zurich, Switzerland; [Davidson, Jemma] Arizona State Univ, Sch Earth &amp; Space Explorat, Ctr Meteorite Studies, 781 East Terrace Rd, Tempe, AZ 85287 USA</t>
  </si>
  <si>
    <t>Carnegie Institution for Science; United States Department of Defense; United States Navy; Naval Research Laboratory; Swiss Federal Institutes of Technology Domain; ETH Zurich; Arizona State University; Arizona State University-Tempe</t>
  </si>
  <si>
    <t>Davidson, J (corresponding author), Carnegie Inst Sci, Dept Terr Magnetism, 5241 Broad Branch Rd, Washington, DC 20015 USA.;Davidson, J (corresponding author), Arizona State Univ, Sch Earth &amp; Space Explorat, Ctr Meteorite Studies, 781 East Terrace Rd, Tempe, AZ 85287 USA.</t>
  </si>
  <si>
    <t>Stroud, Rhonda M/S-4584-2018; Stroud, Rhonda/GQZ-0151-2022; Alexander, Conel M. O'D./N-7533-2013; Davidson, Jemma/ABB-2655-2021</t>
  </si>
  <si>
    <t>Stroud, Rhonda M/0000-0001-5242-8015; Stroud, Rhonda/0000-0001-5242-8015; Alexander, Conel M. O'D./0000-0002-8558-1427; Davidson, Jemma/0000-0002-3725-2960; Busemann, Henner/0000-0002-0867-6908</t>
  </si>
  <si>
    <t>NSF; NASA [NNX11AG67G, NNX10AI63G, NNX11AB40G, NNH09AL20I]; Swiss National Science Foundation through the NCCR PlanetS; NASA [NNX11AG67G, NNX11AB40G, 150036, 144076] Funding Source: Federal RePORTER</t>
  </si>
  <si>
    <t>NSF(National Science Foundation (NSF)); NASA(National Aeronautics &amp; Space Administration (NASA)); Swiss National Science Foundation through the NCCR PlanetS; NASA(National Aeronautics &amp; Space Administration (NASA))</t>
  </si>
  <si>
    <t>We thank J. T. Armstrong for assistance with the electron microprobe. US Antarctic meteorite samples are recovered by the Antarctic Search for Meteorites (ANSMET) program, which has been funded by NSF and NASA, and characterized and curated by the Department of Mineral Sciences of the Smithsonian Institution and the Astromaterials Acquisition and Curation Office at NASA Johnson Space Center. This manuscript was significantly improved by helpful reviews from Emma Bullock, Ashley King, an anonymous reviewer, and the editorial expertise of AE Sara Russell. This work was funded by NASA grants NNX11AG67G (PI: CMODA), NNX10AI63G and NNX11AB40G (PI: LRN), and NNH09AL20I (PI: RMS), and by the Swiss National Science Foundation through the NCCR PlanetS (HB).</t>
  </si>
  <si>
    <t>10.1016/j.gca.2019.08.032</t>
  </si>
  <si>
    <t>JC0HK</t>
  </si>
  <si>
    <t>WOS:000488959900016</t>
  </si>
  <si>
    <t>Walker, CC; Gardner, AS</t>
  </si>
  <si>
    <t>Walker, C. C.; Gardner, A. S.</t>
  </si>
  <si>
    <t>Evolution of ice shelf rifts: Implications for formation mechanics and morphological controls</t>
  </si>
  <si>
    <t>Antarctic ice shelves; fracture mechanics; laser altimetry; surface topography; Landsat-derived velocity; ice shelf rifts</t>
  </si>
  <si>
    <t>FILCHNER-RONNE ICE; FRACTURE-MECHANICS; PROPAGATION; ANTARCTICA; SURFACE; ROSS</t>
  </si>
  <si>
    <t>Ice shelf rifts are predecessors to iceberg calving events. Observations of their morphology over time and interaction with their surroundings are presented. Newly-available Landsat-derived annual velocity data and laser altimetry from NASA's ICESat, ICESat-2 and Operation IceBridge missions were used to characterize several ice shelf rift systems. Actively propagating ice shelf rifts exhibit uplift on both sides, with an offset in height between the two rift walls, suggesting an asymmetric buoyancy force resulting from the rifting process itself. It is observed that the direction of the asymmetry is the same for rifts within a single ice shelf, but not between ice shelves. This finding suggests a rheological or basal properties influence on rift formation and buoyancy asymmetry. It is shown that this asymmetry can be accounted for by modeling ice shelf rifts as subvertical faults. With time and inactivity, rift walls eventually relax and become rounded off. Measurements of widening suggest that rift infilling is active on many active rifts. Active rifts experience higher spreading rates than do dormant rifts. Lastly, two candidate processes are identified for rift nucleation (subvertical basal crevassing and localized melt). It is found that more than any other ice shelf in this study, rifting in Pine Island Glacier is driven by ocean heat variations and is showing signs of increasing destabilization. (C) 2019 Elsevier B.V. All rights reserved.</t>
  </si>
  <si>
    <t>[Walker, C. C.] Woods Hole Oceanog Inst, Dept Appl Ocean Phys &amp; Engn, Woods Hole, MA 02543 USA; [Walker, C. C.] Univ Maryland, Earth Syst Sci Interdisciplinary Ctr, College Pk, MD 20742 USA; [Walker, C. C.] NASA, Goddard Space Flight Ctr, Cryospher Sci Lab, Greenbelt, MD 20771 USA; [Gardner, A. S.] CALTECH, NASA, Jet Prop Lab, Pasadena, CA USA</t>
  </si>
  <si>
    <t>Woods Hole Oceanographic Institution; University System of Maryland; University of Maryland College Park; National Aeronautics &amp; Space Administration (NASA); NASA Goddard Space Flight Center; National Aeronautics &amp; Space Administration (NASA); NASA Jet Propulsion Laboratory (JPL); California Institute of Technology</t>
  </si>
  <si>
    <t>Walker, CC (corresponding author), Woods Hole Oceanog Inst, Dept Appl Ocean Phys &amp; Engn, Woods Hole, MA 02543 USA.;Walker, CC (corresponding author), Univ Maryland, Earth Syst Sci Interdisciplinary Ctr, College Pk, MD 20742 USA.;Walker, CC (corresponding author), NASA, Goddard Space Flight Ctr, Cryospher Sci Lab, Greenbelt, MD 20771 USA.</t>
  </si>
  <si>
    <t>catherine.c.walker@nasa.gov</t>
  </si>
  <si>
    <t>Walker, Catherine Colello/HSG-9526-2023</t>
  </si>
  <si>
    <t>Walker, Catherine Colello/0000-0003-4019-1000; Gardner, Alex/0000-0002-8394-8889</t>
  </si>
  <si>
    <t>NASA's Cryosphere and Postdoctoral Fellowship Programs</t>
  </si>
  <si>
    <t>This research was carried out at the Jet Propulsion Laboratory, California Institute of Technology, under a contract with the National Aeronautics and Space Administration. This work was supported by NASA's Cryosphere and Postdoctoral Fellowship Programs. Very special thanks to Jeremy Bassis for so many valuable discussions on rifting and making early reviews of this manuscript that enhanced its readability. Additional thanks to Ala Khazendar, Eric Larour and Brad Lipovsky for contributing to the discussion of rift formation processes. Thanks also to the Editor, Brad Lipovsky and a second anonymous reviewer for substantially improving this manuscript through careful review. Velocity data was generated using auto-RIFT (Gardner et al., 2018) and provided by the NASA MEaSUREs ITS_LIVE project (Gardner et al., 2019). ICESat (Zwally et al., 2003) and ICEsat-2 (Neumann et al., 2019; Smith et al., 2019) and ATM (Studinger, 2014) data are provided by NASA via NSIDC.</t>
  </si>
  <si>
    <t>10.1016/j.epsl.2019.115764</t>
  </si>
  <si>
    <t>JB2VO</t>
  </si>
  <si>
    <t>WOS:000488417000002</t>
  </si>
  <si>
    <t>Takir, D; Stockstill-Cahill, KR; Hibbitts, CA; Nakauchi, Y</t>
  </si>
  <si>
    <t>Takir, Driss; Stockstill-Cahill, Karen R.; Hibbitts, Charles A.; Nakauchi, Yusuke</t>
  </si>
  <si>
    <t>3-μm reflectance spectroscopy of carbonaceous chondrites under asteroid-like conditions</t>
  </si>
  <si>
    <t>ICARUS</t>
  </si>
  <si>
    <t>X-RAY-DIFFRACTION; MODAL MINERALOGY; TAGISH LAKE; METEORITES; CR; CM; CLASSIFICATION; SPECTRA; CI</t>
  </si>
  <si>
    <t>We measured 3-mu m reflectance spectra of 21 meteorites that represent all carbonaceous chondrite types available in terrestrial meteorite collections. The measurements were conducted at the Laboratory for Spectroscopy under Planetary Environmental Conditions (LabSPEC) at the Johns Hopkins University Applied Physics Laboratory (JHU APL) under vacuum and thermally-desiccated conditions (asteroid-like conditions). This is the most comprehensive 3-mu m dataset of carbonaceous chondrites ever acquired in environments similar to the ones experienced by asteroids. The 3-mu m reflectance spectra are extremely important for direct comparisons with and appropriate interpretations of reflectance data from ground-based telescopic and spacecraft observations of asteroids. We found good agreement between 3-mu m spectral characteristics of carbonaceous chondrites and carbonaceous chondrite classifications. The 3-mu m band is diverse, indicative of varying composition, thus suggesting that these carbonaceous chondrites experienced distinct parent body aqueous alteration and metamorphism environments. The spectra of CI chondrites, from which significant amount of water adsorbed under ambient conditions was removed, are consistent with Mg-serpentine and clay minerals. The high abundances of organics in CI chondrites is also associated with the mineralogy of these chondrites, oxyhydroxides- and complex clay minerals-rich. CM chondrites, which are cronstedtite-rich, have shallower 3-mu m band than CI chondrites, suggesting they experienced less aqueous alteration. CR chondrites showed moderate aqueous alteration relative to CI and CM chondrites. CV chondrites, except for Efremovka, have a very shallow 3-mu m band, consistent with their lower phyllosilicate proportions. CO chondrites, like most CVs, have a very shallow 3-mu m band that suggest they experienced minor aqueous alteration. The 3-mu m band in CH/CBb is deep and broad centered similar to 3.11 mu m, possibly due to the high abundance of FeNi metal and presence of heavily hydrated clasts in these chondrites. The 3-mu m spectra of Essebi (C2-ung) and EET 83226 are more consistent with CM chondrites' spectra. The 3-mu m spectra of Tagish lake (C2-ung), on the other hand, are consistent with CI chondrites. None of these spectral details could have been resolved without removing the adsorbed water before acquiring spectra.</t>
  </si>
  <si>
    <t>[Takir, Driss] NASA, Johnson Space Ctr, Jacobs ARES, Houston, TX 77058 USA; [Stockstill-Cahill, Karen R.; Hibbitts, Charles A.] Johns Hopkins Univ, Appl Phys Lab, Laurel, MD 20273 USA; [Nakauchi, Yusuke] JAXA Inst Space &amp; Astronaut Sci, Sagamihara, Kanagawa, Japan</t>
  </si>
  <si>
    <t>National Aeronautics &amp; Space Administration (NASA); NASA Johnson Space Center; Johns Hopkins University; Johns Hopkins University Applied Physics Laboratory; Japan Aerospace Exploration Agency (JAXA); Institute of Space &amp; Astronautical Science (ISAS)</t>
  </si>
  <si>
    <t>Takir, D (corresponding author), NASA, Johnson Space Ctr, Astromat Res &amp; Explorat Sci Div, 2101 NASA Pkwy,Bldg 36,Room 126, Houston, TX 77058 USA.</t>
  </si>
  <si>
    <t>driss.takir@nasa.gov</t>
  </si>
  <si>
    <t>Hibbitts, Charles/B-7787-2016; Cahill, Karen/A-6601-2019</t>
  </si>
  <si>
    <t>Hibbitts, Charles/0000-0001-9089-4391; Nakauchi, Yusuke/0000-0002-3745-460X; Cahill, Karen/0000-0002-9017-3110</t>
  </si>
  <si>
    <t>NASA Hayabusa2 Participating Scientist grant [NNX17ALO2G]; NASA; NSF</t>
  </si>
  <si>
    <t>NASA Hayabusa2 Participating Scientist grant; NASA(National Aeronautics &amp; Space Administration (NASA)); NSF(National Science Foundation (NSF))</t>
  </si>
  <si>
    <t>This work has been supported by NASA Hayabusa2 Participating Scientist grant NNX17ALO2G (PI: DT). Travel support for YN to JHU APL's LabSPEC was provided by Japan Society for the Promotion of Science Core-to-Core Program International Network of Planetary Sciences. We thank Devin Schrader for preparing and providing the following samples: MIL 15328, DOM 10085, and EET 83226. We thank Mike Zolensky for preparing and providing the following samples: NWA 4964, SAU 290, and Tagish Lake. The authors would also thank and appreciate Neyda Abreu and Kieren Howard for the carbonaceous chondrite discussion. Other meteorite samples have been provided by the American Museum of Natural History &amp; University of Winnipeg's Hyperspectral Optical Sensing for Extraterrestrial Reconnaissance Laboratory.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t>
  </si>
  <si>
    <t>0019-1035</t>
  </si>
  <si>
    <t>1090-2643</t>
  </si>
  <si>
    <t>Icarus</t>
  </si>
  <si>
    <t>10.1016/j.icarus.2019.05.012</t>
  </si>
  <si>
    <t>IR6RK</t>
  </si>
  <si>
    <t>WOS:000481566200018</t>
  </si>
  <si>
    <t>Cauquoin, A; Werner, M; Lohmann, G</t>
  </si>
  <si>
    <t>Cauquoin, Alexandre; Werner, Martin; Lohmann, Gerrit</t>
  </si>
  <si>
    <t>Water isotopes - climate relationships for the mid-Holocene and preindustrial period simulated with an isotope-enabled version of MPI-ESM</t>
  </si>
  <si>
    <t>CLIMATE OF THE PAST</t>
  </si>
  <si>
    <t>GENERAL-CIRCULATION MODEL; LAST GLACIAL MAXIMUM; BIPOLAR SEE-SAW; DEUTERIUM EXCESS; ICE CORE; ANTARCTIC CLIMATE; ATMOSPHERIC CIRCULATION; EXPERIMENTAL-DESIGN; PMIP4 CONTRIBUTION; MILLENNIAL-SCALE</t>
  </si>
  <si>
    <t>We present here the first results, for the preindustrial and mid-Holocene climatological periods, of the newly developed isotope-enhanced version of the fully coupled Earth system model MPI-ESM, called hereafter MPI-ESM-wiso. The water stable isotopes (H2O)-O-16, (H2O)-O-18 and HDO have been implemented into all components of the coupled model setup. The mid-Holocene provides the opportunity to evaluate the model response to changes in the seasonal and latitudinal distribution of insolation induced by different orbital forcing conditions. The results of our equilibrium simulations allow us to evaluate the performance of the isotopic model in simulating the spatial and temporal variations of water isotopes in the different compartments of the hydrological system for warm climates. For the preindustrial climate, MPI-ESM-wiso reproduces very well the observed spatial distribution of the isotopic content in precipitation linked to the spatial variations in temperature and precipitation rate. We also find a good model-data agreement with the observed distribution of isotopic composition in surface seawater but a bias with the presence of surface seawater that is too O-18-depleted in the Arctic Ocean. All these results are improved compared to the previous model version ECHAM5/MPIOM. The spatial relationships of water isotopic composition with temperature, precipitation rate and salinity are consistent with observational data. For the preindustrial climate, the interannual relationships of water isotopes with temperature and salinity are globally lower than the spatial ones, consistent with previous studies. Simulated results under mid-Holocene conditions are in fair agreement with the isotopic measurements from ice cores and continental speleothems. MPI-ESM-wiso simulates a decrease in the isotopic composition of precipitation from North Africa to the Tibetan Plateau via India due to the enhanced monsoons during the mid-Holocene. Over Greenland, our simulation indicates a higher isotopic composition of precipitation linked to higher summer temperature and a reduction in sea ice, shown by positive isotope-temperature gradient. For the Antarctic continent, the model simulates lower isotopic values over the East Antarctic plateau, linked to the lower temperatures during the mid-Holocene period, while similar or higher isotopic values are modeled over the rest of the continent. While variations of isotopic contents in precipitation over West Antarctica between mid-Holocene and preindustrial periods are partly controlled by changes in temperature, the transport of relatively O-18-rich water vapor near the coast to the western ice core sites could play a role in the final isotopic composition. So, more caution has to be taken about the reconstruction of past temperature variations during warm periods over this area. The coupling of such a model with an ice sheet model or the use of a zoomed grid centered on this region could help to better describe the role of the water vapor transport and sea ice around West Antarctica. The reconstruction of past salinity through isotopic content in sea surface waters can be complicated for regions with strong ocean dynamics, variations in sea ice regimes or significant changes in freshwater budget, giving an extremely variable relationship between the isotopic content and salinity of ocean surface waters over small spatial scales. These complicating factors demonstrate the complexity of interpreting water isotopes as past climate signals of warm periods like the mid-Holocene. A systematic isotope model intercomparison study for further insights on the model dependency of these results would be beneficial.</t>
  </si>
  <si>
    <t>[Cauquoin, Alexandre; Werner, Martin; Lohmann, Gerrit] Helmholtz Ctr Polar &amp; Marine Sci, Alfred Wegener Inst, Bremerhaven, Germany</t>
  </si>
  <si>
    <t>Helmholtz Association; Alfred Wegener Institute, Helmholtz Centre for Polar &amp; Marine Research</t>
  </si>
  <si>
    <t>Cauquoin, A (corresponding author), Helmholtz Ctr Polar &amp; Marine Sci, Alfred Wegener Inst, Bremerhaven, Germany.</t>
  </si>
  <si>
    <t>alexandre.cauquoin@awi.de</t>
  </si>
  <si>
    <t>Werner, Martin/C-8067-2014; Cauquoin, Alexandre/HCH-9930-2022; Cauquoin, Alexandre/N-4579-2015</t>
  </si>
  <si>
    <t>Werner, Martin/0000-0002-6473-0243; Cauquoin, Alexandre/0000-0002-4620-4696; Cauquoin, Alexandre/0000-0002-4620-4696</t>
  </si>
  <si>
    <t>German Federal Ministry of Education and Research (BMBF) as a Research for Sustainability initiative (FONA) through the PalMod project [FKZ: 01LP1511B]</t>
  </si>
  <si>
    <t>German Federal Ministry of Education and Research (BMBF) as a Research for Sustainability initiative (FONA) through the PalMod project(Federal Ministry of Education &amp; Research (BMBF))</t>
  </si>
  <si>
    <t>This work was supported by the German Federal Ministry of Education and Research (BMBF) as a Research for Sustainability initiative (FONA) through the PalMod project (FKZ: 01LP1511B). All simulations were performed at the German Climate Computing Center (DKRZ). We thank Jonathan Holmes and one anonymous referee for their useful suggestions that helped to improve this paper. We thank Christian Stepanek for his help on experiment design and the fruitful discussions. We acknowledge Dirk Barbi for his help for debugging, installing and running the model.</t>
  </si>
  <si>
    <t>1814-9324</t>
  </si>
  <si>
    <t>1814-9332</t>
  </si>
  <si>
    <t>CLIM PAST</t>
  </si>
  <si>
    <t>Clim. Past.</t>
  </si>
  <si>
    <t>NOV 14</t>
  </si>
  <si>
    <t>10.5194/cp-15-1913-2019</t>
  </si>
  <si>
    <t>JO1BX</t>
  </si>
  <si>
    <t>Green Submitted, Green Accepted, gold</t>
  </si>
  <si>
    <t>WOS:000497321500001</t>
  </si>
  <si>
    <t>O'Donnell, JP; Brisbourne, AM; Stuart, GW; Dunham, CK; Yang, Y; Nield, GA; Whitehouse, PL; Nyblade, AA; Wiens, DA; Anandakrishnan, S; Aster, RC; Huerta, AD; Lloyd, AJ; Wilson, T; Winberry, JP</t>
  </si>
  <si>
    <t>O'Donnell, J. P.; Brisbourne, A. M.; Stuart, G. W.; Dunham, C. K.; Yang, Y.; Nield, G. A.; Whitehouse, P. L.; Nyblade, A. A.; Wiens, D. A.; Anandakrishnan, S.; Aster, R. C.; Huerta, A. D.; Lloyd, A. J.; Wilson, T.; Winberry, J. P.</t>
  </si>
  <si>
    <t>Mapping Crustal Shear Wave Velocity Structure and Radial Anisotropy Beneath West Antarctica Using Seismic Ambient Noise</t>
  </si>
  <si>
    <t>Antarctica; tectonics; crust; seismology; anisotropy; ambient noise</t>
  </si>
  <si>
    <t>UPPER-MANTLE STRUCTURE; MARIE BYRD LAND; RAYLEIGH-WAVE; ELLSWORTH MOUNTAINS; CONTINENTAL-CRUST; TRIPLE JUNCTION; RIFT SYSTEM; SURFACE; THICKNESS; TOMOGRAPHY</t>
  </si>
  <si>
    <t>Using 8- to 25-s-period Rayleigh and Love wave phase velocity dispersion data extracted from seismic ambient noise, we (i) model the 3-D shear wave velocity structure of the West Antarctic crust and (ii) map variations in crustal radial anisotropy. Enhanced regional resolution is offered by the UK Antarctic Seismic Network. In the West Antarctic Rift System (WARS), a ridge of crust similar to 26-30 km thick extending south from Marie Byrd Land separates domains of more extended crust (similar to 22 km thick) in the Ross and Amundsen Sea Embayments, suggesting along-strike variability in the Cenozoic evolution of the WARS. The southern margin of the WARS is defined along the southern Transantarctic Mountains and Haag-Ellsworth Whitmore Mountains (HEW) block by a sharp crustal thickness gradient. Crust similar to 35-40 km is modeled beneath the Haag Nunataks-Ellsworth Mountains, decreasing to similar to 30-32 km thick beneath the Whitmore Mountains, reflecting distinct structural domains within the composite HEW block. Our analysis suggests that the lower crust and potentially the middle crust is positively radially anisotropic (V-SH&gt;V-SV) across West Antarctica. The strongest anisotropic signature is observed in the HEW block, emphasizing its unique provenance among West Antarctica's crustal units, and conceivably reflects a similar to 13-km-thick metasedimentary succession atop Precambrian metamorphic basement. Positive radial anisotropy in the WARS crust is consistent with observations in extensional settings and likely reflects the lattice-preferred orientation of minerals such as mica and amphibole by extensional deformation. Our observations support a contention that anisotropy may be ubiquitous in the continental crust.</t>
  </si>
  <si>
    <t>[O'Donnell, J. P.; Stuart, G. W.; Dunham, C. K.] Univ Leeds, Sch Earth &amp; Environm, Leeds, W Yorkshire, England; [Brisbourne, A. M.] British Antarctic Survey, Nat Environm Res Council, Cambridge, England; [Yang, Y.] Macquarie Univ, Dept Earth &amp; Planetary Sci, N Ryde, NSW, Australia; [Nield, G. A.; Whitehouse, P. L.] Univ Durham, Dept Geog, Durham, England; [Nyblade, A. A.; Anandakrishnan, S.] Penn State Univ, Dept Geosci, University Pk, PA 16802 USA; [Wiens, D. A.; Lloyd, A. J.] Washington Univ, Dept Earth &amp; Planetary Sci, St Louis, MO 63130 USA; [Aster, R. C.] Colorado State Univ, Dept Geosci, Ft Collins, CO 80523 USA; [Huerta, A. D.; Winberry, J. P.] Cent Washington Univ, Dept Geol Sci, Ellensburg, WA USA; [Wilson, T.] Ohio State Univ, Sch Earth Sci, Columbus, OH 43210 USA</t>
  </si>
  <si>
    <t>University of Leeds; UK Research &amp; Innovation (UKRI); Natural Environment Research Council (NERC); NERC British Antarctic Survey; Macquarie University; Durham University; Pennsylvania Commonwealth System of Higher Education (PCSHE); Pennsylvania State University; Pennsylvania State University - University Park; Washington University (WUSTL); Colorado State University; Central Washington University; University System of Ohio; Ohio State University</t>
  </si>
  <si>
    <t>O'Donnell, JP (corresponding author), Univ Leeds, Sch Earth &amp; Environm, Leeds, W Yorkshire, England.</t>
  </si>
  <si>
    <t>j.p.odonnell@leeds.ac.uk</t>
  </si>
  <si>
    <t>Anandakrishnan, Sridhar/JCN-5026-2023; Yang, Yingjie/L-4951-2015; Huerta, Audrey D/A-8680-2009; Aster, Richard/E-5067-2013; Facility, NERC Geophysical Equipment/G-5260-2010; Winberry, Paul/HLQ-2673-2023; Nield, Grace/I-8366-2012; Brisbourne, Alex/E-6198-2013; Wiens, Douglas/J-9259-2016</t>
  </si>
  <si>
    <t>Yang, Yingjie/0000-0002-1105-3824; Aster, Richard/0000-0002-0821-4906; Winberry, Paul/0000-0003-1205-0745; Nield, Grace/0000-0002-3897-7904; Huerta, Audrey/0000-0002-0252-8496; Lloyd, Andrew/0000-0002-2253-1342; Brisbourne, Alex/0000-0002-9887-7120; O'Donnell, John Paul/0000-0003-1524-2312; Wiens, Douglas/0000-0002-5169-4386; Whitehouse, Pippa/0000-0002-9092-3444</t>
  </si>
  <si>
    <t>Natural Environment Research Council [NE/L006065/1, NE/L006294/1, NE/K009958/1]; National Science Foundation Office of Polar Programs [0632230, 0632239, 0652322, 0632335, 0632136, 0632209, 0632185]; SEIS-UK; Incorporated Research Institutions for Seismology (IRIS) through the PASSCAL Instrument Center; NSF [EAR-1063471]; NSF Office of Polar Programs; DOE National Nuclear Security Administration; NERC [bas0100034, NE/L006294/1, NE/L006065/1] Funding Source: UKRI; Directorate For Geosciences; Office of Polar Programs (OPP) [0632185] Funding Source: National Science Foundation; Directorate For Geosciences; Office of Polar Programs (OPP) [0632335, 0632136] Funding Source: National Science Foundation</t>
  </si>
  <si>
    <t>Natural Environment Research Council(UK Research &amp; Innovation (UKRI)Natural Environment Research Council (NERC)); National Science Foundation Office of Polar Programs(National Science Foundation (NSF)NSF - Directorate for Geosciences (GEO)); SEIS-UK; Incorporated Research Institutions for Seismology (IRIS) through the PASSCAL Instrument Center; NSF(National Science Foundation (NSF)); NSF Office of Polar Programs(National Science Foundation (NSF)); DOE National Nuclear Security Administration(National Nuclear Security AdministrationUnited States Department of Energy (DOE)); NERC(UK Research &amp; Innovation (UKRI)Natural Environment Research Council (NERC)); Directorate For Geosciences; Office of Polar Programs (OPP)(National Science Foundation (NSF)NSF - Directorate for Geosciences (GEO)); Directorate For Geosciences; Office of Polar Programs (OPP)(National Science Foundation (NSF)NSF - Directorate for Geosciences (GEO))</t>
  </si>
  <si>
    <t>We thank all BAS camp staff, field guides, and air unit personnel for the logistical support of the UKANET seismic and GNSS networks. We similarly acknowledge all field teams and camp staff associated with the POLENET-ANET project and thank Kenn Borek Air and the New York Air Guard for flight support. J. P. O. D., C. K. D., G. A. N., and P. L. W. are supported by the Natural Environment Research Council (Grants NE/L006065/1, NE/L006294/1, and NE/K009958/1). POLENET-ANET is supported by the National Science Foundation Office of Polar Programs (Grants 0632230, 0632239, 0652322, 0632335, 0632136, 0632209, and 0632185). UKANET seismic instrumentation was provided and supported by SEIS-UK. POLENET-ANET seismic instrumentation was provided and supported by the Incorporated Research Institutions for Seismology (IRIS) through the PASSCAL Instrument Center. The UKANET (www.ukanet.wixsite.com/ukanet; network code 1D; https://doi.org/10.7914/SN/1D_2016) data will be accessible through the IRIS Data Management Center (http://www.iris.edu/mda) from January 2021. POLENET-ANET (network code YT), ASAIN (network code AI), GSN (network code IU), and SEPA (network code XB) seismic data can be accessed through the IRIS DMC. The facilities of the IRIS Consortium are supported by the NSF under cooperative Agreement EAR-1063471, the NSF Office of Polar Programs, and the DOE National Nuclear Security Administration. Figures were created using the Generic Mapping Tools (GMT) software (Wessel &amp; Smith, 1998) with color maps from Kovesi (2015) and Crameri (2018). The phase and shear wave velocity models developed here can be accessed at the UK Polar Data Centre, https://doi.org/10.5285/b5ffac8a-9846-4f86-9a71-3ce992a18148.We thank Simone Pilia and an anonymous reviewer for reviews.</t>
  </si>
  <si>
    <t>10.1029/2019GC008459</t>
  </si>
  <si>
    <t>JZ9DZ</t>
  </si>
  <si>
    <t>Green Published, Green Accepted, Green Submitted</t>
  </si>
  <si>
    <t>WOS:000496484400001</t>
  </si>
  <si>
    <t>Vannitsem, S; Dalaiden, Q; Goosse, H</t>
  </si>
  <si>
    <t>Vannitsem, Stephane; Dalaiden, Quentin; Goosse, Hugues</t>
  </si>
  <si>
    <t>Testing for Dynamical Dependence: Application to the Surface Mass Balance Over Antarctica</t>
  </si>
  <si>
    <t>dynamical dependence; correlation; surface mass balance; Antarctica</t>
  </si>
  <si>
    <t>SOUTHERN ANNULAR MODE; DRONNING MAUD LAND; EAST ANTARCTICA; CLIMATE; TEMPERATURE; SNOWFALL; TELECONNECTIONS; RECONSTRUCTIONS; PRECIPITATION; ACCUMULATION</t>
  </si>
  <si>
    <t>Dynamical dependence between key observables and the surface mass balance (SMB) over Antarctica is analyzed in two historical runs performed with the MPI-ESM-P and the CESM1-CAM5 climate models. The approach used is a novel method allowing for evaluating the rate of information transfer between observables that goes beyond the classical correlation analysis and allows for directional characterization of dependence. It reveals that a large proportion of significant correlations do not lead to dependence. In addition, three coherent results concerning the dependence of SMB emerge from the analysis of both models: (i) The SMB over the Antarctic Plateau is mostly influenced by the surface temperature and sea ice concentration and not by large-scale circulation changes; (ii) the SMB of the Weddell Sea and the Dronning Maud Land coasts are not influenced significantly by the surface temperature; and (iii) the Weddell Sea coast is not significantly influenced by the sea ice concentration.</t>
  </si>
  <si>
    <t>[Vannitsem, Stephane] Royal Meteorol Inst Belgium, Brussels, Belgium; [Dalaiden, Quentin; Goosse, Hugues] Catholic Univ Louvain, Earth &amp; Life Inst, Louvain La Neuve, Belgium</t>
  </si>
  <si>
    <t>Royal Meteorological Institute of Belgium; Universite Catholique Louvain</t>
  </si>
  <si>
    <t>Vannitsem, S (corresponding author), Royal Meteorol Inst Belgium, Brussels, Belgium.</t>
  </si>
  <si>
    <t>svn@meteo.be</t>
  </si>
  <si>
    <t>Vannitsem, Stephane/R-7328-2019</t>
  </si>
  <si>
    <t>Vannitsem, Stephane/0000-0002-1734-1042; Dalaiden, Quentin/0000-0002-3885-3848</t>
  </si>
  <si>
    <t>project Mass2Ant of the Belgian Science Policy Office [BR/165/A2/Mass2Ant]</t>
  </si>
  <si>
    <t>project Mass2Ant of the Belgian Science Policy Office</t>
  </si>
  <si>
    <t>This work is supported in part by the project Mass2Ant (BR/165/A2/Mass2Ant) of the Belgian Science Policy Office. H. Goosse is Research Director within the F.R.S.-FNRS, Belgium. The data sets used in the present paper are coming from main data sources websites: All CMIP5/PMIP3 model simultation including the MPI-ESM-P simulation are available online (https://pcmdi9.llnl.gov); the CESM1-CAM5 ensemble over the last millenium can be directly downloaded online (https://www.earthsystemgrid.org); the ERA-interim reanalysis is available from the ECMWF website (https://www.ecmwf.int/en/research/climate-reanalysis/era-interim).</t>
  </si>
  <si>
    <t>10.1029/2019GL084329</t>
  </si>
  <si>
    <t>WOS:000496467800001</t>
  </si>
  <si>
    <t>Claeskens, G; Cunen, C; Hjort, NL</t>
  </si>
  <si>
    <t>Claeskens, Gerda; Cunen, Celine; Hjort, Nils Lid</t>
  </si>
  <si>
    <t>Model Selection via Focused Information Criteria for Complex Data in Ecology and Evolution</t>
  </si>
  <si>
    <t>FRONTIERS IN ECOLOGY AND EVOLUTION</t>
  </si>
  <si>
    <t>bird species abundance; ecology; evolution; FIC and AFIC; focused model selection; linear mixed effects; minke whales</t>
  </si>
  <si>
    <t>Datasets encountered when examining deeper issues in ecology and evolution are often complex. This calls for careful strategies for both model building, model selection, and model averaging. Our paper aims at motivating, exhibiting, and further developing focused model selection criteria. In contexts involving precisely formulated interest parameters, these versions of FIC, the focused information criterion, typically lead to better final precision for the most salient estimates, confidence intervals, etc. as compared to estimators obtained from other selection methods. Our methods are illustrated with real case studies in ecology; one related to bird species abundance and another to the decline in body condition for the Antarctic minke whale.</t>
  </si>
  <si>
    <t>[Claeskens, Gerda] Katholieke Univ Leuven, ORSTAT, Leuven, Belgium; [Claeskens, Gerda] Katholieke Univ Leuven, Leuven Stat Res Ctr, Leuven, Belgium; [Cunen, Celine; Hjort, Nils Lid] Univ Oslo, Dept Math, Oslo, Norway</t>
  </si>
  <si>
    <t>KU Leuven; KU Leuven; University of Oslo</t>
  </si>
  <si>
    <t>Hjort, NL (corresponding author), Univ Oslo, Dept Math, Oslo, Norway.</t>
  </si>
  <si>
    <t>nils@math.uio.no</t>
  </si>
  <si>
    <t>Claeskens, Gerda/0000-0002-3863-5197</t>
  </si>
  <si>
    <t>KU Leuven [GOA/12/14]; Norwegian Research Council at the Department of Mathematics, University of Oslo [235116]</t>
  </si>
  <si>
    <t>KU Leuven(KU Leuven); Norwegian Research Council at the Department of Mathematics, University of Oslo(Research Council of Norway)</t>
  </si>
  <si>
    <t>Some of our FIC and AFIC calculations have been carried out with the help of the R library fic, developed by Christopher Jackson, see github chjackson/fic, also available on CRAN; some of our algorithms are extensions of his. CC and NH thank Kenji Konishi and the other scientists at the Institute of Cetacean Research for obtaining the body condition data for the Antarctic minke whale, the IWC Scientific Committee's Data Availability Group (DAG) for facilitating the access to these data, and Lars Walloe for valuable discussions regarding the modeling. GC acknowledges support of KU Leuven grant GOA/12/14, and CC and NH acknowledge partial support from the Norwegian Research Council through the FocuStat project 235116 at the Department of Mathematics, University of Oslo. Finally and crucially, the authors express gratitude to three reviewers, for their detailed suggestions, which led to a better and more clearly structured article.</t>
  </si>
  <si>
    <t>2296-701X</t>
  </si>
  <si>
    <t>FRONT ECOL EVOL</t>
  </si>
  <si>
    <t>Front. Ecol. Evol.</t>
  </si>
  <si>
    <t>10.3389/fevo.2019.00415</t>
  </si>
  <si>
    <t>VM7VZ</t>
  </si>
  <si>
    <t>WOS:001046095800001</t>
  </si>
  <si>
    <t>Linse, K; Bohrmann, G; Sigwart, J</t>
  </si>
  <si>
    <t>Linse, Katrin; Bohrmann, Gerhard; Sigwart, Julia</t>
  </si>
  <si>
    <t>Eualus amandae (Decapoda: Caridea: Thoridae) is an indicator of active venting sites in the Southern Ocean</t>
  </si>
  <si>
    <t>Hydrothermal vent; Eurybathy; Antarctic shrimp</t>
  </si>
  <si>
    <t>CRUSTACEA; SEA; HIPPOLYTIDAE; THALLWITZ; ISLANDS; SHRIMP; GENUS</t>
  </si>
  <si>
    <t>We report in situ observations that reveal the presence of the thorid genus Eualus at hydrothermally active sites. The shrimp Eualus amandae Nye, Copley &amp; Linse, 2013 was first collected in non-venting sites but near areas of hydrothermal activity, on the East Scotia Ridge segment E9 and in the Kemp Caldera, South Sandwich Arc. During a recent expedition of RV Polarstern, specimens of Eualus amandae were observed via a remotely operated vehicle (ROV) at the East Scotia Ridge segment E2 and Kemp Caldera. The animals were seen in shimmering water sites on pillow basalts and at active hydrothermal orifices, both unambiguously hydrothermally active. These sites were also characterised by other vent marginal fauna, such as deep-water comatulid crinoids or stoloniferean cnidarians. The shrimp family Thoridae is more diverse in Antarctic waters than other shrimp families and these records suggest two independent origins of hydrothermal-related habitats in Lebbeus, and now Eualus. These records expand the understanding of the contribution of geothermal activity to larger patterns of Antarctic deep-sea biodiversity.</t>
  </si>
  <si>
    <t>[Linse, Katrin] British Antarctic Survey, Madingley Rd, Cambridge CB3 0ET, England; [Bohrmann, Gerhard] Univ Bremen, MARUM Ctr Marine Environm Sci, Departmei Geosci, Klagenfurter Str, D-28359 Bremen, Germany; [Sigwart, Julia] Queens Univ Belfast, Marine Lab, 12-13 Strand, Portafeny BT22 1PF, North Ireland</t>
  </si>
  <si>
    <t>UK Research &amp; Innovation (UKRI); Natural Environment Research Council (NERC); NERC British Antarctic Survey; University of Bremen; Queens University Belfast</t>
  </si>
  <si>
    <t>Linse, K (corresponding author), British Antarctic Survey, Madingley Rd, Cambridge CB3 0ET, England.</t>
  </si>
  <si>
    <t>kl@bas.ac.uk</t>
  </si>
  <si>
    <t>Bohrmann, Gerhard/D-4474-2017; Sigwart, Julia/J-2928-2014</t>
  </si>
  <si>
    <t>Bohrmann, Gerhard/0000-0001-9976-4948; Linse, Katrin/0000-0003-3477-3047; Sigwart, Julia/0000-0002-3005-6246</t>
  </si>
  <si>
    <t>NERC Consortium Grant [NE/DO1249X/1]; Census of Marine Life; Sloan Foundation; BMBF via Projekttrager Julich [03G0880A]; NERC [bas0100036] Funding Source: UKRI</t>
  </si>
  <si>
    <t>NERC Consortium Grant; Census of Marine Life; Sloan Foundation(Alfred P. Sloan Foundation); BMBF via Projekttrager Julich(Federal Ministry of Education &amp; Research (BMBF)); NERC(UK Research &amp; Innovation (UKRI)Natural Environment Research Council (NERC))</t>
  </si>
  <si>
    <t>The ChEsSo research programme was funded by a NERC Consortium Grant (NE/DO1249X/1) and supported by the Census of Marine Life and the Sloan Foundation. PS119 was funded by BMBF via Projekttrager Julich (03G0880A).</t>
  </si>
  <si>
    <t>10.1007/s12526-019-01018-x</t>
  </si>
  <si>
    <t>WOS:000496213200002</t>
  </si>
  <si>
    <t>Massonnet, F</t>
  </si>
  <si>
    <t>Massonnet, Francois</t>
  </si>
  <si>
    <t>Climate Models as Guidance for the Design of Observing Systems: the Case of Polar Climate and Sea Ice Prediction</t>
  </si>
  <si>
    <t>CURRENT CLIMATE CHANGE REPORTS</t>
  </si>
  <si>
    <t>polar regions; observing system design; climate modeling; environmental prediction; emergent constraints; data assimilation; observing system experiments; satellite simulators</t>
  </si>
  <si>
    <t>GLOBAL MEAN TEMPERATURE; SNOW DEPTH PRODUCTS; EMERGENT CONSTRAINTS; OBSERVATION ERRORS; DATA ASSIMILATION; THICKNESS; VARIABILITY; CLOUD; PROJECTIONS; IMPACT</t>
  </si>
  <si>
    <t>Purpose of review The Arctic and Antarctic are among the regions most exposed to climate change, but ironically, they are also the ones for which the least observations are available. Climate models have been instrumental in completing the big picture. It is generally accepted that observations feed the development of climate models: parameterizations are designed based on empirically observed relationships, climate model predictions are initialized using observational products, and numerical simulations are evaluated given matching observational datasets. Recent findings Recent research suggests that the opposite also holds: climate models can feed the development of polar observational networks by indicating the type, location, frequency, and timing of measurements that would be most useful for answering a specific scientific question. Here, we review the foundations of this emerging notion with five cases borrowed from the field of polar prediction with a focus on sea ice (sub-seasonal to centennial time scales). We suggest that climate models, besides their usual purposes, can be used to objectively prioritize future observational needs - if, of course, the limitations of the realism of these models have been recognized. This idea, which has been already extensively exploited in the context of Numerical Weather Prediction, reinforces the notion that observations and models are two sides of the same coin rather than distinct conceptual entities.</t>
  </si>
  <si>
    <t>[Massonnet, Francois] Catholic Univ Louvain, Georges Lemaitre Ctr Earth &amp; Climate Res, Earth &amp; Life Inst, Louvain La Neuve, Belgium</t>
  </si>
  <si>
    <t>Universite Catholique Louvain</t>
  </si>
  <si>
    <t>Massonnet, F (corresponding author), Catholic Univ Louvain, Georges Lemaitre Ctr Earth &amp; Climate Res, Earth &amp; Life Inst, Louvain La Neuve, Belgium.</t>
  </si>
  <si>
    <t>francois.massonnet@uclouvain.be</t>
  </si>
  <si>
    <t>Massonnet, Francois/J-5315-2014</t>
  </si>
  <si>
    <t>Massonnet, Francois/0000-0002-4697-5781</t>
  </si>
  <si>
    <t>Belgian Fonds National de la Recherche Scientifique (F.R.S.-FNRS); European Commission's Horizon 2020 project APPLICATE [GA 727862]; European Commission's Horizon 2020 project PRIMAVERA [GA 641727]</t>
  </si>
  <si>
    <t>Belgian Fonds National de la Recherche Scientifique (F.R.S.-FNRS)(Fonds de la Recherche Scientifique - FNRS); European Commission's Horizon 2020 project APPLICATE; European Commission's Horizon 2020 project PRIMAVERA</t>
  </si>
  <si>
    <t>The research leading to these results has received funding from the Belgian Fonds National de la Recherche Scientifique (F.R.S.-FNRS), and the European Commission's Horizon 2020 projects APPLICATE (GA 727862) and PRIMAVERA (GA 641727).</t>
  </si>
  <si>
    <t>2198-6061</t>
  </si>
  <si>
    <t>CURR CLIM CHANGE REP</t>
  </si>
  <si>
    <t>Curr. Clim. Chang. Rep.</t>
  </si>
  <si>
    <t>10.1007/s40641-019-00151-w</t>
  </si>
  <si>
    <t>KQ7VD</t>
  </si>
  <si>
    <t>WOS:000496230800001</t>
  </si>
  <si>
    <t>Reiser, F; Willmes, S; Hausmann, U; Heinemann, G</t>
  </si>
  <si>
    <t>Reiser, F.; Willmes, S.; Hausmann, U.; Heinemann, G.</t>
  </si>
  <si>
    <t>Predominant Sea Ice Fracture Zones Around Antarctica and Their Relation to Bathymetric Features</t>
  </si>
  <si>
    <t>Antarctic sea ice leads; bathymetry; tides; ocean currents; MODIS</t>
  </si>
  <si>
    <t>WEDDELL SEA; LEADS; TIDES; VARIABILITY; EXCHANGE; POLYNYAS; CAVITY; MODEL; OCEAN</t>
  </si>
  <si>
    <t>Sea ice is of substantial importance for the Southern Ocean, as it insulates the relatively warm ocean from the cold atmosphere. Due to mechanical stress induced by wind and ocean currents, sea ice leads occur, which are characterized by open water and thin ice causing an increase of energy and moisture fluxes between ocean and atmosphere. Furthermore, they contribute to the ice production and provide a habitat for animals. Thus, it is important to gain information about the temporal and spatial distribution of leads on a circum-Antarctic scale. So far, no operational data set exists, which provides such information. We use thermal satellite imagery from the Moderate Resolution Imaging Spectroradiometer to derive the predominant lead patterns for 2003-2018, April-September. This study provides first results for the long-term average lead frequencies in the Southern Ocean and discusses possible links to ocean currents, tides, and the bathymetry. Plain Language Summary The polar regions are strongly influenced by sea ice, which covers large areas of the ocean's surface. Interacting with the atmosphere and the ocean, sea ice is a very dynamic surface with a large temporal and spatial variability. Under the forcing of winds and ocean currents, sea ice is subject to deformation processes causing cracks (leads) in the ice. The observation of these leads is the aim of this study since they are an important feature. For instance, open water can be found in these cracks, which enables the warm ocean (-1.7 degrees C) to lose energy to the cold atmosphere. Also, sea ice forms a habitat for animals. In this study, the focus is on the Southern Hemisphere where sea ice surrounds the Antarctic continent. For the winter months, we use thermal infrared satellite images where leads appear as warm, almost linear features compared to the cold ice cover. By using computer algorithms, the cracks are detected automatically. This is the first study that shows these features in the Southern Ocean. Leads not only exist close to the coastline but also tend to appear offshore with characteristic spatial patterns. Therefore, possible links to ocean currents, tides, and bathymetry are discussed. Key Points We present the first long-term observed daily Antarctic sea ice leads based on MODIS TIR imagery from 2003-2018 Sea-ice leads occur along the shelf break and are associated with the Southern Ocean Bathymetry Sea ice leads are predominantly found in regions of enhanced tidal divergence</t>
  </si>
  <si>
    <t>[Reiser, F.; Willmes, S.; Heinemann, G.] Univ Trier, Environm Meteorol, Trier, Germany; [Hausmann, U.] Sorbonne Univ, LOCEAN, IPSL, Paris, France</t>
  </si>
  <si>
    <t>Universitat Trier; Sorbonne Universite; Universite Paris Cite; Museum National d'Histoire Naturelle (MNHN)</t>
  </si>
  <si>
    <t>Reiser, F (corresponding author), Univ Trier, Environm Meteorol, Trier, Germany.</t>
  </si>
  <si>
    <t>reiser@uni-trier.de</t>
  </si>
  <si>
    <t>Willmes, Sascha/J-5796-2012</t>
  </si>
  <si>
    <t>Reiser, Fabian/0000-0003-1128-8452; Hausmann, Ute/0000-0003-2753-5710</t>
  </si>
  <si>
    <t>Deutsche Forschungsgemeinschaft (DFG) [HE 2740/22, WI 3314/3]; European Research Council (ERC) under the European Union [637770]; European Research Council (ERC) [637770] Funding Source: European Research Council (ERC)</t>
  </si>
  <si>
    <t>Deutsche Forschungsgemeinschaft (DFG)(German Research Foundation (DFG)); European Research Council (ERC) under the European Union(European Research Council (ERC)); European Research Council (ERC)(European Research Council (ERC)Spanish Government)</t>
  </si>
  <si>
    <t>The research was funded by the Deutsche Forschungsgemeinschaft (DFG) in the framework of the priority program Antarctic Research with comparative investigations in Arctic ice areas under Grants HE 2740/22 and WI 3314/3. All processing and data visualization is done in Python3.6, QGIS 3.8 and Quantarctica V3. U. H. was supported by the European Research Council (ERC) under the European Union's Horizon 2020 research and innovation program (Grant Agreement 637770). All data for this paper are properly cited and referred to in the reference list. The supplementary data are available at the online archive PANGAEA (https://doi.pangaea.de/10.1594/PANGAEA.906767).Thanks also to Hartmut Hellmer for personal communication and advise. We thank Jennifer Hutschings and one anonymous reviewer for their helpful comments.</t>
  </si>
  <si>
    <t>10.1029/2019GL084624</t>
  </si>
  <si>
    <t>WOS:000496009200001</t>
  </si>
  <si>
    <t>Corliss, BA; Delalio, LJ; Keller, TCS; Keller, AS; Keller, DA; Corliss, BH; Beers, JM; Peirce, SM; Isakson, BE</t>
  </si>
  <si>
    <t>Corliss, Bruce A.; Delalio, Leon J.; Keller, T. C. Stevenson; Keller, Alex S.; Keller, Douglas A.; Corliss, Bruce H.; Beers, Jody M.; Peirce, Shayn M.; Isakson, Brant E.</t>
  </si>
  <si>
    <t>Vascular Expression of Hemoglobin Alpha in Antarctic Icefish Supports Iron Limitation as Novel Evolutionary Driver</t>
  </si>
  <si>
    <t>FRONTIERS IN PHYSIOLOGY</t>
  </si>
  <si>
    <t>hemoglobin alpha; evolution; vasculature; iron flux; endothelial cells</t>
  </si>
  <si>
    <t>NITRIC-OXIDE SYNTHASE; NOTOTHENIOID FISHES; SOUTHERN-OCEAN; PHYTOPLANKTON GROWTH; DECAPOD CRUSTACEANS; UNIQUE FAMILY; ADAPTATION; NUTRIENT; MUSCLE; COLD</t>
  </si>
  <si>
    <t>Frigid temperatures of the Southern Ocean are known to be an evolutionary driver in Antarctic fish. For example, many fish have reduced red blood cell (RBC) concentration to minimize vascular resistance. Via the oxygen-carrying protein hemoglobin, RBCs contain the vast majority of the body's iron, which is known to be a limiting nutrient in marine ecosystems. Since lower RBC levels also lead to reduced iron requirements, we hypothesize that low iron availability was an additional evolutionary driver of Antarctic fish speciation. Antarctic Icefish of the family Channichthyidae are known to have an extreme alteration of iron metabolism due to loss of RBCs and two iron-binding proteins, hemoglobin and myoglobin. Loss of hemoglobin is considered a maladaptive trait allowed by relaxation of predator selection since extreme adaptations are required to compensate for the loss of oxygen-carrying capacity. However, iron dependency minimization may have driven hemoglobin loss instead of a random evolutionary event. Given the variety of functions that hemoglobin serves in the endothelium, we suspected the protein corresponding to the 3' truncated Hb alpha fragment (Hb alpha-3'f) that was not genetically excluded by icefish may still be expressed as a protein. Using whole mount confocal microscopy, we show that Hb alpha-3'f is expressed in the vascular endothelium of icefish retina, suggesting this Hb alpha fragment may still serve an important role in the endothelium. These observations support a novel hypothesis that iron minimization could have influenced icefish speciation with the loss of the iron-binding portion of Hb alpha in Hb alpha-3'f, as well as hemoglobin beta and myoglobin.</t>
  </si>
  <si>
    <t>[Corliss, Bruce A.; Peirce, Shayn M.] Univ Virginia, Biomed Engn Dept, Charlottesville, VA USA; [Delalio, Leon J.; Keller, T. C. Stevenson; Keller, Alex S.; Isakson, Brant E.] Univ Virginia, Sch Med, Robert M Berne Cardiovasc Res Ctr, Charlottesville, VA 22908 USA; [Keller, T. C. Stevenson; Isakson, Brant E.] Univ Virginia, Sch Med, Dept Mol Physiol &amp; Biophys, Charlottesville, VA 22908 USA; [Keller, Douglas A.] Sanofi, Paris, France; [Corliss, Bruce H.] Univ Rhode Isl, Grad Sch Oceanog, Kingston, RI 02881 USA; [Beers, Jody M.] Coll Charleston, Dept Biol, Charleston, SC 29424 USA</t>
  </si>
  <si>
    <t>University of Virginia; University of Virginia; University of Virginia; Sanofi-Aventis; Sanofi France; University of Rhode Island; College of Charleston</t>
  </si>
  <si>
    <t>Isakson, BE (corresponding author), Univ Virginia, Sch Med, Robert M Berne Cardiovasc Res Ctr, Charlottesville, VA 22908 USA.;Isakson, BE (corresponding author), Univ Virginia, Sch Med, Dept Mol Physiol &amp; Biophys, Charlottesville, VA 22908 USA.</t>
  </si>
  <si>
    <t>brant@virginia.edu</t>
  </si>
  <si>
    <t>Keller IV, Thomas Collins Stevenson/0000-0002-0336-6695; DeLalio, Leon/0000-0002-9251-0109; Keller, Douglas/0000-0002-6186-2881</t>
  </si>
  <si>
    <t>National Science Foundation [ANT 07-39637]; [HL0088554]</t>
  </si>
  <si>
    <t>National Science Foundation(National Science Foundation (NSF));</t>
  </si>
  <si>
    <t>Support was provided by HL0088554 (BI). Also, research funding for JB was provided by National Science Foundation grant ANT 07-39637 to Dr. Bruce D. Sidell at the University of Maine.</t>
  </si>
  <si>
    <t>1664-042X</t>
  </si>
  <si>
    <t>FRONT PHYSIOL</t>
  </si>
  <si>
    <t>Front. Physiol.</t>
  </si>
  <si>
    <t>NOV 12</t>
  </si>
  <si>
    <t>10.3389/fphys.2019.01389</t>
  </si>
  <si>
    <t>Physiology</t>
  </si>
  <si>
    <t>JQ8FZ</t>
  </si>
  <si>
    <t>WOS:000499175700001</t>
  </si>
  <si>
    <t>Callaghan, TV; Kulikova, O; Rakhmanova, L; Topp-Jorgensen, E; Labba, N; Kuhmanen, LA; Kirpotin, S; Shaduyko, O; Burgess, H; Rautio, A; Hindshaw, RS; Golubyatnikov, LL; Marshall, GJ; Lobanov, A; Soromotin, A; Sokolov, A; Sokolova, N; Filant, P; Johansson, M</t>
  </si>
  <si>
    <t>Callaghan, Terry V.; Kulikova, Olga; Rakhmanova, Lidia; Topp-Jorgensen, Elmer; Labba, Niklas; Kuhmanen, Lars-Anders; Kirpotin, Sergey; Shaduyko, Olga; Burgess, Henry; Rautio, Arja; Hindshaw, Ruth S.; Golubyatnikov, Leonid L.; Marshall, Gareth J.; Lobanov, Andrey; Soromotin, Andrey; Sokolov, Alexander; Sokolova, Natalia; Filant, Praskovia; Johansson, Margareta</t>
  </si>
  <si>
    <t>Improving dialogue among researchers, local and indigenous peoples and decision-makers to address issues of climate change in the North</t>
  </si>
  <si>
    <t>Dialogue; Environmental change; Indigenous peoples; Policy-makers; Researchers; Siberia</t>
  </si>
  <si>
    <t>PERMAFROST; RUSSIA; CARBON; SYSTEM; FORESTS</t>
  </si>
  <si>
    <t>The Circumpolar North has been changing rapidly within the last decades, and the socioeconomic systems of the Eurasian Arctic and Siberia in particular have displayed the most dramatic changes. Here, anthropogenic drivers of environmental change such as migration and industrialization are added to climate-induced changes in the natural environment such as permafrost thawing and increased frequency of extreme events. Understanding and adapting to both types of changes are important to local and indigenous peoples in the Arctic and for the wider global community due to transboundary connectivity. As local and indigenous peoples, decision-makers and scientists perceive changes and impacts differently and often fail to communicate efficiently to respond to changes adequately, we convened a meeting of the three groups in Salekhard in 2017. The outcomes of the meeting include perceptions of how the three groups each perceive the main issues affecting health and well-being and recommendations for working together better.</t>
  </si>
  <si>
    <t>[Callaghan, Terry V.] Univ Sheffield, Alfred Denny Bldg,Western Bank, Sheffield S10 2TN, S Yorkshire, England; [Callaghan, Terry V.; Kulikova, Olga; Rakhmanova, Lidia; Kirpotin, Sergey; Shaduyko, Olga] Tomsk State Univ, 36 Lenina Pr, Tomsk 634050, Russia; [Kulikova, Olga] Univ Konstanz, Constance, Germany; [Kulikova, Olga] Russian Acad Sci, Inst Biol Problems North, Portovaya St 18, Magadan 685000, Russia; [Rakhmanova, Lidia] 28 Promyshlennaya str, St Petersburg 190121, Russia; [Topp-Jorgensen, Elmer] Aarhus Univ, Dept Biosci, Arctic Res Ctr, Frederiksborgvej 399,Bldg 7418, DK-4000 Roskilde, Denmark; [Labba, Niklas] Univ Tromso, Ctr Sami Studies, Postboks 6050, N-9037 Tromso, Norway; [Kuhmanen, Lars-Anders] Gabna Sami Village, Scandinavia, Norway; [Burgess, Henry; Marshall, Gareth J.] British Antarctic Survey, UK Nat Environm Res Council Arctic Off, Madingley Rd, Cambridge CB3 0ET, England; [Rautio, Arja] Univ Oulu, Thule Inst, POB 7300, Oulu 90014, Finland; [Rautio, Arja] Univ Arctic, POB 7300, Oulu 90014, Finland; [Hindshaw, Ruth S.] Norconsult AS, Kjorboveien 22, N-1338 Sandvika, Norway; [Golubyatnikov, Leonid L.] AM Obukhov Inst Atmospher Phys, 3 Pyzhevsky Lane, Moscow 119017, Russia; [Lobanov, Andrey] Arctic Res Ctr Yamal Nenets Autonomous Dist, Line 8, Nadym 629730, Russia; [Soromotin, Andrey] Tumen State Univ, Res Inst Ecol &amp; Nat Resources Management, 6 Volodarskogo St, Tyumen 625003, Russia; [Sokolov, Alexander] Russian Acad Sci, Arctic Res Stn, Inst Plant &amp; Anim Ecol, Ural Branch, 21 Str Zelenaya Gorka, Labytnangi 629400, Russia; [Sokolov, Alexander; Sokolova, Natalia] Res Ctr Yamal Nenets Autonomous Dist, 73 Str Respubl, Salekhard 629008, Russia; [Sokolova, Natalia] Russian Acad Sci, Ural Branch, Arctic Res Stn, Inst Plant &amp; Anim Ecol, 21 Str Zelenaya Gorka, Labytnangi 629400, Russia; [Filant, Praskovia] Reindeer Herders Assoc Yamal Nenets Autonomous Di, Dist 35,41 Sverdlov Str, Salekhard 629007, Russia; [Johansson, Margareta] Lund Univ, Dept Phys Geog &amp; Ecosys Sci, Solvegatan 12, S-22362 Lund, Sweden</t>
  </si>
  <si>
    <t>University of Sheffield; Tomsk State University; University of Konstanz; Institute of Biological Problems of the North; Russian Academy of Sciences; Aarhus University; UiT The Arctic University of Tromso; UK Research &amp; Innovation (UKRI); Natural Environment Research Council (NERC); NERC British Antarctic Survey; University of Oulu; Russian Academy of Sciences; Obukhov Institute of Atmospheric Physics of Russian Academy of Sciences; Tyumen State University; Russian Academy of Sciences; Institute of Plant &amp; Animal Ecology of the Russian Academy of Sciences; Russian Academy of Sciences; Institute of Plant &amp; Animal Ecology of the Russian Academy of Sciences; Lund University</t>
  </si>
  <si>
    <t>Callaghan, TV (corresponding author), Univ Sheffield, Alfred Denny Bldg,Western Bank, Sheffield S10 2TN, S Yorkshire, England.;Callaghan, TV (corresponding author), Tomsk State Univ, 36 Lenina Pr, Tomsk 634050, Russia.</t>
  </si>
  <si>
    <t>terry_callaghan@btinternet.com; gaerlach@gmail.com; muza-spb@yandex.ru; jetj@bios.au.dk; niklas.labba@uit.no; lakuhmunen@hotmail.com; kirp@mail.tsu.ru; dolcezzamia@mail.ru; henrge@bas.ac.uk; arja.rautio@oulu.fi; ruth.hindshaw@gmail.com; golub@ifaran.ru; gjma@bas.ac.uk; alobanov89@gmail.com; a.v.soromotin@utmn.ru; sokhol@yandex.ru; nasokolova@yandex.ru; filant76@mail.ru; margareta.johansson@nateko.lu.se</t>
  </si>
  <si>
    <t>Rakhmanova, Lidia/N-4638-2016; Rakhmanova, Lidia/JFJ-2044-2023; Topp-Jørgensen, Elmer/N-6198-2019; Kirpotin, Sergey/E-4095-2014; Lobanov, Andrey/AAI-3489-2020; Sokolov, Aleksandr/P-3421-2017; Golubyatnikov, Leonid/ABI-1578-2020; Soromotin, Andrei V/H-3408-2013; Sokolova, Natalia/JRW-7337-2023; Sokolova, Natalia/Q-8905-2018; Куликова, Ольга/AAO-2204-2020</t>
  </si>
  <si>
    <t>Rakhmanova, Lidia/0000-0002-7475-3609; Topp-Jørgensen, Elmer/0000-0002-5050-9273; Sokolov, Aleksandr/0000-0002-1521-3856; Куликова, Ольга/0000-0002-4029-9452; Golubyatnikov, Leonid/0000-0001-8664-4138</t>
  </si>
  <si>
    <t>Government of the Yamal-Nenets Autonomous District; Science and Innovation Network of the British Embassy, Moscow; Siberian Environmental Change Network of Tomsk State University; INTERACT; Tomsk State University competitiveness improvement programme; Russian Foundation for Basic Research [18-05-60264]; NERC [bas0100032, bas010011] Funding Source: UKRI</t>
  </si>
  <si>
    <t>Government of the Yamal-Nenets Autonomous District; Science and Innovation Network of the British Embassy, Moscow; Siberian Environmental Change Network of Tomsk State University; INTERACT; Tomsk State University competitiveness improvement programme; Russian Foundation for Basic Research(Russian Foundation for Basic Research (RFBR)Spanish Government); NERC(UK Research &amp; Innovation (UKRI)Natural Environment Research Council (NERC))</t>
  </si>
  <si>
    <t>We are grateful to all participants who attended the meeting, the Government of the Yamal-Nenets Autonomous District for hosting and co-funding the meeting, The Science and Innovation Network of the British Embassy, Moscow for co-funding, The Siberian Environmental Change Network of Tomsk State University and INTERACT for co-funding and support. TVC is grateful for the support from the Tomsk State University competitiveness improvement programme, and SK is grateful for financial support of the Russian Foundation for Basic Research in the framework of Scientific Project No. 18-05-60264. Finally, we thank the indigenous peoples from Siberia and Scandinavia who left their reindeer herding, hunting and fishing work to share their knowledge and perceptions.</t>
  </si>
  <si>
    <t>10.1007/s13280-019-01277-9</t>
  </si>
  <si>
    <t>KZ5JP</t>
  </si>
  <si>
    <t>Green Accepted, Green Published, Green Submitted, hybrid</t>
  </si>
  <si>
    <t>WOS:000495955900002</t>
  </si>
  <si>
    <t>Schoombie, S; Schoombie, J; Brink, CW; Stevens, KL; Jones, CW; Risi, MM; Ryan, PG</t>
  </si>
  <si>
    <t>Schoombie, Stefan; Schoombie, Janine; Brink, Christiaan W.; Stevens, Kim L.; Jones, Christopher W.; Risi, Michelle M.; Ryan, Peter G.</t>
  </si>
  <si>
    <t>Automated extraction of bank angles from bird-borne video footage using open-source software</t>
  </si>
  <si>
    <t>JOURNAL OF FIELD ORNITHOLOGY</t>
  </si>
  <si>
    <t>Article; Early Access</t>
  </si>
  <si>
    <t>camera; canny edge detection; Diomedea exulans; Python; seabird</t>
  </si>
  <si>
    <t>WANDERING ALBATROSS; FLIGHT; WIND; FRONTIERS; SEABIRDS; LIFE</t>
  </si>
  <si>
    <t>The use of miniaturized video cameras to study the at-sea behavior of flying seabirds has increased in recent years. These cameras allow researchers to record several behaviors that were not previously possible to observe. However, video recorders produce large amounts of data and videos can often be time-consuming to analyze. We present a new technique using open-source software to extract bank angles from bird-borne video footage. Bank angle is a key facet of dynamic soaring, which allows albatrosses and petrels to efficiently search vast areas of ocean for food. Miniaturized video cameras were deployed on 28 Wandering Albatrosses (Diomedea exulans) on Marion Island (one of the two Prince Edward Islands) from 2016 to 2018. The OpenCV library for the Python programming language was used to extract the angle of the horizon relative to the bird's body (= bank angle) from footage when the birds were flying using a series of steps focused on edge detection. The extracted angles were not significantly different from angles measured manually by three independent observers, thus being a valid method to measure bank angles. Image quality, high wind speeds, and sunlight all influenced the accuracy of angle estimates, but post-processing eliminated most of these errors. Birds flew most often with cross-winds (58%) and tailwinds (39%), resulting in skewed distributions of bank angles when birds turned into the wind more often. Higher wind speeds resulted in extreme bank angles (maximum observed was 94 degrees). We present a novel method for measuring postural data from seabirds that can be used to describe the fine-scale movements of the dynamic-soaring cycle. Birds appeared to alter their bank angle in response to varying wind conditions to counter wind drift associated with the prevailing westerly winds in the Southern Ocean. These data, in combination with fine-scale positional data, may lead to new insights into dynamic-soaring flight.</t>
  </si>
  <si>
    <t>[Schoombie, Stefan; Schoombie, Janine; Brink, Christiaan W.; Stevens, Kim L.; Jones, Christopher W.; Risi, Michelle M.; Ryan, Peter G.] Univ Cape Town, DST NRF Ctr Excellence, FitzPatrick Inst African Ornithol, ZA-7701 Rondebosch, South Africa</t>
  </si>
  <si>
    <t>University of Cape Town; National Research Foundation - South Africa</t>
  </si>
  <si>
    <t>Schoombie, S (corresponding author), Univ Cape Town, DST NRF Ctr Excellence, FitzPatrick Inst African Ornithol, ZA-7701 Rondebosch, South Africa.</t>
  </si>
  <si>
    <t>schoombie@gmail.com</t>
  </si>
  <si>
    <t>Brink, Christiaan Willem/AAG-7253-2020</t>
  </si>
  <si>
    <t>Brink, Christiaan Willem/0000-0001-8488-5560; Jones, Christopher/0000-0002-4112-1912</t>
  </si>
  <si>
    <t>FitzPatrick Institute of African Ornithology Centre of Excellence; South African National Antarctic Programme, through the National Research Foundation; University of Cape Town's Science Faculty Animal Ethics Committee [2017/V10REV]</t>
  </si>
  <si>
    <t>FitzPatrick Institute of African Ornithology Centre of Excellence; South African National Antarctic Programme, through the National Research Foundation; University of Cape Town's Science Faculty Animal Ethics Committee</t>
  </si>
  <si>
    <t>We thank all field assistants who helped with deployment and retrievals on Marion Island during the study period. Japie van der Westhuizen and Kobus Schoombie provided valuable insights into the modification of video cameras for use on albatrosses. The Department of Environmental Affairs provided logistic support on Marion Islands. Funding was provided by the FitzPatrick Institute of African Ornithology Centre of Excellence and the South African National Antarctic Programme, through the National Research Foundation. Permission to work on seabirds at the Prince Edward Islands was granted by the Prince Edward Islands' Management Committee. All research was approved by the University of Cape Town's Science Faculty Animal Ethics Committee (2017/V10REV/PRyan). We thank two anonymous reviewers whose comments improved a previous draft of this manuscript.</t>
  </si>
  <si>
    <t>0273-8570</t>
  </si>
  <si>
    <t>1557-9263</t>
  </si>
  <si>
    <t>J FIELD ORNITHOL</t>
  </si>
  <si>
    <t>J. Field Ornithol.</t>
  </si>
  <si>
    <t>2019 NOV 12</t>
  </si>
  <si>
    <t>10.1111/jofo.12313</t>
  </si>
  <si>
    <t>JL8CA</t>
  </si>
  <si>
    <t>WOS:000495754200001</t>
  </si>
  <si>
    <t>Queirós, JP; Phillips, RA; Baeta, A; Abreu, J; Xavier, JC</t>
  </si>
  <si>
    <t>Queiros, Jose P.; Phillips, Richard A.; Baeta, Alexandra; Abreu, Jose; Xavier, Jose C.</t>
  </si>
  <si>
    <t>Habitat, trophic levels and migration patterns of the short-finned squid Illex argentinus from stable isotope analysis of beak regions</t>
  </si>
  <si>
    <t>Thalassarche melanophris; Ommastrephidae; Ontogenetic shifts; Argentine shortfin squid; Cephalopod</t>
  </si>
  <si>
    <t>PATAGONIAN SHELF; POPULATION-STRUCTURE; MARINE ECOSYSTEM; CEPHALOPOD BEAKS; STOMACH-CONTENTS; FORAGING AREAS; CLIMATE-CHANGE; OMMASTREPHIDAE; PREDATORS; ECOLOGY</t>
  </si>
  <si>
    <t>Illex argentinus is an ecologically and economically important species, assumed to be restricted to the Patagonian Shelf and around the subtropical convergence. Beaks found in diet samples from black-browed albatrosses Thalassarche melanophris during chick rearing initially suggested that it may also inhabit Antarctic waters until it was appreciated that I. argentinus is used as fishing bait by commercial longliners within albatrosses foraging areas. Here, we applied a new methodology involving stable isotope analysis (delta C-13 and delta N-15) in two regions [tip of the rostrum (juvenile) and wing (adult)] of lower beaks obtained from diet samples of black-browed albatrosses breeding at Bird Island (South Georgia). The aims were to (1) assess if I. argentinus could inhabit Antarctic waters somewhere in the life cycle (2) determine the trophic ecology of I. argentinus, and (3) discuss possible migration patterns of I. argentinus and whether its distribution may change in the future. Values of delta C-13 (proxy for habitat) were - 18.4 +/- 0.7 parts per thousand and - 17.1 +/- 0.4 parts per thousand during the juvenile and adult life stages, respectively, indicating a northwards ontogenetic shift, and that this species exclusively inhabits waters north of the Antarctic Polar Front. Values of delta N-15 was lower in juveniles (+5.9 +/- 1.1 parts per thousand) than adults (+8.4 +/- 1.3 parts per thousand), indicating an increase of one trophic level throughout the squid's life, suggesting a diet shift from zooplankton to fish and squid. Based on predicted effects of climate change, the distribution of I. argentinus may become more restricted as the northern limit moves southwards because of warming ocean temperature.</t>
  </si>
  <si>
    <t>[Queiros, Jose P.; Baeta, Alexandra; Abreu, Jose; Xavier, Jose C.] Univ Coimbra, Fac Ciencias &amp; Tecnol, Dept Ciencias Vida, MARE Marine &amp; Environm Sci Ctr, P-3000456 Coimbra, Portugal; [Phillips, Richard A.; Xavier, Jose C.] British Antarctic Survey, Nat Environm Res Council, Madingley Rd, Cambridge CB3 0ET, England; [Abreu, Jose] Univ Aveiro, Dept Biol, Campus Univ Santiago, P-3810193 Aveiro, Portugal</t>
  </si>
  <si>
    <t>Universidade de Coimbra; UK Research &amp; Innovation (UKRI); Natural Environment Research Council (NERC); NERC British Antarctic Survey; Universidade de Aveiro</t>
  </si>
  <si>
    <t>Queirós, JP (corresponding author), Univ Coimbra, Fac Ciencias &amp; Tecnol, Dept Ciencias Vida, MARE Marine &amp; Environm Sci Ctr, P-3000456 Coimbra, Portugal.</t>
  </si>
  <si>
    <t>josequeiros@ua.pt</t>
  </si>
  <si>
    <t>Baeta, Alexandra/Q-6704-2018; Xavier, José/KFB-6739-2024; Queirós, José P./K-4158-2019</t>
  </si>
  <si>
    <t>Queirós, José P./0000-0003-2763-2529; Abreu, Jose/0000-0003-3424-3011; /0000-0002-9621-6660</t>
  </si>
  <si>
    <t>SCAR under the program AnT-ERA; Ministry of Science and Higher Education, Portugal (Fundacao para a Ciencia e a Tecnologia); Scientific Committee for Antarctic Research (SCAR) AnT-ERA; Scientific Committee for Antarctic Research (SCAR) SCAR EGBAMM; Integrating Climate and Ecosystem Dynamics of the Southern Ocean (ICED); FCT [MARE-UID/MAR/04292/2013]; NERC [bas0100035] Funding Source: UKRI</t>
  </si>
  <si>
    <t>SCAR under the program AnT-ERA; Ministry of Science and Higher Education, Portugal (Fundacao para a Ciencia e a Tecnologia)(Fundacao para a Ciencia e a Tecnologia (FCT)); Scientific Committee for Antarctic Research (SCAR) AnT-ERA; Scientific Committee for Antarctic Research (SCAR) SCAR EGBAMM; Integrating Climate and Ecosystem Dynamics of the Southern Ocean (ICED); FCT(Fundacao para a Ciencia e a Tecnologia (FCT)); NERC(UK Research &amp; Innovation (UKRI)Natural Environment Research Council (NERC))</t>
  </si>
  <si>
    <t>The author Jose P. Queiros was supported by a travel grant funded by SCAR under the program AnT-ERA. The scientific work has the support of the Ministry of Science and Higher Education, Portugal (Fundacao para a Ciencia e a Tecnologia, the Scientific Committee for Antarctic Research (SCAR) AnT-ERA and SCAR EGBAMM, and Integrating Climate and Ecosystem Dynamics of the Southern Ocean (ICED). It also benefited from MARE's strategic program, financed by FCT (MARE-UID/MAR/04292/2013).</t>
  </si>
  <si>
    <t>10.1007/s00300-019-02598-x</t>
  </si>
  <si>
    <t>WOS:000495734900001</t>
  </si>
  <si>
    <t>Miller, EJ; Potts, JM; Cox, MJ; Miller, BS; Calderan, S; Leaper, R; Olson, PA; O'Driscoll, RL; Double, MC</t>
  </si>
  <si>
    <t>Miller, E. J.; Potts, J. M.; Cox, M. J.; Miller, B. S.; Calderan, S.; Leaper, R.; Olson, P. A.; O'Driscoll, R. L.; Double, M. C.</t>
  </si>
  <si>
    <t>The characteristics of krill swarms in relation to aggregating Antarctic blue whales</t>
  </si>
  <si>
    <t>BALAENOPTERA-MUSCULUS; FEEDING PERFORMANCE; FORAGING STRATEGIES; EUPHAUSIA-SUPERBA; HUMPBACK WHALES; SOUTHERN-OCEAN; ECOSYSTEM; LOCALIZATION; 30-80-DEGREES-E; ENERGETICS</t>
  </si>
  <si>
    <t>We model the presence of rare Antarctic blue whales (Balaenoptera musculus intermedia) in relation to the swarm characteristics of their main prey species, Antarctic krill (Euphausia superba). A combination of visual observations and recent advances in passive acoustic technology were used to locate Antarctic blue whales, whilst simultaneously using active underwater acoustics to characterise the distribution, size, depth, composition and density of krill swarms. Krill swarm characteristics and blue whale presence were examined at a range of spatiotemporal scales to investigate sub meso-scale (i.e., &lt;100 km) foraging behaviour. Results suggest that at all scales, Antarctic blue whales are more likely to be detected within the vicinity of krill swarms with a higher density of krill, those found shallower in the water column, and those of greater vertical height. These findings support hypotheses that as lunge-feeders of extreme size, Antarctic blue whales target shallow, dense krill swarms to maximise their energy intake. As both Antarctic krill and blue whales play a key role in the Southern Ocean ecosystem, the nature of their predator-prey dynamics is an important consideration, not only for the recovery of this endangered species in a changing environment, but for the future management of Antarctic krill fisheries.</t>
  </si>
  <si>
    <t>[Miller, E. J.; Cox, M. J.; Miller, B. S.; Double, M. C.] Australian Antarct Div, 203 Channel Highway, Kingston, Tas, Australia; [Miller, E. J.] E Miller Consulting, Hobart, Tas, Australia; [Potts, J. M.] Analyt Edge, POB 47, Blackmans Bay, Tas, Australia; [Calderan, S.] Univ Highlands &amp; Isl, Scottish Assoc Marine Sci, Oban, Argyll, Scotland; [Leaper, R.] Internat Fund Anim Welf, 87-90 Albert Embankment, London, England; [Olson, P. A.] NOAA, Southwest Fisheries Sci Ctr, Natl Marine Fisheries Serv, La Jolla, CA USA; [O'Driscoll, R. L.] Natl Inst Water &amp; Atmospher Res Ltd, Wellington, New Zealand</t>
  </si>
  <si>
    <t>Australian Antarctic Division; UHI Millennium Institute; National Oceanic Atmospheric Admin (NOAA) - USA; National Institute of Water &amp; Atmospheric Research (NIWA) - New Zealand</t>
  </si>
  <si>
    <t>Miller, EJ (corresponding author), Australian Antarct Div, 203 Channel Highway, Kingston, Tas, Australia.;Miller, EJ (corresponding author), E Miller Consulting, Hobart, Tas, Australia.</t>
  </si>
  <si>
    <t>elanorjh@gmail.com</t>
  </si>
  <si>
    <t>Miller, Brian/0000-0001-7615-3044</t>
  </si>
  <si>
    <t>Australian Antarctic Science Projects [4104, 4101, 4102]; NIWA project [VES15303]; New Zealand's National Institute of Water &amp; Atmospheric Research (NIWA); Antarctica New Zealand; New Zealand Ministry for Business, Innovation and Employment; Australian Antarctic Division of the Department of the Environment and Energy; IWC-SORP Grant: 'Antarctic blue whale krill interactions: an analysis'; Australian Research Council [FS11020005]; NOAA, USA</t>
  </si>
  <si>
    <t>Australian Antarctic Science Projects; NIWA project; New Zealand's National Institute of Water &amp; Atmospheric Research (NIWA); Antarctica New Zealand; New Zealand Ministry for Business, Innovation and Employment(New Zealand Ministry of Business, Innovation and Employment (MBIE)); Australian Antarctic Division of the Department of the Environment and Energy; IWC-SORP Grant: 'Antarctic blue whale krill interactions: an analysis'; Australian Research Council(Australian Research Council); NOAA, USA(National Oceanic Atmospheric Admin (NOAA) - USA)</t>
  </si>
  <si>
    <t>This research is a contribution to Australian Antarctic Science Projects 4104, 4101 and 4102 and NIWA project number VES15303. The voyage was funded under by New Zealand's National Institute of Water &amp; Atmospheric Research (NIWA), Antarctica New Zealand, New Zealand Ministry for Business, Innovation and Employment, and the Australian Antarctic Division of the Department of the Environment and Energy. We thank the everimpressive and highly professional officers and crew of the RV Tangaroa. The blue whale research on this voyage would not have been possible without the support of the staff at the Australian Antarctic Division. We thank Yoann Ladroit, Pablo Escobar-Flores, Darren Stevens, Owen Anderson for collecting active acoustic data and processing trawl samples. We thank Kym Collins for collecting passive acoustic data and Paul Ensor, David Donnelly, Natalie Schmitt, and Kimberley Goetz for conducting marine mammal visual observations throughout the voyage. The formative guidance of the International Whaling Commission's Scientific Committee and Southern Ocean Research Partnership throughout the development of the Antarctic Blue Whale Project contributed significantly to the planning and implementation of this voyage. Thank you to Natalie Kelly for assistance with data preparation of visual observations and advice regarding data analysis. This analysis was funded by IWC-SORP Grant: 'Antarctic blue whale krill interactions: an analysis'. Thank you to Robert Harcourt (Macquarie University) for managing these funds and providing constructive feedback on this manuscript. MJC is funded by Australian Research Council grant FS11020005. Funding for PAO was provided by NOAA, USA.</t>
  </si>
  <si>
    <t>NOV 11</t>
  </si>
  <si>
    <t>10.1038/s41598-019-52792-4</t>
  </si>
  <si>
    <t>JL5ZV</t>
  </si>
  <si>
    <t>WOS:000495611100079</t>
  </si>
  <si>
    <t>Giordano, D; Boubeta, FM; di Prisco, G; Estrin, DA; Smulevich, G; Viappiani, C; Verde, C</t>
  </si>
  <si>
    <t>Giordano, Daniela; Martin Boubeta, Fernando; di Prisco, Guido; Estrin, Dario A.; Smulevich, Giulietta; Viappiani, Cristiano; Verde, Cinzia</t>
  </si>
  <si>
    <t>Conformational Flexibility Drives Cold Adaptation in Pseudoalteromonas haloplanktis TAC125 Globins</t>
  </si>
  <si>
    <t>ANTIOXIDANTS &amp; REDOX SIGNALING</t>
  </si>
  <si>
    <t>bacterial globin; heme-pocket flexibility; hexa-coordination; oxidative; nitrosative stress; thermal adaptation</t>
  </si>
  <si>
    <t>HEAT-SHOCK RESPONSE; TRUNCATED HEMOGLOBIN; MYCOBACTERIUM-TUBERCULOSIS; NITROSATIVE STRESS; CRYSTALLOGRAPHIC CHARACTERIZATION; TEMPERATURE ADAPTATION; STRUCTURAL FLEXIBILITY; PSYCHROPHILIC ENZYMES; PROTEIN-STRUCTURE; DISTAL RESIDUES</t>
  </si>
  <si>
    <t>Recent Advances: Adaptive changes in the structure of cold-adapted proteins may occur at subunit interfaces, distant from the active site, thus producing energy changes associated with conformational transitions transmitted to the active site by allosteric modulation, valid also for monomeric proteins in which tertiary structural changes may play an essential role. Critical Issues: Despite efforts, the current experimental and computational methods still fail to produce general principles on protein evolution, since many changes are protein and species dependent. Environmental constraints or other biological cellular signals may override the ancestral information included in the structure of the protein, thus introducing inaccuracy in estimates and predictions on the evolutionary adaptations of proteins in response to cold adaptation. Future Directions: In this review, we describe the studies and approaches used to investigate stability and flexibility in the cold-adapted globins of the Antarctic marine bacterium Pseudoalteromonas haloplanktis TAC125. In fact, future research directions will be prescient on more detailed investigation of cold-adapted proteins and the role of fluctuations between different conformational states.</t>
  </si>
  <si>
    <t>[Giordano, Daniela; di Prisco, Guido; Verde, Cinzia] CNR, Inst Biosci &amp; BioResources IBBR, Via Pietro Castellino 111, I-80131 Naples, Italy; [Giordano, Daniela; Verde, Cinzia] Stn Zoolog Anton Dohrn, Dept Biol &amp; Evolut Marine Organisms, Naples, Italy; [Martin Boubeta, Fernando; Estrin, Dario A.] Univ Buenos Aires, Fac Ciencias Exactas &amp; Nat, Dept Quim Inorgan Analit &amp; Quim Fis, Buenos Aires, DF, Argentina; [Smulevich, Giulietta] Firenze Univ, Dept Chem Ugo Shiff, Florence, Italy; [Viappiani, Cristiano] Univ Parma, Dept Math Phys &amp; Comp Sci, Parma, Italy</t>
  </si>
  <si>
    <t>Consiglio Nazionale delle Ricerche (CNR); Istituto di Bioscienze e Biorisorse (IBBR-CNR); Stazione Zoologica Anton Dohrn di Napoli; University of Buenos Aires; University of Parma</t>
  </si>
  <si>
    <t>Verde, C (corresponding author), CNR, Inst Biosci &amp; BioResources IBBR, Via Pietro Castellino 111, I-80131 Naples, Italy.</t>
  </si>
  <si>
    <t>c.verde@ibp.cnr.it</t>
  </si>
  <si>
    <t>Estrin, Dario/AAY-7549-2020; Viappiani, Cristiano/AAC-7579-2019; Giordano, Daniela/AFK-7772-2022</t>
  </si>
  <si>
    <t>Viappiani, Cristiano/0000-0001-7470-4770; Giordano, Daniela/0000-0002-8891-6245; VERDE, Cinzia/0000-0001-6185-282X; Estrin, Dario/0000-0002-5006-7225</t>
  </si>
  <si>
    <t>Italian National Programme for Antarctic Research (PNRA) [2016/AZ1.06-Project PNRA16_00043, 2016/AZ1.20-Project PNRA16_00128]; University of Buenos Aires [UBACYT 20020130100097BA]; ANPCYT [PICT 2014-1022, PICT 2015-2761]; Fondazione di Piacenza e Vigevano</t>
  </si>
  <si>
    <t>Italian National Programme for Antarctic Research (PNRA); University of Buenos Aires(University of Buenos Aires); ANPCYT(ANPCyT); Fondazione di Piacenza e Vigevano</t>
  </si>
  <si>
    <t>This study was financially supported by the Italian National Programme for Antarctic Research (PNRA) (2016/AZ1.06-Project PNRA16_00043 and 2016/AZ1.20-Project PNRA16_00128). It was carried out in the framework of the SCAR Programme Antarctic Thresholds-Ecosystem Resilience and Adaptation'' (AnT-ERA). This research was also supported in part by grants from the University of Buenos Aires (UBACYT 20020130100097BA) and ANPCYT (PICT 2014-1022, and PICT 2015-2761). The simulations have been performed in CECAR (High Performing Computing Center of the School of Sciences). C.V. acknowledges Fondazione di Piacenza e Vigevano for financial support.</t>
  </si>
  <si>
    <t>MARY ANN LIEBERT, INC</t>
  </si>
  <si>
    <t>NEW ROCHELLE</t>
  </si>
  <si>
    <t>140 HUGUENOT STREET, 3RD FL, NEW ROCHELLE, NY 10801 USA</t>
  </si>
  <si>
    <t>1523-0864</t>
  </si>
  <si>
    <t>1557-7716</t>
  </si>
  <si>
    <t>ANTIOXID REDOX SIGN</t>
  </si>
  <si>
    <t>Antioxid. Redox Signal.</t>
  </si>
  <si>
    <t>FEB 20</t>
  </si>
  <si>
    <t>10.1089/ars.2019.7887</t>
  </si>
  <si>
    <t>Biochemistry &amp; Molecular Biology; Endocrinology &amp; Metabolism</t>
  </si>
  <si>
    <t>KD3EP</t>
  </si>
  <si>
    <t>WOS:000495617300001</t>
  </si>
  <si>
    <t>Clerc, F; Minchew, BM; Behn, MD</t>
  </si>
  <si>
    <t>Clerc, Fiona; Minchew, Brent M.; Behn, Mark D.</t>
  </si>
  <si>
    <t>Marine Ice Cliff Instability Mitigated by Slow Removal of Ice Shelves</t>
  </si>
  <si>
    <t>marine ice cliff; buttressing ice shelf; Antarctic Ice Sheet; ice-shelf collapse; brittle-ductile transition; marine ice cliff instability</t>
  </si>
  <si>
    <t>STABILITY; RETREAT; FUTURE</t>
  </si>
  <si>
    <t>The accelerated calving of ice shelves buttressing the Antarctic Ice Sheet may form unstable ice cliffs. The marine ice cliff instability hypothesis posits that cliffs taller than a critical height (similar to 90 m) will undergo structural collapse, initiating runaway retreat in ice-sheet models. This critical height is based on inferences from preexisting, static ice cliffs. Here we show how the critical height increases with the timescale of ice-shelf collapse. We model failure mechanisms within an ice cliff deforming after removal of ice-shelf buttressing stresses. If removal occurs rapidly, the cliff deforms primarily elastically and fails through tensile-brittle fracture, even at relatively small cliff heights. As the ice-shelf removal timescale increases, viscous relaxation dominates, and the critical height increases to similar to 540 m for timescales greater than days. A 90-m critical height implies ice-shelf removal in under an hour. Incorporation of ice-shelf collapse timescales in prognostic ice-sheet models will mitigate the marine ice cliff instability, implying less ice mass loss.</t>
  </si>
  <si>
    <t>[Clerc, Fiona] MIT WHOI Joint Program Oceanog Appl Ocean Sci &amp; E, Cambridge, MA 02139 USA; [Minchew, Brent M.] MIT, Dept Earth Atmospher &amp; Planetary Sci, Cambridge, MA USA; [Behn, Mark D.] Boston Coll, Dept Earth &amp; Environm Sci, Chestnut Hill, MA 02167 USA</t>
  </si>
  <si>
    <t>Massachusetts Institute of Technology (MIT); Massachusetts Institute of Technology (MIT); Boston College</t>
  </si>
  <si>
    <t>Clerc, F (corresponding author), MIT WHOI Joint Program Oceanog Appl Ocean Sci &amp; E, Cambridge, MA 02139 USA.</t>
  </si>
  <si>
    <t>fclerc@mit.edu</t>
  </si>
  <si>
    <t>Behn, Mark/F-5813-2012</t>
  </si>
  <si>
    <t>Behn, Mark/0000-0002-2001-1335; Clerc, Fiona/0000-0002-9857-6328</t>
  </si>
  <si>
    <t>NSF-GRFP; NSF [OPP-1739031, EAR-1903897]</t>
  </si>
  <si>
    <t>NSF-GRFP(National Science Foundation (NSF)NSF - Office of the Director (OD)); NSF(National Science Foundation (NSF))</t>
  </si>
  <si>
    <t>We thank Greg Hirth, Brad Hager, and Bill Durham for their useful comments. The manuscript benefited from constructive reviews by Dan Martin and an anonymous reviewer and editorial handling by Mathieu Morlighem. This work was supported by an NSF-GRFP (Fiona Clerc), and NSF Awards OPP-1739031 (Brent Minchew) and EAR-1903897 (Mark Behn). Code reproducing our results is found at this address (https://doi.org/10.5281/zenodo.3379074).</t>
  </si>
  <si>
    <t>10.1029/2019GL084183</t>
  </si>
  <si>
    <t>WOS:000495620400001</t>
  </si>
  <si>
    <t>Saderne, V; Baldry, K; Anton, A; Agustí, S; Duarte, CM</t>
  </si>
  <si>
    <t>Saderne, Vincent; Baldry, Kimberlee; Anton, Andrea; Agusti, Susana; Duarte, Carlos M.</t>
  </si>
  <si>
    <t>Characterization of the CO2 System in a Coral Reef, a Seagrass Meadow, and a Mangrove Forest in the Central Red Sea</t>
  </si>
  <si>
    <t>CO2 system; pH; reef; seagrass; mangrove; variability</t>
  </si>
  <si>
    <t>DISSOLVED INORGANIC CARBON; OCEAN ACIDIFICATION; TOTAL ALKALINITY; TIME-SERIES; PH; DISSOLUTION; VARIABILITY; CHEMISTRY; SEDIMENTS; ECOSYSTEM</t>
  </si>
  <si>
    <t>The Red Sea is characterized by its high seawater temperature and salinity, and the resilience of its coastal ecosystems to global warming is of growing interest. This high salinity and temperature might also render the Red Sea a favorable ecosystem for calcification and therefore resistant to ocean acidification. However, there is a lack of survey data on the CO2 system of Red Sea coastal ecosystems. A 1-year survey of the CO2 system was performed in a seagrass lagoon, a mangrove forest, and a coral reef in the central Red Sea, including fortnight seawater sampling and high-frequency pH(T) monitoring. In the coral reef, the CO2 system mean and variability over the measurement period are within the range of other world's reefs with pH(T), dissolved inorganic carbon (DIC), total alkalinity (TA), pCO(2,) and omega(arag) of 8.016 +/- 0.077, 2061 +/- 58 mu mol/kg, 2415 +/- 34 mu mol/kg, 461 +/- 39 mu atm, and 3.9 +/- 0.4, respectively. Here, comparisons with an offshore site highlight dominance of calcification and photosynthesis in summer-autumn, and dissolution and heterotrophy in winter-spring. In the seagrass meadow, the pH(T), DIC, TA, pCO(2), and omega(arag) were 8.00 +/- 0.09, 1986 +/- 68 mu mol/kg, 2352 +/- 49 mu mol/kg, 411 +/- 66 mu atm, and 4.0 +/- 0.3, respectively. The seagrass meadow TA and DIC were consistently lower than offshore water. The mangrove forest showed the highest amplitudes of variation, with pH(T), DIC, TA, pCO(2), and omega(arag), were 7.95 +/- 0.26, 2069 +/- 132 mu mol/kg, 2438 +/- 91 mu mol/kg, 493 +/- 178 mu atm, and 4.1 +/- 0.6, respectively. We highlight the need for more research on sources and sinks of DIC and TA in coastal ecosystems.</t>
  </si>
  <si>
    <t>[Saderne, Vincent; Baldry, Kimberlee; Anton, Andrea; Agusti, Susana; Duarte, Carlos M.] King Abdullah Univ Sci &amp; Technol, Red Sea Res Ctr, Thuwal, Saudi Arabia; [Saderne, Vincent; Baldry, Kimberlee; Anton, Andrea; Agusti, Susana; Duarte, Carlos M.] King Abdullah Univ Sci &amp; Technol, Computat Biosci Res Ctr, Thuwal, Saudi Arabia; [Baldry, Kimberlee] Univ Tasmania, Inst Marine &amp; Antarctic Studies, Hobart, Tas, Australia</t>
  </si>
  <si>
    <t>King Abdullah University of Science &amp; Technology; King Abdullah University of Science &amp; Technology; University of Tasmania</t>
  </si>
  <si>
    <t>Saderne, V (corresponding author), King Abdullah Univ Sci &amp; Technol, Red Sea Res Ctr, Thuwal, Saudi Arabia.;Saderne, V (corresponding author), King Abdullah Univ Sci &amp; Technol, Computat Biosci Res Ctr, Thuwal, Saudi Arabia.</t>
  </si>
  <si>
    <t>vincent.saderne@kaust.edu.sa</t>
  </si>
  <si>
    <t>Duarte Quesada, Carlos Manuel/ABD-6208-2021; Anton, Andrea/ABA-3742-2021; Saderne, Vincent/JCD-7500-2023; Duarte, Carlos M/A-7670-2013; Anton, Andrea/JAX-3235-2023; Saderne, Vincent/ABE-5850-2020; Agusti, Susana/G-2864-2017</t>
  </si>
  <si>
    <t>Duarte, Carlos M/0000-0002-1213-1361; Agusti, Susana/0000-0003-0536-7293; saderne, vincent/0000-0003-3968-2718; Baldry, Kimberlee/0000-0003-3286-8624</t>
  </si>
  <si>
    <t>King Abdullah University of Science and Technology [BAS/1/1071-01-01, BAS/1/1072-01-01]; PANGAEA</t>
  </si>
  <si>
    <t>King Abdullah University of Science and Technology(King Abdullah University of Science &amp; Technology); PANGAEA</t>
  </si>
  <si>
    <t>This project was funded by King Abdullah University of Science and Technology through baseline funding to C. M. Duarte (BAS/1/1071-01-01) and S. Agusti (BAS/1/1072-01-01). We thank the staff in the Coastal and Marine Resource Core Lab service of King Abdullah University of Science and Technology (CMOR-KAUST) as well as J. Martinez, P. Carrillo de Albornoz, F. Rossbach and K. Rowe for their assistance in the field. Datasets are available in Pangaea: Saderne et al. (2019). Characterization of the CO2 system in a coral reef, a seagrass meadow and a mangrove forest in the central Red Sea. PANGAEA, https://doi.org/10.1594/PANGAEA.906954</t>
  </si>
  <si>
    <t>10.1029/2019JC015266</t>
  </si>
  <si>
    <t>Green Accepted, Green Published</t>
  </si>
  <si>
    <t>WOS:000495557900001</t>
  </si>
  <si>
    <t>Qi, WH; Colarusso, A; Olombrada, M; Parrilli, E; Patrignani, A; Tutino, ML; Toll-Riera, M</t>
  </si>
  <si>
    <t>Qi, Weihong; Colarusso, Andrea; Olombrada, Miriam; Parrilli, Ermenegilda; Patrignani, Andrea; Tutino, Maria Luisa; Toll-Riera, Macarena</t>
  </si>
  <si>
    <t>New insights on Pseudoalteromonas haloplanktis TAC125 genome organization and benchmarks of genome assembly applications using next and third generation sequencing technologies</t>
  </si>
  <si>
    <t>PLASMID; COLD; PROTEINS; MUTAGENESIS; EXPRESSION; DIVERSITY; VERSATILE; FRAGMENT; STRATEGY; BACTERIA</t>
  </si>
  <si>
    <t>Pseudoalteromonas haloplanktis TAC125 is among the most commonly studied bacteria adapted to cold environments. Aside from its ecological relevance, P. haloplanktis has a potential use for biotechnological applications. Due to its importance, we decided to take advantage of next generation sequencing (Illumina) and third generation sequencing (PacBio and Oxford Nanopore) technologies to resequence its genome. The availability of a reference genome, obtained using whole genome shotgun sequencing, allowed us to study and compare the results obtained by the different technologies and draw useful conclusions for future de novo genome assembly projects. We found that assembly polishing using Illumina reads is needed to achieve a consensus accuracy over 99.9% when using Oxford Nanopore sequencing, but not in PacBio sequencing. However, the dependency of consensus accuracy on coverage is lower in Oxford Nanopore than in PacBio, suggesting that a cost-effective solution might be the use of low coverage Oxford Nanopore sequencing together with Illumina reads. Despite the differences in consensus accuracy, all sequencing technologies revealed the presence of a large plasmid, pMEGA, which was undiscovered until now. Among the most interesting features of pMEGA is the presence of a putative error-prone polymerase regulated through the SOS response. Aside from the characterization of the newly discovered plasmid, we confirmed the sequence of the small plasmid pMtBL and uncovered the presence of a potential partitioning system. Crucially, this study shows that the combination of next and third generation sequencing technologies give us an unprecedented opportunity to characterize our bacterial model organisms at a very detailed level.</t>
  </si>
  <si>
    <t>[Qi, Weihong; Patrignani, Andrea] Univ Zurich, ETH Zurich, Funct Genom Ctr Zurich, Winterthurerstr 190, CH-8057 Zurich, Switzerland; [Colarusso, Andrea; Parrilli, Ermenegilda; Tutino, Maria Luisa] Univ Naples Federico II, Complesso Univ Monte St Angelo, Dept Chem Sci, Via Cintia, I-80125 Naples, Italy; [Olombrada, Miriam; Toll-Riera, Macarena] Univ Zurich, Dept Evolutionary Biol &amp; Environm Studies, Winterthurerstr 190, CH-8057 Zurich, Switzerland; [Olombrada, Miriam; Toll-Riera, Macarena] Swiss Inst Bioinformat, Quartier Sorge Batiment Genopode, Quartier Sorge Batiment Genopode, CH-1015 Lausanne, Switzerland</t>
  </si>
  <si>
    <t>Swiss Federal Institutes of Technology Domain; ETH Zurich; University of Zurich; University of Naples Federico II; University of Zurich; Swiss Institute of Bioinformatics</t>
  </si>
  <si>
    <t>Qi, WH (corresponding author), Univ Zurich, ETH Zurich, Funct Genom Ctr Zurich, Winterthurerstr 190, CH-8057 Zurich, Switzerland.;Tutino, ML (corresponding author), Univ Naples Federico II, Complesso Univ Monte St Angelo, Dept Chem Sci, Via Cintia, I-80125 Naples, Italy.;Toll-Riera, M (corresponding author), Univ Zurich, Dept Evolutionary Biol &amp; Environm Studies, Winterthurerstr 190, CH-8057 Zurich, Switzerland.;Toll-Riera, M (corresponding author), Swiss Inst Bioinformat, Quartier Sorge Batiment Genopode, Quartier Sorge Batiment Genopode, CH-1015 Lausanne, Switzerland.</t>
  </si>
  <si>
    <t>weihong.qi@fgcz.ethz.ch; tutino@unina.it; mtollriera@gmail.com</t>
  </si>
  <si>
    <t>TUTINO, MARIA LUISA/L-1834-2013; Qi, Weihong/ABC-7380-2021; parrilli, ermenegilda/K-4616-2016; parrilli, ermenegilda/JAZ-0586-2023; Toll-Riera, Macarena/A-7735-2018</t>
  </si>
  <si>
    <t>Qi, Weihong/0000-0001-8581-908X; parrilli, ermenegilda/0000-0002-9002-5409; Toll-Riera, Macarena/0000-0003-0978-3139; Tutino, Maria Luisa/0000-0002-4978-6839; Partigiani, Andrea/0000-0001-8019-3911</t>
  </si>
  <si>
    <t>Swiss National Science Foundation (Ambizione grant) [PZ00P3_161545]; Italian National Antarctic Research Programme [PNRA 2013/B1.04]; Italian parent association La fabbrica dei sogni 2- New developments for Rett syndrome; Wellcome Trust [203141/Z/16/Z]; Functional Genomics Center Zurich, UZH/ETHZ; Swiss National Science Foundation (SNF) [PZ00P3_161545] Funding Source: Swiss National Science Foundation (SNF)</t>
  </si>
  <si>
    <t>Swiss National Science Foundation (Ambizione grant)(Swiss National Science Foundation (SNSF)); Italian National Antarctic Research Programme; Italian parent association La fabbrica dei sogni 2- New developments for Rett syndrome; Wellcome Trust(Wellcome Trust); Functional Genomics Center Zurich, UZH/ETHZ; Swiss National Science Foundation (SNF)(Swiss National Science Foundation (SNSF))</t>
  </si>
  <si>
    <t>We would like to thank to Alvaro San Millan and Jay Tracy for fruitful discussions and suggestions. MT-R acknowledges support from the Swiss National Science Foundation (Ambizione grant PZ00P3_161545). MLT acknowledges support from Italian National Antarctic Research Programme (grant PNRA 2013/B1.04) and from the Italian parent association La fabbrica dei sogni 2- New developments for Rett syndrome. We thank the Oxford Genomics Centre at the Wellcome Centre for Human Genetics (funded by Wellcome Trust grant reference 203141/Z/16/Z) for the generation and initial processing of the Illumina sequencing data. We acknowledge the technical and financial support from Functional Genomics Center Zurich, UZH/ETHZ.</t>
  </si>
  <si>
    <t>10.1038/s41598-019-52832-z</t>
  </si>
  <si>
    <t>WOS:000495611100036</t>
  </si>
  <si>
    <t>Soto-Dávila, M; Martinez, D; Oyarzún, R; Pontigo, JP; Vargas-Lagos, C; Morera, FJ; Saravia, J; Zanuzzo, F; Vargas-Chacoff, L</t>
  </si>
  <si>
    <t>Soto-Davila, Manuel; Martinez, Danixa; Oyarzun, Ricardo; Pontigo, Juan P.; Vargas-Lagos, Carolina; Morera, Francisco J.; Saravia, Julia; Zanuzzo, Fabio; Vargas-Chacoff, Luis</t>
  </si>
  <si>
    <t>Intermediary metabolic response and gene transcription modulation on the Sub-Antarctic notothenioid Eleginops maclovinus (Valenciennes, 1930) injected with two strains of Piscirickettsia salmonis</t>
  </si>
  <si>
    <t>JOURNAL OF FISH DISEASES</t>
  </si>
  <si>
    <t>Eleginops maclovinus; energetic metabolism; gene expression; pathogen challenge; Piscirickettsia salmonis</t>
  </si>
  <si>
    <t>HIGH STOCKING DENSITY; SOLEA-SENEGALENSIS KAUP; AMINO-ACID-METABOLISM; ENERGY-METABOLISM; IMMUNOLOGICAL RESPONSE; ONCORHYNCHUS-KISUTCH; GROWTH-PERFORMANCE; STRESS INDICATORS; SPARUS-AURATA; FISH</t>
  </si>
  <si>
    <t>Pathogen interactions with cultured fish populations are well studied, but their effects on native fishes have not been characterized. In Chile, the disease caused by bacterial species Piscirickettsia salmonis represents one of the main issues and is considered to be one of the important pathogens in the field of aquaculture. They have been found to infect native fish. Therefore, it is necessary to understand the impact of P. salmonis on native species of local commercial value, as well as the potential impact associated with the emergence of antibiotic-resistant strains of P. salmonis. Due to this purpose, the native fish Eleginops maclovinus was used in our study. Fish were randomly distributed in tanks and intraperitoneally inoculated with two strains of P. salmonis. No mortality was recorded during the experiment. Cortisol, glucose and total alpha-amino acid levels increased in fish injected with AUSTRAL-005 strain compared to sham-injected and LF-89-inoculated fish. Moreover, results showed an increase in the activity of carbohydrates and lipids metabolism in liver; and an increase in the carbohydrates, lipids and total alpha-amino acid metabolism in muscle after injection with AUSTRAL-005. Our results suggest that P. salmonis modulates the physiology of E. maclovinus and the physiological impact increase in the presence of the antibiotic-resistant strain AUSTRAL-005.</t>
  </si>
  <si>
    <t>[Soto-Davila, Manuel; Martinez, Danixa; Oyarzun, Ricardo; Pontigo, Juan P.; Vargas-Lagos, Carolina; Saravia, Julia; Vargas-Chacoff, Luis] Univ Austral Chile, Fac Ciencias, Inst Ciencias Marinas &amp; Limnol, Valdivia, Chile; [Soto-Davila, Manuel; Martinez, Danixa; Oyarzun, Ricardo; Vargas-Lagos, Carolina; Saravia, Julia; Vargas-Chacoff, Luis] Univ Austral Chile, Ctr Fondap Invest Altas Latitudes IDEAL, Valdivia, Chile; [Oyarzun, Ricardo; Saravia, Julia] Univ Austral Chile, Programa Doctorado Ciencias Acuicultura, Puerto Montt, Chile; [Vargas-Lagos, Carolina] Interdisciplinary Ctr Aquaculture Res INCAR, Concepcion, Chile; [Morera, Francisco J.] Univ Austral Chile, Fac Ciencias Vet, Inst Farmacol &amp; Morfofisiol, Valdivia, Chile; [Zanuzzo, Fabio] Mem Univ, Dept Ocean Sci, Fac Sci, St John, NF, Canada</t>
  </si>
  <si>
    <t>Universidad Austral de Chile; Universidad Austral de Chile; Universidad Austral de Chile; Universidad Austral de Chile; Memorial University Newfoundland</t>
  </si>
  <si>
    <t>Soto-Dávila, M; Vargas-Chacoff, L (corresponding author), Univ Austral Chile, Fac Ciencias, Inst Ciencias Marinas &amp; Limnol, Valdivia, Chile.</t>
  </si>
  <si>
    <t>masotodavila@mun.ca; luis.vargas@uach.cl</t>
  </si>
  <si>
    <t>Zanuzzo, Fabio Sabbadin/AAJ-1660-2020; Pontigo, Juan Pablo/AAS-2367-2021; Vargas-Chacoff, Luis LVCh/A-5855-2012; Saravia, Julia/JKI-0931-2023; Oyarzún-Salazar, Ricardo/HGU-6035-2022; Saravia, Julia/AAM-7420-2020</t>
  </si>
  <si>
    <t>Zanuzzo, Fabio Sabbadin/0000-0001-9854-8696; Pontigo, Juan Pablo/0000-0003-0084-0862; Saravia, Julia/0000-0002-8411-6718; MARTINEZ GONZALEZ, DANIXA PAMELA/0000-0002-7363-419X; Soto-Davila, Manuel Alejandro/0000-0002-6215-4799; Oyarzun-Salazar, Ricardo/0000-0003-3177-399X; Vargas-Chacoff, Luis/0000-0002-0497-2582</t>
  </si>
  <si>
    <t>FONDECYT [1160877]; Fondap-IDEAL [15150003]; Fondap-INCAR [15110027]</t>
  </si>
  <si>
    <t>FONDECYT(Comision Nacional de Investigacion Cientifica y Tecnologica (CONICYT)CONICYT FONDECYT); Fondap-IDEAL; Fondap-INCAR(Comision Nacional de Investigacion Cientifica y Tecnologica (CONICYT)CONICYT FONDAP)</t>
  </si>
  <si>
    <t>FONDECYT, Grant/Award Number: 1160877; Fondap-IDEAL, Grant/Award Number: 15150003; Fondap-INCAR, Grant/Award Number: 15110027</t>
  </si>
  <si>
    <t>0140-7775</t>
  </si>
  <si>
    <t>1365-2761</t>
  </si>
  <si>
    <t>J FISH DIS</t>
  </si>
  <si>
    <t>J. Fish Dis.</t>
  </si>
  <si>
    <t>10.1111/jfd.13107</t>
  </si>
  <si>
    <t>Fisheries; Marine &amp; Freshwater Biology; Veterinary Sciences</t>
  </si>
  <si>
    <t>LF2NK</t>
  </si>
  <si>
    <t>WOS:000495362500001</t>
  </si>
  <si>
    <t>Van de Vijver, B; Crawford, RM</t>
  </si>
  <si>
    <t>Van de Vijver, Bart; Crawford, Richard M.</t>
  </si>
  <si>
    <t>Melosira jeanbertrandiana, a new Melosira species (Bacillariophyceae) from the sub-Antarctic region</t>
  </si>
  <si>
    <t>BOTANY LETTERS</t>
  </si>
  <si>
    <t>Sub-Antarctica; melosiroid genera; morphology; new species; Melosira</t>
  </si>
  <si>
    <t>DIATOM COMMUNITIES; CLASSIFICATION; BIOGEOGRAPHY; DIVERSITY; TAXONOMY; ECOLOGY; NOV.; AG</t>
  </si>
  <si>
    <t>During a survey of the soil diatom flora of the sub-Antarctic Ile de la Possession (Iles Crozet), located in the southern Indian Ocean, an unknown Melosira species was found that could not be identified using the currently available literature on the genus. The species is described as Melosira jeanbertrandiana sp. nov. based on detailed light and scanning electron microscopy observations. The new species is characterized by a relatively high mantle, the presence of several marginal rings of acute, never bifurcating spines and a series of eight rimoportulae near the central area with several others scattered over the rest of the valve face and mantle. The girdle comprising several large, ligulate open copulae and the position of the rimoportulae clearly place this new species within the genus Melosira C.Agardh. The species was observed in bare, moist soil in scratches in cliffs bordering the ocean where the influence of sea spray is obvious. The description of this new species further increases the number of species of the Melosirales compared to other centric freshwater diatoms which are infrequently found on the sub-Antarctic islands.</t>
  </si>
  <si>
    <t>[Van de Vijver, Bart] Meise Bot Garden, Res Dept, Nieuwelaan 38, B-1860 Meise, Belgium; [Van de Vijver, Bart] Univ Antwerp, Dept Biol, Antwerp, Belgium</t>
  </si>
  <si>
    <t>University of Antwerp</t>
  </si>
  <si>
    <t>Van de Vijver, B (corresponding author), Meise Bot Garden, Res Dept, Nieuwelaan 38, B-1860 Meise, Belgium.</t>
  </si>
  <si>
    <t>bart.vandevijver@plantentuinmeise.be</t>
  </si>
  <si>
    <t>Van de Vijver, Bart/0000-0002-6244-1886</t>
  </si>
  <si>
    <t>BELSPO MICROBIAN project</t>
  </si>
  <si>
    <t>This study was supported by the BELSPO MICROBIAN project to visit the National History Museum in London, UK.</t>
  </si>
  <si>
    <t>2381-8107</t>
  </si>
  <si>
    <t>2381-8115</t>
  </si>
  <si>
    <t>BOT LETT</t>
  </si>
  <si>
    <t>Botany Lett.</t>
  </si>
  <si>
    <t>10.1080/23818107.2019.1688677</t>
  </si>
  <si>
    <t>NG9DY</t>
  </si>
  <si>
    <t>WOS:000495379400001</t>
  </si>
  <si>
    <t>Li, AZ; Hang, XB; Zhang, MX; Zhou, Y; Chen, M; Yao, Q; Zhu, HH</t>
  </si>
  <si>
    <t>Li, An-Zhang; Hang, Xi-Bin; Zhang, Ming-Xia; Zhou, Yang; Chen, Meng; Yao, Qing; Zhu, Hong-Hui</t>
  </si>
  <si>
    <t>Culture-Dependent and -Independent Analyses Reveal the Diversity, Structure, and Assembly Mechanism of Benthic Bacterial Community in the Ross Sea, Antarctica</t>
  </si>
  <si>
    <t>Ross Sea; bacterial diversity; community structure; microflora; community assembly; high-throughput sequencing; Antarctica; assembly mechanism</t>
  </si>
  <si>
    <t>SP NOV.; MICROBIAL DIVERSITY; MARINE-SEDIMENTS; HETEROTROPHIC BACTERIA; BIODIVERSITY; SHELF; ICE; METAGENOMICS; ENVIRONMENTS; ARENIBACTER</t>
  </si>
  <si>
    <t>The benthic bacterial community in Antarctic continental shelf ecosystems are not well-documented. We collected 13 surface sediments from the Ross Sea, a biological hotspot in high-latitude maritime Antarctica undergoing rapid climate change and possible microflora shift, and aimed to study the diversity, structure and assembly mechanism of benthic bacterial community using both culture-dependent and -independent approaches. High-throughput sequencing of 16S rRNA gene amplicons revealed 370 OTUs distributed in 21 phyla and 284 genera. The bacterial community was dominated by Bacteroidetes, Gamma- and Alphaproteobacteria, and constituted by a compact, conserved and positively-correlated group of anaerobes and other competitive aerobic chemoheterotrophs. Null-model test based on beta NTI and RCBray indicated that stochastic processes, including dispersal limitation and undominated fractions, were the main forces driving community assembly. On the other hand, environmental factors, mainly temperature, organic matter and chlorophyll, were significantly correlated with bacterial richness, diversity and community structure. Moreover, metabolic and physiological features of the prokaryotic taxa were mapped to evaluate the adaptive mechanisms and functional composition of the benthic bacterial community. Our study is helpful to understand the structural and functional aspects, as well as the ecological and biogeochemical role of the benthic bacterial community in the Ross Sea.</t>
  </si>
  <si>
    <t>[Li, An-Zhang; Zhang, Ming-Xia; Zhou, Yang; Chen, Meng; Zhu, Hong-Hui] Guangdong Acad Sci, Guangdong Prov Key Lab Microbial Culture Collect, Guangdong Microbial Culture Collect Ctr, State Key Lab Appl Microbiol Southern China,Guang, Guangzhou, Guangdong, Peoples R China; [Hang, Xi-Bin] Minist Nat Resources, Key Lab Submarine Geosci, Inst Oceanog 2, Hangzhou, Zhejiang, Peoples R China; [Yao, Qing] South China Agr Univ, Guangdong Prov Key Lab Microbial Signals &amp; Dis Co, Guangdong Engn Res Ctr Grass Sci, Guangdong Engn Ctr Litchi,Coll Hort, Guangzhou, Guangdong, Peoples R China</t>
  </si>
  <si>
    <t>Guangdong Academy of Sciences; Ministry of Natural Resources of the People's Republic of China; South China Agricultural University</t>
  </si>
  <si>
    <t>Zhu, HH (corresponding author), Guangdong Acad Sci, Guangdong Prov Key Lab Microbial Culture Collect, Guangdong Microbial Culture Collect Ctr, State Key Lab Appl Microbiol Southern China,Guang, Guangzhou, Guangdong, Peoples R China.</t>
  </si>
  <si>
    <t>zhuhh@gdim.cn</t>
  </si>
  <si>
    <t>Zhu, Honghui/N-2251-2015; YAO, Qing/B-3206-2009</t>
  </si>
  <si>
    <t>National Natural Science Foundation of China [31600008, 41576069]; Science and Technology Plan Project of Guangdong Province [2016A020210057]; Pearl River S&amp;T Nova Program of Guangzhou [201806010065]; GDAS' Special Project of Science and Technology Development [2019GDASYL-0401002]; Zhejiang Qingshan Lake Innovation Platform for Marine Science and Technology [2017E80001]</t>
  </si>
  <si>
    <t>National Natural Science Foundation of China(National Natural Science Foundation of China (NSFC)); Science and Technology Plan Project of Guangdong Province; Pearl River S&amp;T Nova Program of Guangzhou; GDAS' Special Project of Science and Technology Development; Zhejiang Qingshan Lake Innovation Platform for Marine Science and Technology</t>
  </si>
  <si>
    <t>This work was financially supported by National Natural Science Foundation of China (31600008, 41576069), Science and Technology Plan Project of Guangdong Province (2016A020210057), Pearl River S&amp;T Nova Program of Guangzhou (201806010065), GDAS' Special Project of Science and Technology Development (2019GDASYL-0401002), Zhejiang Qingshan Lake Innovation Platform for Marine Science and Technology (2017E80001).</t>
  </si>
  <si>
    <t>NOV 8</t>
  </si>
  <si>
    <t>10.3389/fmicb.2019.02523</t>
  </si>
  <si>
    <t>JT7FI</t>
  </si>
  <si>
    <t>WOS:000501150700001</t>
  </si>
  <si>
    <t>Mei, MJ; Maksym, T; Weissling, B; Singh, H</t>
  </si>
  <si>
    <t>Mei, M. Jeffrey; Maksym, Ted; Weissling, Blake; Singh, Hanumant</t>
  </si>
  <si>
    <t>Estimating early-winter Antarctic sea ice thickness from deformed ice morphology</t>
  </si>
  <si>
    <t>AMUNDSEN SEAS; SNOW DEPTH; EAST ANTARCTICA; WEDDELL SEA; IN-SITU; BELLINGSHAUSEN; RETRIEVAL; FREEBOARD; ROUGHNESS; LAND</t>
  </si>
  <si>
    <t>Satellites have documented variability in sea ice areal extent for decades, but there are significant challenges in obtaining analogous measurements for sea ice thickness data in the Antarctic, primarily due to difficulties in estimating snow cover on sea ice. Sea ice thickness (SIT) can be estimated from snow freeboard measurements, such as those from airborne/satellite lidar, by assuming some snow depth distribution or empirically fitting with limited data from drilled transects from various field studies. Current estimates for large-scale Antarctic SIT have errors as high as similar to 50 %, and simple statistical models of small-scale mean thickness have similarly high errors. Averaging measurements over hundreds of meters can improve the model fits to existing data, though these results do not necessarily generalize to other floes. At present, we do not have algorithms that accurately estimate SIT at high resolutions. We use a convolutional neural network with laser altimetry profiles of sea ice surfaces at 0.2m resolution to show that it is possible to estimate SIT at 20m resolution with better accuracy and generalization than current methods (mean relative errors similar to 15 %). Moreover, the neural network does not require specification of snow depth or density, which increases its potential applications to other lidar datasets. The learned features appear to correspond to basic morphological features, and these features appear to be common to other floes with the same climatology. This suggests that there is a relationship between the surface morphology and the ice thickness. The model has a mean relative error of 20% when applied to a new floe from the region and season. This method may be extended to lower-resolution, larger-footprint data such as such as Operation IceBridge, and it suggests a possible avenue to reduce errors in satellite estimates of Antarctic SIT from ICESat-2 over current methods, especially at smaller scales.</t>
  </si>
  <si>
    <t>[Mei, M. Jeffrey; Maksym, Ted] Woods Hole Oceanog Inst, Dept Appl Ocean Sci &amp; Engn, Woods Hole, MA 02540 USA; [Mei, M. Jeffrey] MIT, Dept Mech Engn, Cambridge, MA 02139 USA; [Weissling, Blake] Univ Texas El Paso, Dept Geol Sci, El Paso, TX 79968 USA; [Singh, Hanumant] Northeastern Univ, Dept Elect &amp; Comp Engn, Boston, MA 02115 USA</t>
  </si>
  <si>
    <t>Woods Hole Oceanographic Institution; Massachusetts Institute of Technology (MIT); University of Texas System; University of Texas El Paso; Northeastern University</t>
  </si>
  <si>
    <t>Mei, MJ (corresponding author), Woods Hole Oceanog Inst, Dept Appl Ocean Sci &amp; Engn, Woods Hole, MA 02540 USA.;Mei, MJ (corresponding author), MIT, Dept Mech Engn, Cambridge, MA 02139 USA.</t>
  </si>
  <si>
    <t>mjmei@mit.edu</t>
  </si>
  <si>
    <t>Mei, M. Jeffrey/0000-0002-1083-598X</t>
  </si>
  <si>
    <t>U.S. National Science Foundation [ANT-1341606, ANT-1142075, ANT-1341717]; NASA [NNX15AC69G]; NASA [NNX15AC69G, 808237] Funding Source: Federal RePORTER</t>
  </si>
  <si>
    <t>U.S. National Science Foundation(National Science Foundation (NSF)); NASA(National Aeronautics &amp; Space Administration (NASA)); NASA(National Aeronautics &amp; Space Administration (NASA))</t>
  </si>
  <si>
    <t>This work was supported by the U.S. National Science Foundation (grant nos. ANT-1341606, ANT-1142075 and ANT-1341717) and NASA (grant no. NNX15AC69G).</t>
  </si>
  <si>
    <t>10.5194/tc-13-2915-2019</t>
  </si>
  <si>
    <t>JN2FO</t>
  </si>
  <si>
    <t>WOS:000496716700004</t>
  </si>
  <si>
    <t>Nichols, KA; Goehring, BM; Balco, G; Johnson, JS; Hein, AS; Todd, C</t>
  </si>
  <si>
    <t>Nichols, Keir A.; Goehring, Brent M.; Balco, Greg; Johnson, Joanne S.; Hein, Andrew S.; Todd, Claire</t>
  </si>
  <si>
    <t>New Last Glacial Maximum ice thickness constraints for the Weddell Sea Embayment, Antarctica</t>
  </si>
  <si>
    <t>NUCLIDE EXPOSURE AGES; MARIE-BYRD-LAND; GROUNDING-LINE; HALF-LIFE; PENSACOLA MOUNTAINS; DEGLACIAL HISTORY; SHACKLETON RANGE; FILCHNER TROUGH; SHEET; BE-10</t>
  </si>
  <si>
    <t>We describe new Last Glacial Maximum (LGM) ice thickness constraints for three locations spanning the Weddell Sea Embayment (WSE) of Antarctica. Samples collected from the Shackleton Range, Pensacola Mountains, and the Lassiter Coast constrain the LGM thickness of the Slessor Glacier, Foundation Ice Stream, and grounded ice proximal to the modern Ronne Ice Shelf edge on the Antarctic Peninsula, respectively. Previous attempts to reconstruct LGM-to-present ice thickness changes around the WSE used measurements of long-lived cosmogenic nuclides, primarily Be-10. An absence of post-LGM apparent exposure ages at many sites led to LGM thickness reconstructions that were spatially highly variable and inconsistent with flow line modelling. Estimates for the contribution of the ice sheet occupying the WSE at the LGM to global sea level since deglaciation vary by an order of magnitude, from 1.4 to 14.1m of sea level equivalent. Here we use a short-lived cosmogenic nuclide, in situ-produced C-14, which is less susceptible to inheritance problems than Be-10 and other long-lived nuclides. We use in situ C-14 to evaluate the possibility that sites with no post-LGM exposure ages are biased by cosmogenic nuclide inheritance due to surface preservation by cold-based ice and non-deposition of LGM-aged drift. Our measurements show that the Slessor Glacier was between 310 and up to 655m thicker than present at the LGM. The Foundation Ice Stream was at least 800m thicker, and ice on the Lassiter Coast was at least 385m thicker than present at the LGM. With evidence for LGM thickening at all of our study sites, our in situ C-14 measurements indicate that the long-lived nuclide measurements of previous studies were influenced by cosmogenic nuclide inheritance. Our inferred LGM configuration, which is primarily based on minimum ice thickness constraints and thus does not constrain an upper limit, indicates a relatively modest contribution to sea level rise since the LGM of &lt; 4.6 m, and possibly as little as &lt; 1.5 m.</t>
  </si>
  <si>
    <t>[Nichols, Keir A.; Goehring, Brent M.] Tulane Univ, Dept Earth &amp; Environm Sci, New Orleans, LA 70118 USA; [Balco, Greg] Berkeley Geochronol Ctr, 2455 Ridge Rd, Berkeley, CA 94709 USA; [Johnson, Joanne S.] British Antarctic Survey, Nat Environm Res Council, Madingley Rd, Cambridge CB3 0ET, England; [Hein, Andrew S.] Univ Edinburgh, Sch Geosci, Drummond St, Edinburgh EH8 9XP, Midlothian, Scotland; [Todd, Claire] Pacific Lutheran Univ, Dept Geosci, Tacoma, WA 98447 USA</t>
  </si>
  <si>
    <t>Tulane University; Berkeley Geochronolgy Center; UK Research &amp; Innovation (UKRI); Natural Environment Research Council (NERC); NERC British Antarctic Survey; University of Edinburgh; Pacific Lutheran University</t>
  </si>
  <si>
    <t>Nichols, KA (corresponding author), Tulane Univ, Dept Earth &amp; Environm Sci, New Orleans, LA 70118 USA.</t>
  </si>
  <si>
    <t>knichol3@tulane.edu</t>
  </si>
  <si>
    <t>Hein, Andrew/JWO-3756-2024</t>
  </si>
  <si>
    <t>National Science Foundation [1542936, 1542976]; NERC [bas0100030] Funding Source: UKRI</t>
  </si>
  <si>
    <t>National Science Foundation(National Science Foundation (NSF)); NERC(UK Research &amp; Innovation (UKRI)Natural Environment Research Council (NERC))</t>
  </si>
  <si>
    <t>This research has been supported by the National Science Foundation (grant nos. 1542936 and 1542976).</t>
  </si>
  <si>
    <t>10.5194/tc-13-2935-2019</t>
  </si>
  <si>
    <t>WOS:000496716700005</t>
  </si>
  <si>
    <t>Ju, X; Ma, C; Xiong, XJ; Guo, YL; Yu, L</t>
  </si>
  <si>
    <t>Ju Xia; Ma Chao; Xiong Xuejun; Guo Yanliang; Yu Long</t>
  </si>
  <si>
    <t>Circulation and Heat Flux along the Western Boundary of the North Pacific</t>
  </si>
  <si>
    <t>North Pacific; western boundary currents; water mass; circulation; heat flux</t>
  </si>
  <si>
    <t>TRANSPORT; CURRENTS; ATMOSPHERE</t>
  </si>
  <si>
    <t>On the basis of the conductivity temperature depth (CTD) observation data off the coast of the Philippines (7.5-18N, 130E-the east coast of the Philippines) in the fall of 2005, the water mass distribution, geostrophic flow field, and heat budget are examined. Four water masses are present: the North Pacific Tropical Surface Water, the North Pacific Sub-surface Water, the North Pacific Intermediate Water, and the Antarctic Intermediate Water (AAIW). The previous three corresponded with the North Equatorial Current (NEC), the Kuroshio Current (KC), and the Mindanao Current (MC), respectively. AAIW is the source of the Mindanao Undercurrent. The mass transport of NEC, KC, and MC is 58.7, 15, and 27.95 Sv, respectively (relative to 1500 db). NEC can be balanced by the transport across the whole transect 18N (31.81 Sv) and 7.5N (26.11 Sv) but not simply by KC and MC. Direct calculation is used to study the heat flux. In sum, 1.45 PW heat is transported outwards the observed region, which is much more than that released from the ocean to the air at the surface (0.05 PW). The net heat lost decreased the water temperature by 0.75celcius each month on average, and the trend agreed well with the SST change. Vertically, the heat transported by the currents is mainly completed in the upper 500 m.</t>
  </si>
  <si>
    <t>[Ju Xia; Ma Chao] Ocean Univ China, Coll Ocean &amp; Atmosphere Sci, Qingdao 266100, Shandong, Peoples R China; [Ju Xia; Xiong Xuejun; Guo Yanliang; Yu Long] MNR, Inst Oceanog 1, Qingdao 266061, Shandong, Peoples R China; [Ju Xia; Xiong Xuejun; Guo Yanliang; Yu Long] Pilot Natl Lab Marine Sci &amp; Technol, Lab Reg Oceanog &amp; Numer Modeling, Qingdao 266061, Shandong, Peoples R China; [Ma Chao] Pilot Natl Lab Marine Sci &amp; Technol, Lab Ocean &amp; Climate Dynam, Qingdao 266100, Shandong, Peoples R China</t>
  </si>
  <si>
    <t>Ocean University of China; Laoshan Laboratory; Laoshan Laboratory</t>
  </si>
  <si>
    <t>Ma, C (corresponding author), Ocean Univ China, Coll Ocean &amp; Atmosphere Sci, Qingdao 266100, Shandong, Peoples R China.;Ma, C (corresponding author), Pilot Natl Lab Marine Sci &amp; Technol, Lab Ocean &amp; Climate Dynam, Qingdao 266100, Shandong, Peoples R China.</t>
  </si>
  <si>
    <t>machao@ouc.edu.cn</t>
  </si>
  <si>
    <t>Ma, Chao/C-3124-2011</t>
  </si>
  <si>
    <t>Ma, Chao/0000-0001-5543-5915</t>
  </si>
  <si>
    <t>National Natural Science Foundation of China [41676004, 41506034, 41376 001, 41376038, 41806123, 41430963]; Basic Scientific Fund for National Public Research Institutes of China [GY0213G02]; National Major Scientific Research Program [2015CB954300]; National Science and Technology Major Project [2016ZX05057015]</t>
  </si>
  <si>
    <t>National Natural Science Foundation of China(National Natural Science Foundation of China (NSFC)); Basic Scientific Fund for National Public Research Institutes of China; National Major Scientific Research Program; National Science and Technology Major Project</t>
  </si>
  <si>
    <t>The study is supported by the National Natural Science Foundation of China (Nos. 41676004, 41506034, 41376 001, 41376038, 41806123, 41430963), the Basic Scientific Fund for National Public Research Institutes of China (No. GY0213G02), the National Major Scientific Research Program (No. 2015CB954300), and the National Science and Technology Major Project (No. 2016ZX05057015).</t>
  </si>
  <si>
    <t>10.1007/s11802-020-4168-z</t>
  </si>
  <si>
    <t>KJ3NS</t>
  </si>
  <si>
    <t>WOS:000495213400001</t>
  </si>
  <si>
    <t>Fulton, EA; Blanchard, JL; Melbourne-Thomas, J; Plaganyi, ÉE; Tulloch, VJD</t>
  </si>
  <si>
    <t>Fulton, Elizabeth A.; Blanchard, Julia L.; Melbourne-Thomas, Jessica; Plaganyi, Eva E.; Tulloch, Vivitskaia J. D.</t>
  </si>
  <si>
    <t>Where the Ecological Gaps Remain, a Modelers' Perspective</t>
  </si>
  <si>
    <t>ecology; scale; modeling; anthropocene; challenges</t>
  </si>
  <si>
    <t>Humans have observed the natural world and how people interact with it for millennia. Over the past century, synthesis and expansion of that understanding has occurred under the banner of the new discipline of ecology. The mechanisms considered operate in and between many different scales-from the individual and short time frames, up through populations, communities, land/seascapes and ecosystems. Whereas, some of these scales have been more readily studied than others-particularly the population to regional landscape scales-over the course of the past 20 years new unifying insights have been possible via the application of ideas from new perspectives, such as the fields of complexity and network theory. At any sufficiently large gathering (and with sufficient lubrication) discussions over whether ecologists will ever uncover unifying laws and what they may look like still persist. Any pessimism expressed tends to grow from acknowledgment that gaping holes still exist in our understanding of the natural world and its functioning, especially at the smallest and grandest scales. Conceptualization of some fundamental ideas, such as evolution, are also undergoing review as global change presents levels of directional pressure on ecosystems not previously seen in recorded history. New sensor and monitoring technologies are opening up new data streams at volumes that can seem overwhelming but also provide an opportunity for a profusion of new discoveries by marrying data across scales in volumes hitherto infeasible. As with so many aspects of science and life, now is an exciting time to be an ecologist.</t>
  </si>
  <si>
    <t>[Fulton, Elizabeth A.; Melbourne-Thomas, Jessica] CSIRO Oceans &amp; Atmosphere, Hobart, Tas, Australia; [Fulton, Elizabeth A.; Blanchard, Julia L.; Melbourne-Thomas, Jessica; Plaganyi, Eva E.] Univ Tasmania, Ctr Marine Socioecol, Hobart, Tas, Australia; [Blanchard, Julia L.] Univ Tasmania, Inst Marine &amp; Antarctic Studies, Hobart, Tas, Australia; [Plaganyi, Eva E.; Tulloch, Vivitskaia J. D.] CSIRO Oceans &amp; Atmosphere, St Lucia, Qld, Australia; [Tulloch, Vivitskaia J. D.] Univ British Columbia, Vancouver, BC, Canada</t>
  </si>
  <si>
    <t>Commonwealth Scientific &amp; Industrial Research Organisation (CSIRO); University of Tasmania; University of Tasmania; Commonwealth Scientific &amp; Industrial Research Organisation (CSIRO); University of British Columbia</t>
  </si>
  <si>
    <t>Fulton, EA (corresponding author), CSIRO Oceans &amp; Atmosphere, Hobart, Tas, Australia.;Fulton, EA (corresponding author), Univ Tasmania, Ctr Marine Socioecol, Hobart, Tas, Australia.</t>
  </si>
  <si>
    <t>beth.fulton@csiro.au</t>
  </si>
  <si>
    <t>Plaganyi, Eva E/C-5130-2011; Fulton, Beth/AAJ-1398-2021; Melbourne-Thomas, Jess/N-2437-2019; Blanchard, Julia L/E-4919-2010</t>
  </si>
  <si>
    <t>Plaganyi, Eva E/0000-0002-4740-4200; Fulton, Beth/0000-0002-5904-7917; Melbourne-Thomas, Jess/0000-0001-6585-876X; Blanchard, Julia/0000-0003-0532-4824</t>
  </si>
  <si>
    <t>10.3389/fevo.2019.00424</t>
  </si>
  <si>
    <t>VM7EX</t>
  </si>
  <si>
    <t>WOS:001030040900001</t>
  </si>
  <si>
    <t>Vincent, RA; Kovalam, S; Murphy, DJ; Reid, IM; Younger, JP</t>
  </si>
  <si>
    <t>Vincent, R. A.; Kovalam, S.; Murphy, D. J.; Reid, I. M.; Younger, J. P.</t>
  </si>
  <si>
    <t>Trends and Variability in Vertical Winds in the Southern Hemisphere Summer Polar Mesosphere and Lower Thermosphere</t>
  </si>
  <si>
    <t>mesosphere-thermosphere; winds and temperature; vertical velocity; middle atmosphere coupling</t>
  </si>
  <si>
    <t>MEAN WINDS; ARCTIC MESOSPHERE; METEOR; DYNAMICS; NORTHERN; MESOPAUSE; TRANSPORT; RADAR; DAVIS; WAVE</t>
  </si>
  <si>
    <t>Direct measurement of mean vertical velocities in the mesosphere-lower thermosphere (60-110 km) is not possible due to their small values. Here we derive vertical velocities using the divergence of the mean meridional wind over the Antarctic summer pole using MF radar wind measurements made at Davis Station (69 degrees S, 78 degrees E) between 1994 and 2018. Estimates of vertical velocity are restricted to a 21-day period centered just after solstice when the equatorward wind reaches its maximum value of about 15 m s(-1) at heights near 90 km. The Medium Frequency (MF) radar winds are calibrated against colocated meteor wind radar observations. Neutral densities required for the vertical wind calculations are obtained from zonally averaged temperature measurements obtained by the MLS instrument aboard the AURA satellite. The estimated vertical velocities have peak values varying between 2 and 6 cm s(-1) with significant interannual variability. While the peak values do not show significant long-term change, there is a long-term decrease in the mean height of maximum winds of about 0.6 km per decade that is statistically significant. The interannual variability is linked to the date of transition in the stratospheric zonal circulation from winter eastward to summer westward flow. Meridional and vertical velocities are smaller and peak at lower altitudes during early transitions (20-30 days prior to solstice) than is the case for late transitions that occur at solstice or later.</t>
  </si>
  <si>
    <t>[Vincent, R. A.; Kovalam, S.; Reid, I. M.; Younger, J. P.] Univ Adelaide, Sch Phys Sci, Adelaide, SA, Australia; [Vincent, R. A.; Reid, I. M.] ATRAD Pty Ltd, Thebarton, SA, Australia; [Murphy, D. J.] Australian Antarctic Div, Kingston, Tas, Australia</t>
  </si>
  <si>
    <t>University of Adelaide; ATRAD Pty Ltd.; Australian Antarctic Division</t>
  </si>
  <si>
    <t>Vincent, RA (corresponding author), Univ Adelaide, Sch Phys Sci, Adelaide, SA, Australia.</t>
  </si>
  <si>
    <t>robert.vincent@adelaide.edu.au; damian.murphy@aad.gov.au</t>
  </si>
  <si>
    <t>Reid, Iain/B-5681-2012; Younger, Joel/I-4601-2012; Kovalam, Sujata/Q-1447-2016; Vincent, Robert/E-5450-2013</t>
  </si>
  <si>
    <t>Reid, Iain/0000-0003-2340-9047; Younger, Joel/0000-0003-2918-1709; Murphy, Damian/0000-0003-1738-5560; Kovalam, Sujata/0000-0001-6528-0072; Vincent, Robert/0000-0001-6559-6544</t>
  </si>
  <si>
    <t>ATRAD Pty Ltd.; Australian Antarctic Science Advisory Committee [674, 2668, 4025, 4445]</t>
  </si>
  <si>
    <t>ATRAD Pty Ltd.; Australian Antarctic Science Advisory Committee</t>
  </si>
  <si>
    <t>We thank Andrew Klekociuk for helpful comments and provision of data. Pat Espy is thanked for helpful comments. The participation of Iain Reid was supported by ATRAD Pty Ltd. The Davis MF and meteor radars were supported by Australian Antarctic Science Advisory Committee Grants Scheme Projects 674, 2668, 4025, and 4445. We thank the UK Centre for Environmental Data Analysis for provision of the UKMO data. The AURA-MLS data used in this study are available at the NASA Goddard Space Flight Center for Earth Sciences Data and Information Services Center (DISC; at https://mls.jpl.nasa.gov/data/).The Davis radar wind data used in this manuscript are archived in the Australian Antarctic Data Centre (at data.aad.gov.au). Radar data are available on request through the data center or directly to D. J. Murphy: damian.murphy@aad.gov.au.</t>
  </si>
  <si>
    <t>10.1029/2019JD030735</t>
  </si>
  <si>
    <t>JQ9PX</t>
  </si>
  <si>
    <t>WOS:000494991100001</t>
  </si>
  <si>
    <t>Watt, CEJ; Allison, HJ; Meredith, NP; Thompson, RL; Bentley, SN; Rae, IJ; Glauert, SA; Horne, RB</t>
  </si>
  <si>
    <t>Watt, C. E. J.; Allison, H. J.; Meredith, N. P.; Thompson, R. L.; Bentley, S. N.; Rae, I. J.; Glauert, S. A.; Horne, R. B.</t>
  </si>
  <si>
    <t>Variability of Quasilinear Diffusion Coefficients for Plasmaspheric Hiss</t>
  </si>
  <si>
    <t>wave-particle interactions; magnetosphere; stochastic; parameterization; empirical</t>
  </si>
  <si>
    <t>ELECTRON-RADIATION BELTS; WHISTLER-MODE CHORUS; PITCH-ANGLE; WAVE ACTIVITY; STATISTICAL PROPERTIES; RESONANT SCATTERING; FREQUENCY; PARAMETERIZATION; MAGNETOSPHERE; ACCELERATION</t>
  </si>
  <si>
    <t>In the outer radiation belt, the acceleration and loss of high-energy electrons is largely controlled by wave-particle interactions. Quasilinear diffusion coefficients are an efficient way to capture the small-scale physics of wave-particle interactions due to magnetospheric wave modes such as plasmaspheric hiss. The strength of quasilinear diffusion coefficients as a function of energy and pitch angle depends on both wave parameters and plasma parameters such as ambient magnetic field strength, plasma number density, and composition. For plasmaspheric hiss in the magnetosphere, observations indicate large variations in the wave intensity and wave normal angle, but less is known about the simultaneous variability of the magnetic field and number density. We use in situ measurements from the Van Allen Probe mission to demonstrate the variability of selected factors that control the size and shape of pitch angle diffusion coefficients: wave intensity, magnetic field strength, and electron number density. We then compare with the variability of diffusion coefficients calculated individually from colocated and simultaneous groups of measurements. We show that the distribution of the plasmaspheric hiss diffusion coefficients is highly non-Gaussian with large variance and that the distributions themselves vary strongly across the three phase space bins studied. In most bins studied, the plasmaspheric hiss diffusion coefficients tend to increase with geomagnetic activity, but our results indicate that new approaches that include natural variability may yield improved parameterizations. We suggest methods like stochastic parameterization of wave-particle interactions could use variability information to improve modeling of the outer radiation belt. Plain Language Summary The electrons in Earth's radiation belts exist in a highly rarefied part of space where collisions between particles is very rare. The only way in which the energy or direction of the trapped high-energy electrons can be changed is through interactions with electromagnetic waves. The efficacy of the interaction is a function of the energy and direction of travel of the electrons. In physics-based models of the radiation belts, the efficacy of the wave-particle interactions is captured in diffusion coefficients. These functions are constructed from information about the amplitude and frequency properties of the waves in the interaction, the magnetic field strength, ion composition, and density of the local plasma. We build up collections of observations of these properties from multiple passes of one of the NASA Van Allen probes through the same three small regions of space. The observations display significant temporal variability. We report on the statistical distributions of wave intensity, magnetic field strength and plasma number density and investigate the statistical distribution of the resulting diffusion coefficient. We find that the diffusion coefficients are highly variable and suggest that, by borrowing methods from other branches of geophysics such as numerical weather prediction, we may be able to include this variability in our models and improve the performance of radiation belt simulations.</t>
  </si>
  <si>
    <t>[Watt, C. E. J.; Bentley, S. N.] Univ Reading, Dept Meteorol, Reading, Berks, England; [Allison, H. J.; Meredith, N. P.; Glauert, S. A.; Horne, R. B.] British Antarctic Survey, Cambridge, England; [Allison, H. J.] Univ Cambridge, Dept Appl Math &amp; Theoret Phys, Cambridge, England; [Allison, H. J.] GFZ German Res Ctr Geosci, Potsdam, Germany; [Thompson, R. L.] Univ Reading, Dept Math &amp; Stat, Reading, Berks, England; [Rae, I. J.] UCL, Mullard Space Sci Lab, London, England</t>
  </si>
  <si>
    <t>University of Reading; UK Research &amp; Innovation (UKRI); Natural Environment Research Council (NERC); NERC British Antarctic Survey; University of Cambridge; Helmholtz Association; Helmholtz-Center Potsdam GFZ German Research Center for Geosciences; University of Reading; University of London; University College London</t>
  </si>
  <si>
    <t>Watt, CEJ (corresponding author), Univ Reading, Dept Meteorol, Reading, Berks, England.</t>
  </si>
  <si>
    <t>c.e.watt@reading.ac.uk</t>
  </si>
  <si>
    <t>Horne, Richard B/U-3764-2019; Rae, Jonathan/D-8132-2013; Meredith, Nigel P/C-5806-2018; Watt, Clare/C-5218-2008</t>
  </si>
  <si>
    <t>Horne, Richard B/0000-0002-0412-6407; Rae, Jonathan/0000-0002-2637-4786; Bentley, Sarah N/0000-0002-0095-1979; Meredith, Nigel/0000-0001-5032-3463; Thompson, Rhys/0000-0002-2766-0952; Allison, Hayley/0000-0002-6665-2023; Watt, Clare/0000-0003-3193-8993</t>
  </si>
  <si>
    <t>STFC [ST/R000921/1]; Natural Environment Research Council (NERC) Highlight Topic Grant [NE/P01738X/1, NE/P017274/1, NE/P017185/1]; NERC Doctoral Training Programme [NE/L002507/1]; Engineering and Physical Sciences Research Council (EPSRC) [EP/L016613/1]; NERC [NE/P01738X/1, bas0100031, NE/P017274/1] Funding Source: UKRI; STFC [ST/R000921/1] Funding Source: UKRI</t>
  </si>
  <si>
    <t>STFC(UK Research &amp; Innovation (UKRI)Science &amp; Technology Facilities Council (STFC)); Natural Environment Research Council (NERC) Highlight Topic Grant(UK Research &amp; Innovation (UKRI)Natural Environment Research Council (NERC)); NERC Doctoral Training Programme; Engineering and Physical Sciences Research Council (EPSRC)(UK Research &amp; Innovation (UKRI)Engineering &amp; Physical Sciences Research Council (EPSRC)); NERC(UK Research &amp; Innovation (UKRI)Natural Environment Research Council (NERC)); STFC(UK Research &amp; Innovation (UKRI)Science &amp; Technology Facilities Council (STFC))</t>
  </si>
  <si>
    <t>This research was supported by STFC Grant ST/R000921/1, as well as the Natural Environment Research Council (NERC) Highlight Topic Grant NE/P01738X/1 (Rad-Sat BAS), NE/P017274/1 (Rad-Sat UoR), and NE/P017185/1 (Rad-Sat MSSL). H. J. A. was supported by NERC Doctoral Training Programme NE/L002507/1 and R. L. T. was supported by the Engineering and Physical Sciences Research Council (EPSRC) Grant EP/L016613/1. We acknowledge the NASA Van Allen Probes and Craig Kletzing for use of EMFISIS data. The EMFISIS data are available from this site (https://emfisis.physics.uiowa.edu/data/index). Diffusion coefficient data displayed in this paper are available at this site (https://doi.org/10.17864/1947.212).</t>
  </si>
  <si>
    <t>10.1029/2018JA026401</t>
  </si>
  <si>
    <t>Green Published, Green Accepted</t>
  </si>
  <si>
    <t>WOS:000494922900001</t>
  </si>
  <si>
    <t>Vignon, É; Besic, N; Jullien, N; Gehring, J; Berne, A</t>
  </si>
  <si>
    <t>Vignon, E.; Besic, N.; Jullien, N.; Gehring, J.; Berne, A.</t>
  </si>
  <si>
    <t>Microphysics of Snowfall Over Coastal East Antarctica Simulated by Polar WRF and Observed by Radar</t>
  </si>
  <si>
    <t>microphysics; Antarctica; precipitation; radar</t>
  </si>
  <si>
    <t>SURFACE MASS-BALANCE; WEATHER RESEARCH; CLOUD MICROPHYSICS; PART I; DUMONT-DURVILLE; HYDROMETEOR CLASSIFICATION; VERTICAL STRUCTURE; CLIMATE MODELS; ADELIE LAND; LIDAR DATA</t>
  </si>
  <si>
    <t>The current assessment of the Antarctic surface mass balance mostly relies on reanalysis products or climate model simulations. However, little is known about the ability of models to reliably represent the microphysical processes governing the precipitation. This study makes use of recent ground-based precipitation measurements at Dumont d'Urville station in Adelie Land to evaluate the representation of the precipitation microphysics in the Polar version of the Weather Research Forecast (Polar WRF) atmospheric model. During two summertime snowfall events, high-resolution simulations are compared to measurements from an X-band polarimetric radar and from a Multi-Angle Snowflake Camera (MASC). A radar simulator and a MASC simulator in Polar WRF make it possible to compare similar observed and simulated variables. Radiosoundings and surface-meteorological observations were used to assess the representation of the regional dynamics in the model. Five different microphysical parameterizations are tested. The simulated temperature, wind, and humidity fields are in good agreement with the observations. However, the amount of simulated surface precipitation shows large discrepancies with respect to observations, and it strongly differs between the simulations themselves, evidencing the critical role of the microphysics. The inspection of vertical profiles of reflectivity and mixing ratios revealed that the representation of the sublimation process by the low-level dry katabatic winds strongly influences the actual amount of precipitation at the ground surface. By comparing the simulated radar signal as well as MASC and model particle size distributions, it is also possible to identify the microphysical processes involved and to pinpoint shortcomings within the tested parameterizations.</t>
  </si>
  <si>
    <t>[Vignon, E.; Besic, N.; Jullien, N.; Gehring, J.; Berne, A.] Ecole Polytech Fed Lausanne, Environm Remote Sensing Lab LTE, Lausanne, Switzerland; [Besic, N.] Meteo France, Toulouse, France</t>
  </si>
  <si>
    <t>Swiss Federal Institutes of Technology Domain; Ecole Polytechnique Federale de Lausanne</t>
  </si>
  <si>
    <t>Vignon, É (corresponding author), Ecole Polytech Fed Lausanne, Environm Remote Sensing Lab LTE, Lausanne, Switzerland.</t>
  </si>
  <si>
    <t>etienne.vignon@epfl.ch</t>
  </si>
  <si>
    <t>Gehring, Josue/0000-0001-8485-7973; VIGNON, Etienne/0000-0003-3801-9367; Besic, Nikola/0000-0002-2597-4042; Berne, Alexis/0000-0003-4977-1204; Jullien, Nicolas/0000-0002-5797-3714</t>
  </si>
  <si>
    <t>EPFL-LOSUMEA project; Swiss National Science Foundation [200020-175700]; MeteoSwiss; French National Research Agency (ANR); French Polar Institute through the APRES3 project; Swiss National Science Foundation (SNF) [200020_175700] Funding Source: Swiss National Science Foundation (SNF)</t>
  </si>
  <si>
    <t>EPFL-LOSUMEA project; Swiss National Science Foundation(Swiss National Science Foundation (SNSF)); MeteoSwiss; French National Research Agency (ANR)(Agence Nationale de la Recherche (ANR)Norwegian Agency for Development Cooperation - NORAD); French Polar Institute through the APRES3 project; Swiss National Science Foundation (SNF)(Swiss National Science Foundation (SNSF))</t>
  </si>
  <si>
    <t>This work was funded by the EPFL-LOSUMEA project. The contribution of J. Gehring was supported by the Swiss National Science Foundation under Grant 200020-175700. N. Besic's work was supported by MeteoSwiss. The authors thank Aleksandra Tatarevic and the Applied Radar Science Group for developing and freely distributing the CR-SIM radar simulator. The CR-SIM radar simulator is freely distributed online (at https://www.bnl.gov/CMAS/cr-sim.php).We are also thankful to A. Ferrone, C. Duran Alarcon, C. Praz, A. Reverdin, and M. Schaer for preprocessing radar and MASC data. We thank C. Genthon, G. Sotiropoulou, and J. Grazioli for insightful discussions. The APRES3 campaign data have been distributed on the PANGAEA data repository (https://www.pangaea.de,_https://doi.org/10.1594/PANGAEA.883562).A description of the data set is provided in Genthon et al. (2018). C Listowski is also thanked for providing the Bedmap2 data set for PolarWRF. The authors acknowledge the support of the French National Research Agency (ANR) and of the French Polar Institute through the APRES3 project. The authors appreciate the support of Meteo-France, the DSO/DOA service, and Pascal Herrera for the acquisition and distribution of near-surface and radiosonde data at DDU station. We also thank Francisco Tapiador and two anonymous reviewers for their careful evaluation of the manuscript and thoughtful comments.</t>
  </si>
  <si>
    <t>10.1029/2019JD031028</t>
  </si>
  <si>
    <t>WOS:000494997700001</t>
  </si>
  <si>
    <t>Joy-Warren, HL; van Dijken, GL; Alderkamp, AC; Leventer, A; Lewis, KM; Selz, V; Lowry, KE; van de Poll, W; Arrigo, KR</t>
  </si>
  <si>
    <t>Joy-Warren, Hannah L.; van Dijken, Gert L.; Alderkamp, Anne-Carlijn; Leventer, Amy; Lewis, Kate M.; Selz, Virginia; Lowry, Kate E.; van de Poll, Willem; Arrigo, Kevin R.</t>
  </si>
  <si>
    <t>Light Is the Primary Driver of Early Season Phytoplankton Production Along the Western Antarctic Peninsula</t>
  </si>
  <si>
    <t>western Antarctic Peninsula; phytoplankton; photophysiology; light; iron; primary production</t>
  </si>
  <si>
    <t>SOUTHERN-OCEAN PHYTOPLANKTON; FRAGILARIOPSIS-CYLINDRUS BACILLARIOPHYCEAE; NET COMMUNITY PRODUCTION; NORTHERN MARGUERITE BAY; UV-ABSORBING COMPOUNDS; ICE-ZONE WEST; PHAEOCYSTIS-ANTARCTICA; ULTRAVIOLET-RADIATION; CLIMATE-CHANGE; CHLOROPHYLL FLUORESCENCE</t>
  </si>
  <si>
    <t>Light and dissolved iron (dFe) availability control net primary production (NPP) in much of the Southern Ocean, but the primary controller during spring in the western Antarctic Peninsula has never been assessed. Underwater light and dFe availability are sensitive to climate-induced changes in upper ocean circulation, stratification, and sea ice cover, which can affect NPP and phytoplankton community composition, both of which can alter carbon drawdown and food web structure. We estimated in situ NPP, net community production, and heterotrophic respiration and contextualized our field measurements with satellite-based historical NPP estimates. Average light exposure mainly controlled NPP, while low dFe was associated with greatest NPP, indicating that spring phytoplankton growth is light-limited and not dFe-limited. Using experiments that simulated varying mixed layer depths by exposing phytoplankton to a short period of in situ surface light (up to 150x the mean light in the mixed layer, comparable to the difference in light experienced by phytoplankton mixed from 50 m to the surface), we assessed the effect of phytoplankton photoacclimation on NPP and relative success of individual taxa. At moderate light exposure (&lt;30x), phytoplankton experienced little photodamage or changes in NPP, and Phaeocystis antarctica grew more than diatoms. Conversely, phytoplankton exposed to high light (&gt;60x) experienced significant photodamage, declines in NPP, and declines in P. antarctica, with no consistent changes in diatoms. These results support the idea that P. antarctica is better adapted to variable light than diatoms and suggest that deeper mixed layers with variable light will favor P. antarctica.</t>
  </si>
  <si>
    <t>[Joy-Warren, Hannah L.; van Dijken, Gert L.; Alderkamp, Anne-Carlijn; Lewis, Kate M.; Selz, Virginia; Lowry, Kate E.; Arrigo, Kevin R.] Stanford Univ, Dept Earth Syst Sci, Stanford, CA 94305 USA; [Alderkamp, Anne-Carlijn] Foothill Coll, Biol Dept, Los Altos Hills, CA USA; [Leventer, Amy] Colgate Univ, Dept Geol, Hamilton, NY 13346 USA; [van de Poll, Willem] Univ Groningen, Energy &amp; Sustainabil Res Inst Groningen, Dept Ocean Ecosyst, Groningen, Netherlands</t>
  </si>
  <si>
    <t>Stanford University; Colgate University; University of Groningen</t>
  </si>
  <si>
    <t>Joy-Warren, HL (corresponding author), Stanford Univ, Dept Earth Syst Sci, Stanford, CA 94305 USA.</t>
  </si>
  <si>
    <t>hjoyw@stanford.edu</t>
  </si>
  <si>
    <t>Van Dijken, Gert L/C-5276-2011; Joy-Warren, Hannah L./HJP-5929-2023</t>
  </si>
  <si>
    <t>Joy-Warren, Hannah L./0000-0003-4127-7367; Leventer, Amy/0000-0001-9401-0987; van de Poll, Willem/0000-0003-4095-4338; Van Dijken, Gert/0000-0002-9587-6317; Lowry, Kate/0000-0002-1604-5428; Arrigo, Kevin/0000-0002-7364-876X; Lewis, Kate/0000-0003-2909-2570</t>
  </si>
  <si>
    <t>National Science Foundation Office of Polar Programs [ANT-1063592]; U.S. Environmental Protection Agency (EPA) [FP-91770101-1]</t>
  </si>
  <si>
    <t>National Science Foundation Office of Polar Programs(National Science Foundation (NSF)NSF - Directorate for Geosciences (GEO)); U.S. Environmental Protection Agency (EPA)(United States Environmental Protection Agency)</t>
  </si>
  <si>
    <t>We would like to thank the captain, crew, ASC technicians, and scientists on the R/VIB N. B. Palmer (NBP 14-09) for the valuable help and support. We would also like to thank Evan Baldonado and Lucy Montgomery for diligently identifying phytoplankton images, Marc Picheral for the devoted help developing EcoTaxa for use with FlowCam images, Rob Middag and Robert Van Hale for the meteoric water analysis, and Sebastien Moreau and an anonymous reviewer for invaluable feedback. This research was supported by the National Science Foundation Office of Polar Programs (grant ANT-1063592 to K.R.A.) and was developed under the STAR Fellowship Assistance agreement FP-91770101-1 awarded to H.J.W. by the U.S. Environmental Protection Agency (EPA). It has not been formally reviewed by EPA. The views expressed in this publication are solely those of the authors and EPA does not endorse any products or commercial services mentioned in this publication. Data are available at http://ocean.stanford.edu/research/publication_data/joy-warren-WAP_Production_Paper_2019_repository/.</t>
  </si>
  <si>
    <t>10.1029/2019JC015295</t>
  </si>
  <si>
    <t>WOS:000494920600001</t>
  </si>
  <si>
    <t>Thomson, NR; Clilverd, MA; Rodger, CJ</t>
  </si>
  <si>
    <t>Thomson, Neil R.; Clilverd, Mark A.; Rodger, Craig J.</t>
  </si>
  <si>
    <t>Very Low Latitude Whistler-Mode Signals: Observations at Three Widely Spaced Latitudes</t>
  </si>
  <si>
    <t>Very low latitude whistler-mode signals; Guided non-ducted whistler-mode propagation; Transequatorial whistler-mode propagation; Whistler-mode Doppler shifts; VLF man-made whistler-mode signals; VLF propagation</t>
  </si>
  <si>
    <t>VLF RADIO-WAVES; PROPAGATION CHARACTERISTICS; NIGHTTIME WHISTLERS; ABSORPTION; LIFETIME</t>
  </si>
  <si>
    <t>Very low frequency (VLF) radio signals with travel times similar to 100 ms were observed continuously for up to similar to 11 hr at night on Rarotonga (Cook Islands, similar to 21 degrees S) at 21.4 kHz from U.S. Navy transmitter NPM, Hawaii (similar to 21 degrees N). These signals travelled in the whistler-mode on well-defined paths, though not field-aligned ducts, through the ionospheric F region, and across the equator reaching altitudes similar to 700-1,400 km depending on time of night. These same signals were also observed simultaneously in Dunedin (46 degrees S), New Zealand, with very nearly the same travel times but with somewhat lower amplitudes and occurrence rates, consistent with the whistler-mode part of the propagation being at very low latitudes. Both sets of signals had similar Doppler shifts, typically tens of mHz, but sometimes up to a few hundred mHz, being positive during most of the night, while the whistler-mode group delays decreased due to both the shortening of the path and the decay of the near equatorial ionosphere, but negative near dawn when the Sun's rays start ionizing the F region. The signals are not observable during the day, fading out during dawn, due to increasing attenuation from the increasing electron density, and hence increasing collisions, in both the D and F regions. Similar weaker NPM signals were also seen at Rothera (68 degrees S). In addition, similar 24.8-kHz signals were seen from the more distant NLK (Seattle, similar to 48 degrees N) at Rarotonga, though clearly weaker than from NPM, but not at Dunedin.</t>
  </si>
  <si>
    <t>[Thomson, Neil R.; Rodger, Craig J.] Univ Otago, Phys Dept, Dunedin, New Zealand; [Clilverd, Mark A.] British Antarctic Survey, Cambridge, England</t>
  </si>
  <si>
    <t>University of Otago; UK Research &amp; Innovation (UKRI); Natural Environment Research Council (NERC); NERC British Antarctic Survey</t>
  </si>
  <si>
    <t>Thomson, NR (corresponding author), Univ Otago, Phys Dept, Dunedin, New Zealand.</t>
  </si>
  <si>
    <t>thomsoneil@gmail.com</t>
  </si>
  <si>
    <t>Rodger, Craig J./0000-0002-6770-2707</t>
  </si>
  <si>
    <t>UKRI-NERC National Capability Space Weather Observatory from Rothera research station, Antarctica; NERC [NE/P01738X/1, bas0100031] Funding Source: UKRI</t>
  </si>
  <si>
    <t>UKRI-NERC National Capability Space Weather Observatory from Rothera research station, Antarctica; NERC(UK Research &amp; Innovation (UKRI)Natural Environment Research Council (NERC))</t>
  </si>
  <si>
    <t>We are grateful to the late Stuart Kingan for the use of his measurement site on Rarotonga. The raw data measurements underlying the observations reported here are available at https://doi.org/10.5281/zenodo.3381090. M.A.C.acknowledges UKRI-NERC National Capability Space Weather Observatory funding in support of VLF observations from Rothera research station, Antarctica.</t>
  </si>
  <si>
    <t>10.1029/2019JA027033</t>
  </si>
  <si>
    <t>WOS:000494920300001</t>
  </si>
  <si>
    <t>Poinelli, M; Larour, E; Castillo-Rogez, J; Vermeersen, B</t>
  </si>
  <si>
    <t>Poinelli, Mattia; Larour, Eric; Castillo-Rogez, Julie; Vermeersen, Bert</t>
  </si>
  <si>
    <t>Crevasse Propagation on Brittle Ice: Application to Cycloids on Europa</t>
  </si>
  <si>
    <t>FRACTURE-MECHANICS APPROACH; TIDALLY DRIVEN FRACTURES; NONSYNCHRONOUS ROTATION; SUBSURFACE OCEAN; RIFT PROPAGATION; INTERNAL STRUCTURE; EAST ANTARCTICA; SHELF; PENETRATION; STRESSES</t>
  </si>
  <si>
    <t>Existing lineaments on the surface of the Jovian moon Europa are thought to be the result of ongoing brittle crack formation in the elastic regime. Arcuate features are called cycloids and can be modeled using linear elastic fracture mechanics. Here, we build on existing terrestrial models of rift propagation and extend them to cycloids on the moon. We propose that these cracks tend to grow as a series of nearly instantaneous events, spaced by periods of inactivity. The behavior is similar to what is observed on Antarctic ice shelves, where rifts can remain dormant for years. We argue that dormant periods between growth events could explain the presence of cycloids on Europa even without invoking secular motion of the crust. Furthermore, being able to model propagation events and their timing should help future missions exploring the moon.</t>
  </si>
  <si>
    <t>[Poinelli, Mattia; Larour, Eric; Castillo-Rogez, Julie] CALTECH, Jet Prop Lab, Pasadena, CA 91125 USA; [Poinelli, Mattia; Vermeersen, Bert] Delft Univ Technol, Dept Geosci &amp; Remote Sensing, Delft, Netherlands; [Vermeersen, Bert] Delft Univ Tecl, Fac Aerosp Engn, Delft, Netherlands</t>
  </si>
  <si>
    <t>California Institute of Technology; National Aeronautics &amp; Space Administration (NASA); NASA Jet Propulsion Laboratory (JPL); Delft University of Technology; Delft University of Technology</t>
  </si>
  <si>
    <t>Poinelli, M (corresponding author), CALTECH, Jet Prop Lab, Pasadena, CA 91125 USA.;Poinelli, M (corresponding author), Delft Univ Technol, Dept Geosci &amp; Remote Sensing, Delft, Netherlands.</t>
  </si>
  <si>
    <t>mattia.poinelli@gmail.com</t>
  </si>
  <si>
    <t>Poinelli, Mattia/0000-0003-0637-2166</t>
  </si>
  <si>
    <t>10.1029/2019GL084033</t>
  </si>
  <si>
    <t>WOS:000494950000001</t>
  </si>
  <si>
    <t>Barnes, DKA; Sands, CJ; Richardson, A; Smith, N</t>
  </si>
  <si>
    <t>Barnes, David K. A.; Sands, Chester J.; Richardson, Andrew; Smith, Ness</t>
  </si>
  <si>
    <t>Extremes in Benthic Ecosystem Services; Blue Carbon Natural Capital Shallower Than 1000 m in Isolated, Small, and Young Ascension Island's EEZ</t>
  </si>
  <si>
    <t>blue carbon; ecosystem services; natural capital; Atlantic Islands; cold corals; Ascension Island; Marine Protected Area</t>
  </si>
  <si>
    <t>Biodiversity tends to decrease with increasing isolation and reduced habitat size, and increase with habitat age. Ascension Island and its seamounts are small, isolated and relatively young, yet harbor patchily dense life. Large areas of these waters are soon to be designated as a major Marine Protected Area. Given the remote location there are few local threats to the region. However, global climate related stressors (e.g., temperature and acidification) and arguably plastic pollution are key issues likely to impact ecosystem services. We evaluate the accumulated carbon in benthos around Ascension Island's EEZ shallower than 1000 m using data collected over two research cruises in 2015 and 2017 through seabed mapping, seabed camera imagery and collections of benthos using a mini-Agassiz trawl. Benthos shallower than 1000 m essentially comprises the coastal waters around Ascension Island and three seamounts (Harris-Stewart, Grattan, and Unnamed). There is considerable societal benefit from benthic carbon storage and sequestration through its mitigation value buffering climate change. This service is often termed blue carbon. Overall we estimate that there is at least 43,000 t of blue carbon, on the 3% of Ascension Island EEZ's seabed which is &lt;1000 m, mainly in the form of cold coral reefs. Two thirds of that occurs around the main island of Ascension, but it is very unevenly distributed on the seabed. Seabed roughness (e.g., rocky outcrops) seems most important for the development of blue carbon hotspots. About 21% of the total blue carbon is considered to be sequestered (removed from the carbon cycle for 100+ years) = 9000 t Carbon. At the 2019 Shadow Price of Carbon the proportion of CO2 considered sequestered is 29-59 pound. As 9000 t C this is equivalent to 33,070 t CO2 , which in 2019 is valued at approximately 1-2 pound million. With time, this increases with rising value of carbon, but also annual increment of carbon deposition, to 2-4 pound million by 2030. Thus even when biogeographic values of isolation, size and age are least favorable to biodiversity, the natural capital stock and future services of benthic ecosystems can be considerable and generate quantifiable economic return on their conservation.</t>
  </si>
  <si>
    <t>[Barnes, David K. A.; Sands, Chester J.] British Antarctic Survey, NERC, Cambridge, England; [Richardson, Andrew] Ascens Isl Govt, Conservat Dept, Georgetown, Scotland; [Smith, Ness] South Atlantic Environm Res Inst, Stanley, Falkland Island</t>
  </si>
  <si>
    <t>UK Research &amp; Innovation (UKRI); Natural Environment Research Council (NERC); NERC British Antarctic Survey</t>
  </si>
  <si>
    <t>Barnes, DKA (corresponding author), British Antarctic Survey, NERC, Cambridge, England.</t>
  </si>
  <si>
    <t>dkab@bas.ac.uk</t>
  </si>
  <si>
    <t>National Geographic Pristine Seas; JNCC; NERC [bas0100036, NE/R000107/1] Funding Source: UKRI</t>
  </si>
  <si>
    <t>National Geographic Pristine Seas(National Geographic Society); JNCC; NERC(UK Research &amp; Innovation (UKRI)Natural Environment Research Council (NERC))</t>
  </si>
  <si>
    <t>National Geographic Pristine Seas funded one of the two expeditions, whilst Blue Marine Foundation funded the other. JNCC and SAERI commissioned and funded the analyses.</t>
  </si>
  <si>
    <t>NOV 7</t>
  </si>
  <si>
    <t>10.3389/fmars.2019.00663</t>
  </si>
  <si>
    <t>JK5AU</t>
  </si>
  <si>
    <t>WOS:000494856800001</t>
  </si>
  <si>
    <t>Solomon, S</t>
  </si>
  <si>
    <t>Solomon, Susan</t>
  </si>
  <si>
    <t>The discovery of the Antarctic ozone hole</t>
  </si>
  <si>
    <t>NATURE</t>
  </si>
  <si>
    <t>DESTRUCTION</t>
  </si>
  <si>
    <t>[Solomon, Susan] MIT, Dept Earth Atmospher &amp; Planetary Sci, Cambridge, MA 02139 USA</t>
  </si>
  <si>
    <t>Massachusetts Institute of Technology (MIT)</t>
  </si>
  <si>
    <t>Solomon, S (corresponding author), MIT, Dept Earth Atmospher &amp; Planetary Sci, Cambridge, MA 02139 USA.</t>
  </si>
  <si>
    <t>solos@mit.edu</t>
  </si>
  <si>
    <t>0028-0836</t>
  </si>
  <si>
    <t>1476-4687</t>
  </si>
  <si>
    <t>Nature</t>
  </si>
  <si>
    <t>10.1038/d41586-019-02837-5</t>
  </si>
  <si>
    <t>JM4AT</t>
  </si>
  <si>
    <t>WOS:000496159900027</t>
  </si>
  <si>
    <t>Smith, N; Keatley, D; Sandal, GM; Kjaergaard, A; Stoten, O; Facer-Childs, J; Barrett, EC</t>
  </si>
  <si>
    <t>Smith, Nathan; Keatley, David; Sandal, Gro M.; Kjaergaard, Anders; Stoten, Ollie; Facer-Childs, Jamie; Barrett, Emma C.</t>
  </si>
  <si>
    <t>Relations Between Daily Events, Coping Strategies and Health During a British Army Ski Expedition Across Antarctica</t>
  </si>
  <si>
    <t>ENVIRONMENT AND BEHAVIOR</t>
  </si>
  <si>
    <t>daily events; coping strategies; health monitoring; Antarctic expedition; military</t>
  </si>
  <si>
    <t>SUBJECTIVE VITALITY; NEGATIVE AFFECT; POLAR; PERSONALITY; VALIDATION; EMOTION; SELF; ENVIRONMENTS; PERFORMANCE; EXPERIENCES</t>
  </si>
  <si>
    <t>Expedition teams operating in Polar environments are exposed to a range of environmental, psychological, and social challenges. How a person responds to these demands has implications for their physical and psychological health. In this study, we examined relations between the daily events encountered, coping strategies used, and markers of physical and psychological health in a team of six British Army soldiers (one serving and five reservists) completing a 68-day ski-traverse of the Antarctic continent. In general, daily reports indicated a largely adaptive response to the expedition. There were fluctuations in the events encountered, coping strategies used, and experiences of physical and psychological health throughout the endeavor. Reported daily events and coping strategies explained variability in the positive and negative fluctuations of physical and psychological health. Findings from this study can inform health decision-making of groups operating in Polar environments and others living and working under similar constraints.</t>
  </si>
  <si>
    <t>[Smith, Nathan; Barrett, Emma C.] Univ Manchester, Psychol Secur &amp; Trust, Manchester, Lancs, England; [Keatley, David] Murdoch Univ, Criminol, Perth, WA, Australia; [Keatley, David] Murdoch Univ, Crime Sci, Perth, WA, Australia; [Sandal, Gro M.] Univ Bergen, Psychol, Bergen, Norway; [Kjaergaard, Anders] Danish Def, Aalborg, Denmark; [Stoten, Ollie] Bournemouth Hosp, Emergency Dept, Bournemouth, Dorset, England; [Facer-Childs, Jamie] St George Hosp, Emergency Med, London, England</t>
  </si>
  <si>
    <t>University of Manchester; Murdoch University; Murdoch University; University of Bergen; St Georges University London</t>
  </si>
  <si>
    <t>Smith, N (corresponding author), Univ Manchester, Sch Social Sci, Oxford Rd, Manchester M13 9PL, Lancs, England.</t>
  </si>
  <si>
    <t>nathan.smith@manchester.ac.uk</t>
  </si>
  <si>
    <t>Sandal, Gro Mjeldheim/0000-0001-9017-9654; Stoten, Oliver/0000-0001-7933-9805</t>
  </si>
  <si>
    <t>SAGE PUBLICATIONS INC</t>
  </si>
  <si>
    <t>THOUSAND OAKS</t>
  </si>
  <si>
    <t>2455 TELLER RD, THOUSAND OAKS, CA 91320 USA</t>
  </si>
  <si>
    <t>0013-9165</t>
  </si>
  <si>
    <t>1552-390X</t>
  </si>
  <si>
    <t>ENVIRON BEHAV</t>
  </si>
  <si>
    <t>Environ. Behav.</t>
  </si>
  <si>
    <t>10.1177/0013916519886367</t>
  </si>
  <si>
    <t>Environmental Studies; Psychology, Multidisciplinary</t>
  </si>
  <si>
    <t>Environmental Sciences &amp; Ecology; Psychology</t>
  </si>
  <si>
    <t>PG7FS</t>
  </si>
  <si>
    <t>WOS:000496052500001</t>
  </si>
  <si>
    <t>Snopková, K; Cejková, D; Dufková, K; Sedlácek, I; Smajs, D</t>
  </si>
  <si>
    <t>Snopkova, Katerina; Cejkova, Darina; Dufkova, Kristyna; Sedlacek, Ivo; Smajs, David</t>
  </si>
  <si>
    <t>Genome sequences of two Antarctic strains of Pseudomonas prosekii: insights into adaptation to extreme conditions</t>
  </si>
  <si>
    <t>ARCHIVES OF MICROBIOLOGY</t>
  </si>
  <si>
    <t>Pseudomonas prosekii; Extremophile; Psychrotolerant; Cold adaptation; James Ross Island; Antarctica</t>
  </si>
  <si>
    <t>SP NOV.; PSYCHROTOLERANT BACTERIUM; PSYCHROTROPHIC BACTERIUM; AERUGINOSA</t>
  </si>
  <si>
    <t>Pseudomonas prosekii is a recently described species isolated exclusively from James Ross Island close to the Antarctic Peninsula at 64 degrees south latitude. Here, we present two P. prosekii genome sequences and their analyses with respect to phylogeny, low temperature adaptation, and potential biotechnological applications. The genome of P. prosekii P2406 comprised 5,896,482 bp and 5324 genes (GC content of 59.71%); the genome of P. prosekii P2673 consisted of 6,087,670 bp and 5511 genes (GC content of 59.50%). Whole genome sequence comparisons confirmed a close relationship between both investigated strains and strain P. prosekii LMG 26867(T). Gene mining revealed the presence of genes involved in stress response, genes encoding cold shock proteins, oxidative stress proteins, osmoregulation proteins, genes for the synthesis of protection molecules, and siderophores. Comparative genome analysis of P. prosekii and P. aeruginosa PAO1 highlighted differences in genome content between extremophile species and a mesophilic opportunistic pathogen.</t>
  </si>
  <si>
    <t>[Snopkova, Katerina; Dufkova, Kristyna; Smajs, David] Masaryk Univ, Fac Med, Dept Biol, Kamenice 5,Bldg A6, Brno 62500, Czech Republic; [Cejkova, Darina] Vet Res Inst, Dept Immunol, Hudcova 70, Brno 62100, Czech Republic; [Sedlacek, Ivo] Masaryk Univ, Fac Sci, Dept Expt Biol, Czech Collect Microorganisms, Kamenice 5, Brno 62500, Czech Republic</t>
  </si>
  <si>
    <t>Masaryk University Brno; Czech Veterinary Research Institute; Masaryk University Brno</t>
  </si>
  <si>
    <t>Smajs, D (corresponding author), Masaryk Univ, Fac Med, Dept Biol, Kamenice 5,Bldg A6, Brno 62500, Czech Republic.</t>
  </si>
  <si>
    <t>dsmajs@med.muni.cz</t>
  </si>
  <si>
    <t>Sedlacek, Ivo/IWU-8828-2023; Snopkova, Katerina/AGF-0056-2022; Snopková, Kateřina/AAI-3525-2021; Dufková, Kristýna/ABE-2264-2020</t>
  </si>
  <si>
    <t>Snopkova, Katerina/0000-0001-5067-2022; Snopková, Kateřina/0000-0001-5067-2022; Dufková, Kristýna/0000-0003-1254-8973; Cejkova, Darina/0000-0002-6989-6330</t>
  </si>
  <si>
    <t>Grant Agency of the Czech Republic [GA16-21649S]; Czech Ministry of Agriculture [RVO0518]; MEYS CR [LM2015078]; NCMG (MEYS CR) [LM2015091]</t>
  </si>
  <si>
    <t>Grant Agency of the Czech Republic(Grant Agency of the Czech RepublicNorwegian Agency for Development Cooperation - NORAD); Czech Ministry of Agriculture(Ministry of Agriculture, Czech Republic); MEYS CR; NCMG (MEYS CR)</t>
  </si>
  <si>
    <t>This work was partly supported by the Grant Agency of the Czech Republic (GA16-21649S) to DS. DC was supported by RVO0518 of the Czech Ministry of Agriculture. We thank the infrastructure of the J.G. Mendel Czech Antarctic Station (supported by the MEYS CR, Project LM2015078 CzechPolar2) and the Core Facility Genomics of CEITEC supported by the NCMG research infrastructure (LM2015091 funded by MEYS CR) for their support with obtaining the scientific data presented in this paper.</t>
  </si>
  <si>
    <t>0302-8933</t>
  </si>
  <si>
    <t>1432-072X</t>
  </si>
  <si>
    <t>ARCH MICROBIOL</t>
  </si>
  <si>
    <t>Arch. Microbiol.</t>
  </si>
  <si>
    <t>10.1007/s00203-019-01755-4</t>
  </si>
  <si>
    <t>KT6XU</t>
  </si>
  <si>
    <t>WOS:000494779700002</t>
  </si>
  <si>
    <t>Bannister, D; King, JC</t>
  </si>
  <si>
    <t>Bannister, Daniel; King, John C.</t>
  </si>
  <si>
    <t>The characteristics and temporal variability of fohn winds at King Edward Point, South Georgia</t>
  </si>
  <si>
    <t>climate change; Fohn; orography; South Georgia; Southern Ocean; Subantarctic</t>
  </si>
  <si>
    <t>HOLOCENE GLACIER FLUCTUATIONS; SURFACE WINDS; ANNULAR MODE; FOEHN WINDS; IMPACT; CLIMATE; PARAMETERIZATION; TEMPERATURE; TRENDS; RECORD</t>
  </si>
  <si>
    <t>The mountainous subantarctic island of South Georgia lies within the belt of strong westerly winds that blow around the Southern Ocean. Interaction of the prevailing circumpolar westerly winds with the island's central mountain chain, which rises to nearly 3,000 m, generates warm, dry fohn winds on the downwind side of the island, which are a significant feature of the local climate. We make use of 10 years of automatic weather station observations from King Edward Point (KEP), on the northeastern (climatologically downwind) coast of South Georgia, to develop a climatology of the occurrence and properties of fohn winds in this region. Using objective criteria to identify the onset and cessation of fohn, we find that KEP experiences fohn conditions for around 30% of the time. Fohn events last for about 30 hr on average and are associated with significant increases in temperature and wind speed, and decreases in relative humidity. On average, a fohn event is observed every 4 days, with little seasonal variation seen in the frequency of occurrence. However, fohn events observed during the austral summer season are, on average, both longer and more intense (as measured by changes in temperature, relative humidity, and wind speed) than those occurring in other seasons. The fraction of the time for which fohn conditions are observed at KEP increases (decreases) during months when the prevailing westerlies are strengthened (weakened). Monthly mean temperatures at KEP are positively correlated with the fohn fraction but variations in the latter only explain 16% of the variance of monthly mean temperature. We conclude that, while fohn plays an important role in shaping the local climate of South Georgia, other processes may be of greater importance in controlling regional climate variability and change.</t>
  </si>
  <si>
    <t>[Bannister, Daniel; King, John C.] British Antarctic Survey, Madingley Rd, Cambridge CB3 0ET, England</t>
  </si>
  <si>
    <t>King, JC (corresponding author), British Antarctic Survey, Madingley Rd, Cambridge CB3 0ET, England.</t>
  </si>
  <si>
    <t>jcki@bas.ac.uk</t>
  </si>
  <si>
    <t>King, John/0000-0003-3315-7568; Bannister, Daniel/0000-0002-2982-3751</t>
  </si>
  <si>
    <t>Natural Environment Research Council [NE/K012614/1]; NERC [bas0100032, NE/K012614/1] Funding Source: UKRI</t>
  </si>
  <si>
    <t>Natural Environment Research Council(UK Research &amp; Innovation (UKRI)Natural Environment Research Council (NERC)); NERC(UK Research &amp; Innovation (UKRI)Natural Environment Research Council (NERC))</t>
  </si>
  <si>
    <t>Natural Environment Research Council, Grant/Award Number: NE/K012614/1</t>
  </si>
  <si>
    <t>10.1002/joc.6366</t>
  </si>
  <si>
    <t>WOS:000494649700001</t>
  </si>
  <si>
    <t>Rohling, EJ; Hibbert, FD; Grant, KM; Galaasen, EV; Irvali, N; Kleiven, HF; Marino, G; Ninnemann, U; Roberts, AP; Rosenthal, Y; Schulz, H; Williams, FH; Yu, JM</t>
  </si>
  <si>
    <t>Rohling, Eelco J.; Hibbert, Fiona D.; Grant, Katharine M.; Galaasen, Eirik, V; Irvali, Nil; Kleiven, Helga F.; Marino, Gianluca; Ninnemann, Ulysses; Roberts, Andrew P.; Rosenthal, Yair; Schulz, Hartmut; Williams, Felicity H.; Yu, Jimin</t>
  </si>
  <si>
    <t>Asynchronous Antarctic and Greenland ice-volume contributions to the last interglacial sea-level highstand</t>
  </si>
  <si>
    <t>SOUTHERN-OCEAN; PROBABILISTIC ASSESSMENT; GRANITIC SEYCHELLES; SHEET RETREAT; CLIMATE; CONSTRAINTS; TEMPERATURE; VARIABILITY; ATLANTIC; INSTABILITY</t>
  </si>
  <si>
    <t>The last interglacial (LIG; similar to 130 to similar to 118 thousand years ago, ka) was the last time global sea level rose well above the present level. Greenland Ice Sheet (GrIS) contributions were insufficient to explain the highstand, so that substantial Antarctic Ice Sheet (AIS) reduction is implied. However, the nature and drivers of GrIS and AIS reductions remain enigmatic, even though they may be critical for understanding future sea-level rise. Here we complement existing records with new data, and reveal that the LIG contained an AIS-derived highstand from similar to 129.5 to similar to 125 ka, a lowstand centred on 125-124 ka, and joint AIS + GrIS contributions from similar to 123.5 to similar to 118 ka. Moreover, a dual substructure within the first highstand suggests temporal variability in the AIS contributions. Implied rates of sea-level rise are high (up to several meters per century; m c(-1)), and lend credibility to high rates inferred by ice modelling under certain ice-shelf instability parameterisations.</t>
  </si>
  <si>
    <t>[Rohling, Eelco J.; Hibbert, Fiona D.; Grant, Katharine M.; Marino, Gianluca; Roberts, Andrew P.; Williams, Felicity H.; Yu, Jimin] Australian Natl Univ, Res Sch Earth Sci, Canberra, ACT 2601, Australia; [Rohling, Eelco J.] Univ Southampton, Natl Oceanog Ctr, Ocean &amp; Earth Sci, Southampton SO14 3ZH, Hants, England; [Galaasen, Eirik, V; Irvali, Nil; Kleiven, Helga F.; Ninnemann, Ulysses] Univ Bergen, Dept Earth Sci, Allegaten 41, N-5007 Bergen, Norway; [Galaasen, Eirik, V; Irvali, Nil; Kleiven, Helga F.; Ninnemann, Ulysses] Univ Bergen, Bjerknes Ctr Climate Res, Allegaten 41, N-5007 Bergen, Norway; [Marino, Gianluca] Univ Vigo, Dept Marine Geosci &amp; Terr Planning, Vigo 36310, Spain; [Rosenthal, Yair] Rutgers State Univ, Inst Marine &amp; Coastal Sci, New Brunswick, NJ 08903 USA; [Schulz, Hartmut] Univ Tubingen, Dept Geol &amp; Paleontol, Sigwartstr 10, D-7400 Tubingen, Germany</t>
  </si>
  <si>
    <t>Australian National University; NERC National Oceanography Centre; University of Southampton; University of Bergen; Bjerknes Centre for Climate Research; University of Bergen; Universidade de Vigo; Rutgers University System; Rutgers University New Brunswick; Eberhard Karls University of Tubingen</t>
  </si>
  <si>
    <t>Rohling, EJ; Hibbert, FD (corresponding author), Australian Natl Univ, Res Sch Earth Sci, Canberra, ACT 2601, Australia.;Rohling, EJ (corresponding author), Univ Southampton, Natl Oceanog Ctr, Ocean &amp; Earth Sci, Southampton SO14 3ZH, Hants, England.</t>
  </si>
  <si>
    <t>eelco.rohling@anu.edu.au; fiona.hibbert@anu.edu.au</t>
  </si>
  <si>
    <t>Rohling, Eelco J/B-9736-2008; Hibbert, Fiona/ABA-8606-2021; Irvalı, Nil/ABC-2468-2021; Roberts, Andrew P/E-6422-2010; Marino, Gianluca/AAN-3969-2020; Yu, Jimin/I-7770-2012</t>
  </si>
  <si>
    <t>Rohling, Eelco J/0000-0001-5349-2158; Hibbert, Fiona/0000-0002-3686-6514; Irvalı, Nil/0000-0001-5723-5781; Marino, Gianluca/0000-0001-9795-5337; Williams, Felicity/0000-0003-1222-6587; Galaasen, Eirik Vinje/0000-0002-6851-9066; Kleiven, Kikki/0000-0002-4956-6182; Roberts, Andrew P./0000-0003-0566-8117; Grant, Katharine/0000-0003-4299-5504; Yu, Jimin/0000-0002-3896-1777</t>
  </si>
  <si>
    <t>Australian Research Council Laureate Fellowship [FL120100050]; RCN project THRESHOLDS [25496]; University of Vigo; Australian Research Council [FL120100050] Funding Source: Australian Research Council; NERC [NE/S00954X/1] Funding Source: UKRI</t>
  </si>
  <si>
    <t>Australian Research Council Laureate Fellowship(Australian Research Council); RCN project THRESHOLDS; University of Vigo; Australian Research Council(Australian Research Council); NERC(UK Research &amp; Innovation (UKRI)Natural Environment Research Council (NERC))</t>
  </si>
  <si>
    <t>This research contributes to Australian Research Council Laureate Fellowship FL120100050 (to E.J.R.). UiB contribution (to E.V.G., N.I., K.K. and U.N.) supported by RCN project THRESHOLDS (25496). G.M. acknowledges generous support from the University of Vigo. All plotted new data will be made openly available via http://www.highstand.org/erohling/ejrhome.htm.</t>
  </si>
  <si>
    <t>NOV 6</t>
  </si>
  <si>
    <t>10.1038/s41467-019-12874-3</t>
  </si>
  <si>
    <t>JK1VT</t>
  </si>
  <si>
    <t>WOS:000494635900001</t>
  </si>
  <si>
    <t>Erbe, C; Dähne, M; Gordon, J; Herata, H; Houser, DS; Koschinski, S; Leaper, R; McCauley, R; Miller, B; Müller, M; Murray, A; Oswald, JN; Scholik-Schlomer, AR; Schuster, M; Van Opzeeland, IC; Janik, VM</t>
  </si>
  <si>
    <t>Erbe, Christine; Daehne, Michael; Gordon, Jonathan; Herata, Heike; Houser, Dorian S.; Koschinski, Sven; Leaper, Russell; McCauley, Robert; Miller, Brian; Mueller, Mirjam; Murray, Anita; Oswald, Julie N.; Scholik-Schlomer, Amy R.; Schuster, Max; Van Opzeeland, Ilse C.; Janik, Vincent M.</t>
  </si>
  <si>
    <t>Managing the Effects of Noise From Ship Traffic, Seismic Surveying and Construction on Marine Mammals in Antarctica</t>
  </si>
  <si>
    <t>underwater noise; Antarctica; marine mammal; Antarctic Treaty; ship; seismic survey; noise management</t>
  </si>
  <si>
    <t>SOUTHERN ELEPHANT SEALS; WHALE ORCINUS-ORCA; LIFE-HISTORY STAGE; MIROUNGA-LEONINA; BEAKED-WHALES; BEHAVIORAL-RESPONSES; GLOBICEPHALA-MELAS; UNDERWATER NOISE; STABLE-ISOTOPES; HUMPBACK WHALE</t>
  </si>
  <si>
    <t>The Protocol on Environmental Protection of the Antarctic Treaty stipulates that the protection of the Antarctic environment and associated ecosystems be fundamentally considered in the planning and conducting of all activities in the Antarctic Treaty area. One of the key pollutants created by human activities in the Antarctic is noise, which is primarily caused by ship traffic (from tourism, fisheries, and research), but also by geophysical research (e.g., seismic surveys) and by research station support activities (including construction). Arguably, amongst the species most vulnerable to noise are marine mammals since they specialize in using sound for communication, navigation and foraging, and therefore have evolved the highest auditory sensitivity among marine organisms. Reported effects of noise on marine mammals in lower-latitude oceans include stress, behavioral changes such as avoidance, auditory masking, hearing threshold shifts, and- in extreme cases-death. Eight mysticete species, 10 odontocete species, and six pinniped species occur south of 60 degrees S (i.e., in the Southern or Antarctic Ocean). For many of these, the Southern Ocean is a key area for foraging and reproduction. Yet, little is known about how these species are affected by noise. We review the current prevalence of anthropogenic noise and the distribution of marine mammals in the Southern Ocean, and the current research gaps that prevent us from accurately assessing noise impacts on Antarctic marine mammals. A questionnaire given to 29 international experts on marine mammals revealed a variety of research needs. Those that received the highest rankings were (1) improved data on abundance and distribution of Antarctic marine mammals, (2) hearing data for Antarctic marine mammals, in particular a mysticete audiogram, and (3) an assessment of the effectiveness of various noise mitigation options. The management need with the highest score was a refinement of noise exposure criteria. Environmental evaluations are a requirement before conducting activities in the Antarctic. Because of a lack of scientific data on impacts, requirements and noise thresholds often vary between countries that conduct these evaluations, leading to different standards across countries. Addressing the identified research needs will help to implement informed and reasonable thresholds for noise production in the Antarctic and help to protect the Antarctic environment.</t>
  </si>
  <si>
    <t>[Erbe, Christine; McCauley, Robert; Murray, Anita] Curtin Univ, Ctr Marine Sci &amp; Technol, Perth, WA, Australia; [Daehne, Michael] German Oceanog Museum, Stralsund, Germany; [Gordon, Jonathan; Oswald, Julie N.; Janik, Vincent M.] Univ St Andrews, Scottish Oceans Inst, Sea Mammal Res Unit, St Andrews, Fife, Scotland; [Herata, Heike; Mueller, Mirjam] German Environm Agcy, Dessau Rosslau, Germany; [Houser, Dorian S.] Natl Marine Mammal Fdn, San Diego, CA USA; [Koschinski, Sven] Meereszoologies, Nehmten, Germany; [Leaper, Russell] Int Fund Anim Welf, London, England; [Miller, Brian] Australian Marine Mammal Ctr, Australian Antarctic Div, Kingston, Tas, Australia; [Scholik-Schlomer, Amy R.] NOAA Fisheries, Off Protected Resources, Silver Spring, MD USA; [Schuster, Max] DW ShipConsult GmbH, Schwentinental, Germany; [Van Opzeeland, Ilse C.] Helmholtz Ctr Polar &amp; Marine Res, Alfred Wegener Inst, Ocean Acoust Lab, Bremerhaven, Germany; [Van Opzeeland, Ilse C.] Carl von Ossietzky Univ Oldenburg, Helmholtz Inst Funct Marine Biodivers, Oldenburg, Germany</t>
  </si>
  <si>
    <t>Curtin University; University of St Andrews; Australian Antarctic Division; National Oceanic Atmospheric Admin (NOAA) - USA; Helmholtz Association; Alfred Wegener Institute, Helmholtz Centre for Polar &amp; Marine Research; Carl von Ossietzky Universitat Oldenburg</t>
  </si>
  <si>
    <t>Erbe, C (corresponding author), Curtin Univ, Ctr Marine Sci &amp; Technol, Perth, WA, Australia.</t>
  </si>
  <si>
    <t>c.erbe@curtin.edu.au</t>
  </si>
  <si>
    <t>Erbe, Christine/AAA-3801-2021; Houser, Dorian/AAG-6359-2020</t>
  </si>
  <si>
    <t>Erbe, Christine/0000-0002-7884-9907; Janik, Vincent/0000-0001-7894-0121; Oswald, Julie N/0000-0002-1524-9592; Miller, Brian/0000-0001-7615-3044</t>
  </si>
  <si>
    <t>German Environment Agency</t>
  </si>
  <si>
    <t>The workshop on Antarctic noise and effects on marine mammals was funded by the German Environment Agency.</t>
  </si>
  <si>
    <t>10.3389/fmars.2019.00647</t>
  </si>
  <si>
    <t>JK3HJ</t>
  </si>
  <si>
    <t>WOS:000494735900001</t>
  </si>
  <si>
    <t>Conrad, S; Wuttig, K; Jansen, N; Rodushkin, I; Ingri, J</t>
  </si>
  <si>
    <t>Conrad, Sarah; Wuttig, Kathrin; Jansen, Nils; Rodushkin, Ilia; Ingri, Johan</t>
  </si>
  <si>
    <t>The Stability of Fe-Isotope Signatures During Low Salinity Mixing in Subarctic Estuaries</t>
  </si>
  <si>
    <t>AQUATIC GEOCHEMISTRY</t>
  </si>
  <si>
    <t>Fe-isotopes; Fe geochemistry; Dissolved and particulate Fe; Organically complexed Fe; Fe(oxy)hydroxides; Salinity gradient; Spring flood</t>
  </si>
  <si>
    <t>SUSPENDED PARTICULATE MATTER; NATURAL ORGANIC-MATTER; IRON SPECIATION; TRACE-ELEMENTS; BOREAL RIVER; TEMPORAL VARIATIONS; MASS-SPECTROMETRY; MAJOR ELEMENTS; DISSOLVED IRON; SURFACE WATERS</t>
  </si>
  <si>
    <t>We have studied iron (Fe)-isotope signals in particles (&gt; 0.22 mu m) and the dissolved phase (&lt; 0.22 mu m) in two subarctic, boreal rivers, their estuaries and the adjacent sea in northern Sweden. Both rivers, the Rane and the Kalix, are enriched in Fe and organic carbon (up to 29 mu mol/L and up to 730 mu mol/L, respectively). Observed changes in the particulate and dissolved phase during spring flood in May suggest different sources of Fe to the rivers during different seasons. While particles show a positive Fe-isotope signal during winter, during spring flood, the values are negative. Increased discharge due to snowmelt in the boreal region is most times accompanied by flushing of the organic-rich sub-surface layers. These upper podzol soil layers have been shown to be a source for Fe-organic carbon aggregates with a negative Fe-isotope signal. During winter, the rivers are mostly fed by deep groundwater, where Fe occurs as Fe(oxy)hydroxides, with a positive Fe-isotope signal. Flocculation during initial estuarine mixing does not change the Fe-isotope compositions of the two phases. Data indicate that the two groups of Fe aggregates flocculate diversely in the estuaries due to differences in their surface structure. Within the open sea, the particulate phase showed heavier delta Fe-56 values than in the estuaries. Our data indicate the flocculation of the negative Fe-isotope signal in a low salinity environment, due to changes in the ionic strength and further the increase of pH.</t>
  </si>
  <si>
    <t>[Conrad, Sarah; Ingri, Johan] Lulea Univ Technol, Appl Geochem, S-97187 Lulea, Sweden; [Wuttig, Kathrin; Jansen, Nils] GEOMAR Helmholtz Ctr Ocean Res Kiel, Dusternbrooker Weg 20, D-24105 Kiel, Germany; [Wuttig, Kathrin] Univ Tasmania, Antarctic Climate &amp; Ecosyst Cooperat Res Ctr, Private Bag 80, Hobart, Tas 7001, Australia; [Jansen, Nils] Univ Tasmania, Inst Marine &amp; Antarctic Studies, Hobart, Tas, Australia; [Rodushkin, Ilia] ALS Scandinavia AB, ALS Lab Grp, Aurorum 10, S-97175 Lulea, Sweden</t>
  </si>
  <si>
    <t>Lulea University of Technology; Helmholtz Association; GEOMAR Helmholtz Center for Ocean Research Kiel; University of Tasmania; Antarctic Climate &amp; Ecosystems Cooperative Research Centre (ACE CRC); University of Tasmania</t>
  </si>
  <si>
    <t>Conrad, S (corresponding author), Lulea Univ Technol, Appl Geochem, S-97187 Lulea, Sweden.</t>
  </si>
  <si>
    <t>sarah.conrad@ltu.se; kathrin.wuttig@utas.edu.au; dr.nils.jansen@gmail.com; ilia.rodushkin@alsglobal.com; johan.ingri@ltu.se</t>
  </si>
  <si>
    <t>Rodushkin, Ilia/JCF-0972-2023; Conrad, Sarah/AAL-1249-2021; Wuttig, Kathrin/F-5793-2015</t>
  </si>
  <si>
    <t>Rodushkin, Ilia/0000-0003-4505-4590; Wuttig, Kathrin/0000-0003-4010-5918; Conrad, Sarah/0000-0002-7313-5833</t>
  </si>
  <si>
    <t>MetTrans, (a European Union Seventh Framework Marie Curie ITN) [290336]; Bio4Energy, a Strategic Research Environment by Swedish government; Lulea University of Technology</t>
  </si>
  <si>
    <t>MetTrans, (a European Union Seventh Framework Marie Curie ITN); Bio4Energy, a Strategic Research Environment by Swedish government; Lulea University of Technology</t>
  </si>
  <si>
    <t>Open access funding provided by Lulea University of Technology. This study was funded by MetTrans, (a European Union Seventh Framework Marie Curie ITN) [Grant No. 290336]. We thank Bio4Energy, a Strategic Research Environment appointed by the Swedish government, for supporting this work. We are grateful to the captains and crew of RV KBV005 and RV Fyrbyggaren, and Susanne Bauer and Simon Ponter, for their assistance during work at sea. We appreciate the help of Simon Herzog and the MetTrans group during the different sampling campaigns. Furthermore, we would like to thank the editors and reviewers for their time and work they spent to help to improve this manuscript.</t>
  </si>
  <si>
    <t>1380-6165</t>
  </si>
  <si>
    <t>1573-1421</t>
  </si>
  <si>
    <t>AQUAT GEOCHEM</t>
  </si>
  <si>
    <t>Aquat. Geochem.</t>
  </si>
  <si>
    <t>5-6</t>
  </si>
  <si>
    <t>10.1007/s10498-019-09360-z</t>
  </si>
  <si>
    <t>JP7LW</t>
  </si>
  <si>
    <t>WOS:000494758500001</t>
  </si>
  <si>
    <t>Bogan, SN; Place, SP</t>
  </si>
  <si>
    <t>Bogan, Samuel N.; Place, Sean P.</t>
  </si>
  <si>
    <t>Accelerated evolution at chaperone promoters among Antarctic notothenioid fishes</t>
  </si>
  <si>
    <t>BMC EVOLUTIONARY BIOLOGY</t>
  </si>
  <si>
    <t>Comparative genomics; Heat shock proteins; Notothen; Promoters; cis-regulation; Gene regulation; Environmental adaptation</t>
  </si>
  <si>
    <t>CELLULAR STRESS-RESPONSE; FACTOR-BINDING SITES; HEAT-SHOCK RESPONSE; RNA-SEQ REVEALS; GENE-EXPRESSION; CONSTITUTIVE EXPRESSION; FLUCONAZOLE RESISTANCE; TREMATOMUS-BERNACCHII; REGULATORY ACTIVITIES; PURIFYING SELECTION</t>
  </si>
  <si>
    <t>Background Antarctic fishes of the Notothenioidei suborder constitutively upregulate multiple inducible chaperones, a highly derived adaptation that preserves proteostasis in extreme cold, and represent a system for studying the evolution of gene frontloading. We screened for Hsf1-binding sites, as Hsf1 is a master transcription factor of the heat shock response, and highly-conserved non-coding elements within proximal promoters of chaperone genes across 10 Antarctic notothens, 2 subpolar notothens, and 17 perciform fishes. We employed phylogenetic models of molecular evolution to determine whether (i) changes in motifs associated with Hsf1-binding and/or (ii) relaxed purifying selection or exaptation at ancestral cis-regulatory elements coincided with the evolution of chaperone frontloading in Antarctic notothens. Results Antarctic notothens exhibited significantly fewer Hsf1-binding sites per bp at chaperone promoters than subpolar notothens and Serranoidei, the most closely-related suborder to Notothenioidei included in this study. 90% of chaperone promoters exhibited accelerated substitution rates among Antarctic notothens relative to other perciformes. The proportion of bases undergoing accelerated evolution (i) was significantly greater in Antarctic notothens than in subpolar notothens and Perciformes in 70% of chaperone genes and (ii) increased among bases that were more conserved among perciformes. Lastly, we detected evidence of relaxed purifying selection and exaptation acting on ancestrally conserved cis-regulatory elements in the Antarctic notothen lineage and its major branches. Conclusion A large degree of turnover has occurred in Notothenioidei at chaperone promoter regions that are conserved among perciform fishes following adaptation to the cooling of the Southern Ocean. Additionally, derived reductions in Hsf1-binding site frequency suggest cis-regulatory modifications to the classical heat shock response. Of note, turnover events within chaperone promoters were less frequent in the ancestral node of Antarctic notothens relative to younger Antarctic lineages. This suggests that cis-regulatory divergence at chaperone promoters may be greater between Antarctic notothen lineages than between subpolar and Antarctic clades. These findings demonstrate that strong selective forces have acted upon cis-regulatory elements of chaperone genes among Antarctic notothens.</t>
  </si>
  <si>
    <t>[Bogan, Samuel N.; Place, Sean P.] Sonoma State Univ, Dept Biol, Rohnert Pk, CA 94928 USA; [Bogan, Samuel N.] Univ Calif Santa Barbara, Dept Ecol Evolut &amp; Marine Biol, Santa Barbara, CA 93106 USA</t>
  </si>
  <si>
    <t>California State University System; Sonoma State University; University of California System; University of California Santa Barbara</t>
  </si>
  <si>
    <t>Bogan, SN (corresponding author), Sonoma State Univ, Dept Biol, Rohnert Pk, CA 94928 USA.;Bogan, SN (corresponding author), Univ Calif Santa Barbara, Dept Ecol Evolut &amp; Marine Biol, Santa Barbara, CA 93106 USA.</t>
  </si>
  <si>
    <t>snbogan@ucsb.edu</t>
  </si>
  <si>
    <t>Bogan, Samuel/AAN-8542-2020</t>
  </si>
  <si>
    <t>Bogan, Samuel/0000-0003-2244-5169</t>
  </si>
  <si>
    <t>National Science Foundation [PLR 1447291]; CSU COAST Graduate Student Research Award</t>
  </si>
  <si>
    <t>National Science Foundation(National Science Foundation (NSF)); CSU COAST Graduate Student Research Award</t>
  </si>
  <si>
    <t>This work was supported by the National Science Foundation in the form of research grants (PLR 1447291) awarded to SPP and a CSU COAST Graduate Student Research Award to SNB. Both awards provided funds for graduate student support during this project.</t>
  </si>
  <si>
    <t>1471-2148</t>
  </si>
  <si>
    <t>BMC EVOL BIOL</t>
  </si>
  <si>
    <t>BMC Evol. Biol.</t>
  </si>
  <si>
    <t>10.1186/s12862-019-1524-y</t>
  </si>
  <si>
    <t>Evolutionary Biology; Genetics &amp; Heredity</t>
  </si>
  <si>
    <t>JL5PA</t>
  </si>
  <si>
    <t>WOS:000495581700003</t>
  </si>
  <si>
    <t>Ramos, LR; Vollú, RE; Jurelevicius, D; Rosado, AS; Seldin, L</t>
  </si>
  <si>
    <t>Ramos, Larissa R.; Vollu, Renata E.; Jurelevicius, Diogo; Rosado, Alexandre S.; Seldin, Lucy</t>
  </si>
  <si>
    <t>Firmicutes in different soils of Admiralty Bay, King George Island, Antarctica</t>
  </si>
  <si>
    <t>Antarctica; Soils; Firmicutes; Diversity; Clone libraries</t>
  </si>
  <si>
    <t>ENDOSPORE-FORMING BACTERIA; SP-NOV.; DIVERSITY; ENVIRONMENTS</t>
  </si>
  <si>
    <t>The Antarctic continent is known for its harsh conditions, but it can sustain well-adapted microorganisms that are able to survive in these extreme conditions. Different bacterial phyla are found predominating the soils of Antarctic Peninsula including those of King George Island, which is part of the South Shetlands archipelago. It has been previously demonstrated that Firmicutes make up a substantial proportion of the bacterial communities in rhizosphere soils of the region. However, far less is known about the presence of this group of bacteria in different soils of this island. Eleven soil samples of Admiralty Bay, King George Island (Yellow soil, Copacabana, Demay Point, Domeyko Glacier, Hennequin, Ipanema, Machu Picchu, Arctowski, Smok Beach, Punta Plaza and Vale Ulman) were obtained and analysed using culture-independent methods (clone libraries based on the 16S rRNA encoding gene). In total, 582 clones were obtained and those related to Firmicutes were found in all samples varying from 3% (Vale Ulman) to 62.2% (Machu Picchu). The genus Sporosarcina (61.4%) followed by the genus Bacillus (29.1%) predominated among the Firmicutes-related clones. Non-metric multidimensional scaling analysis (NMDS) showed that potassium and phosphorous concentrations influenced the diversity and relative abundance of the different genera belonging to Firmicutes in Copacabana and Arctowski soils, while soil texture was the main driver in Punta Plaza, Machu Picchu, Yellow soil and Demay Point. This study contributes to our current knowledge of the diversity of Firmicutes in different soils across King George Island, Antarctic Peninsula.</t>
  </si>
  <si>
    <t>[Ramos, Larissa R.; Vollu, Renata E.; Jurelevicius, Diogo; Seldin, Lucy] Univ Fed Rio de Janeiro, Lab Genet Microbiana, Inst Microbiol Paulo Goes, BR-21941590 Rio De Janeiro, RJ, Brazil; [Rosado, Alexandre S.] Univ Fed Rio de Janeiro, Lab Ecol Mol Microbiana, Inst Microbiol Paulo Goes, BR-21941590 Rio De Janeiro, RJ, Brazil</t>
  </si>
  <si>
    <t>Universidade Federal do Rio de Janeiro; Universidade Federal do Rio de Janeiro</t>
  </si>
  <si>
    <t>Seldin, L (corresponding author), Univ Fed Rio de Janeiro, Lab Genet Microbiana, Inst Microbiol Paulo Goes, BR-21941590 Rio De Janeiro, RJ, Brazil.</t>
  </si>
  <si>
    <t>lseldin@micro.ufrj.br</t>
  </si>
  <si>
    <t>Rosado, Alexandre Soares/G-1955-2012; Jurelevicius, Diogo A/I-8235-2014; Seldin, Lucy/H-9310-2012</t>
  </si>
  <si>
    <t>Rosado, Alexandre Soares/0000-0001-5135-1394; Seldin, Lucy/0000-0002-4992-6395</t>
  </si>
  <si>
    <t>Conselho Nacional de Desenvolvimento Cientifico e Tecnologico (CNPq); Coordenacao de Aperfeicoamento de Pessoal de Nivel Superior (CAPES); Fundacao de Amparo a Pesquisa do Estado do Rio de Janeiro (FAPERJ)</t>
  </si>
  <si>
    <t>Conselho Nacional de Desenvolvimento Cientifico e Tecnologico (CNPq)(Conselho Nacional de Desenvolvimento Cientifico e Tecnologico (CNPQ)); Coordenacao de Aperfeicoamento de Pessoal de Nivel Superior (CAPES)(Coordenacao de Aperfeicoamento de Pessoal de Nivel Superior (CAPES)); Fundacao de Amparo a Pesquisa do Estado do Rio de Janeiro (FAPERJ)(Fundacao Carlos Chagas Filho de Amparo a Pesquisa do Estado do Rio De Janeiro (FAPERJ))</t>
  </si>
  <si>
    <t>This study was supported by grants from Conselho Nacional de Desenvolvimento Cientifico e Tecnologico (CNPq), Coordenacao de Aperfeicoamento de Pessoal de Nivel Superior (CAPES) and Fundacao de Amparo a Pesquisa do Estado do Rio de Janeiro (FAPERJ). Thanks are due to the Brazilian Antarctic Program, PROANTAR, for the logistic support.</t>
  </si>
  <si>
    <t>10.1007/s00300-019-02596-z</t>
  </si>
  <si>
    <t>WOS:000494375100001</t>
  </si>
  <si>
    <t>Savoca, S; Lo Giudice, A; Papale, M; Mangano, S; Caruso, C; Spanò, N; Michaud, L; Rizzo, C</t>
  </si>
  <si>
    <t>Savoca, Serena; Lo Giudice, Angelina; Papale, Maria; Mangano, Santina; Caruso, Consolazione; Spano, Nunziacarla; Michaud, Luigi; Rizzo, Carmen</t>
  </si>
  <si>
    <t>Antarctic sponges from the Terra Nova Bay (Ross Sea) host a diversified bacterial community</t>
  </si>
  <si>
    <t>PHYLOGENETIC DIVERSITY; CULTURABLE ACTINOBACTERIA; MICROBIAL COMMUNITIES; MARINE SPONGES; SYMBIONTS</t>
  </si>
  <si>
    <t>Sponges represent important habitats for a community of associated (micro)organisms. Even if sponges dominate vast areas of the Antarctic shelves, few investigations have been performed on Antarctic sponge-associated bacteria. Using a culture-dependent approach, the composition of the bacterial communities associated with 14 Antarctic sponge species from different sites within the Terra Nova Bay (Ross Sea) area was analyzed. Overall, isolates were mainly affiliated to Gammaproteobacteria, followed by Actinobacteria and CF group of Bacteroidetes, being the genera Pseudoalteromonas, Arthrobacter and Gillisia predominant, respectively. Alphaproteobacteria and Firmicutes were less represented. Cluster analyses highlighted similarities/differences among the sponge-associated bacterial communities, also in relation to the sampling site. The gammaproteobacterial Pseudoalteromonas sp. SER45, Psychrobacter sp. SER48, and Shewanella sp. SER50, and the actinobacterial Arthrobacter sp. SER44 phylotypes occurred in association with almost all the analyzed sponge species. However, except for SER50, these phylotypes were retrieved also in seawater, indicating that they may be transient within the sponge body. The differences encountered within the bacterial communities may depend on the different sites of origin, highlighting the importance of the habitat in structuring the composition of the associated bacterial assemblages. Our data support the hypothesis of specific ecological interactions between bacteria and Porifera.</t>
  </si>
  <si>
    <t>[Savoca, Serena; Lo Giudice, Angelina; Mangano, Santina; Caruso, Consolazione; Rizzo, Carmen] Univ Messina, Dipartimento Sci Chim Biol Farmaceut &amp; Ambientali, Viale F Stagno DAlcontres 31, I-98166 Messina, Italy; [Lo Giudice, Angelina; Papale, Maria] CNR, ISP, Spianata San Raineri 86, I-98122 Messina, Italy; [Spano, Nunziacarla] AOU Policlin G Martino, Dipartimento Sci Biomed Odontoiatr &amp; Immagini Mor, Torre Biol, Via Consolare Valeria, I-98125 Messina, Italy</t>
  </si>
  <si>
    <t>University of Messina; Consiglio Nazionale delle Ricerche (CNR); Istituto di Scienze Polari (ISP-CNR); University of Messina; AOU Policlinico Gaetano Martino</t>
  </si>
  <si>
    <t>Lo Giudice, A (corresponding author), Univ Messina, Dipartimento Sci Chim Biol Farmaceut &amp; Ambientali, Viale F Stagno DAlcontres 31, I-98166 Messina, Italy.;Lo Giudice, A (corresponding author), CNR, ISP, Spianata San Raineri 86, I-98122 Messina, Italy.</t>
  </si>
  <si>
    <t>angelina.logiudice@cnr.it</t>
  </si>
  <si>
    <t>Rizzo, Carmen/AAA-3075-2022; Papale, Maria/AAC-6049-2020; SAVOCA, SERENA/AAG-7020-2020; Rizzo, Carmen/S-6285-2019</t>
  </si>
  <si>
    <t>SAVOCA, SERENA/0000-0001-5207-6582; Nunziacarla, Spano/0000-0002-8360-4795</t>
  </si>
  <si>
    <t>PNRA (Programma Nazionale di Ricerche in Antartide), Italian Ministry of Education and Research [PNRA 2004/1.6, PNRA16_00020]</t>
  </si>
  <si>
    <t>PNRA (Programma Nazionale di Ricerche in Antartide), Italian Ministry of Education and Research</t>
  </si>
  <si>
    <t>A. Lo Giudice is grateful to G. Odierna (University of Naples, Naples, Italy) and the crew of the M/N Malippo for assistance with sponge collection and to all of the staff at Mario Zucchelli Station for logistical help and support. We thank S. Schiaparelli, M. Pansini and M. Bertolino (University of Genoa, Italy) for sponge identification. This research was supported by grants from PNRA (Programma Nazionale di Ricerche in Antartide), Italian Ministry of Education and Research (Research Projects PNRA 2004/1.6 and PNRA16_00020).</t>
  </si>
  <si>
    <t>10.1038/s41598-019-52491-0</t>
  </si>
  <si>
    <t>JK1VZ</t>
  </si>
  <si>
    <t>WOS:000494636500024</t>
  </si>
  <si>
    <t>Serra-Gonçalves, C; Lavers, JL; Bond, AL</t>
  </si>
  <si>
    <t>Serra-Goncalves, Catarina; Lavers, Jennifer L.; Bond, Alexander L.</t>
  </si>
  <si>
    <t>Global Review of Beich Debris Monitoring and Future Recommendations</t>
  </si>
  <si>
    <t>PLASTIC MARINE DEBRIS; BEACH DEBRIS; MICROPLASTIC POLLUTION; ACCUMULATION; LITTER; ISLAND; ENVIRONMENT; QUANTITIES; ABUNDANCE; REMOTE</t>
  </si>
  <si>
    <t>Marine debris is distributed worldwide and constitutes an increasing threat to our environment. The exponential increase in the level of plastic debris raises numerous concerns and has led to an intensification in plastic monitoring and research. However, global spatial and temporal patterns and knowledge gaps in debris distribution, both on land and at sea, are relatively poorly understood, mainly due to a lack of comprehensive data sets. Here, we critically review the quality of the available information about beach plastic debris worldwide to highlight where the most urgent actions are required and to promote the standardization of reporting metrics and sampling methods among researchers. From a total of 174 studies evaluated, 27.0% reported marine debris densities in metrics that were not comparable. Some studies failed to report basic parameters, such as the date of the sampling (9.8%) or the size of the collected debris (19.5%). Our findings show that current research regarding beach debris requires significant improvement and standardization and would benefit from the adoption of a common reporting framework to promote consensus within the scientific community.</t>
  </si>
  <si>
    <t>[Serra-Goncalves, Catarina] Univ Tasmania, Inst Marine &amp; Antarctic Studies, Sch Rd, Newnham, Tas 7250, Australia; [Lavers, Jennifer L.; Bond, Alexander L.] Univ Tasmania, Inst Marine &amp; Antarctic Studies, 20 Castray Esplanade, Battery Point, Tas 7004, Australia; [Bond, Alexander L.] Nat Hist Museum, Dept Life Sci, Bird Grp, Tring HP23 6AP, Herts, England</t>
  </si>
  <si>
    <t>University of Tasmania; University of Tasmania; Natural History Museum London</t>
  </si>
  <si>
    <t>Lavers, JL (corresponding author), Univ Tasmania, Inst Marine &amp; Antarctic Studies, 20 Castray Esplanade, Battery Point, Tas 7004, Australia.</t>
  </si>
  <si>
    <t>Jennifer.Lavers@utas.edu.au</t>
  </si>
  <si>
    <t>Bond, Alexander L/A-3786-2010; Lavers, Jennifer/IWM-5417-2023; Lavers, Jennifer/O-4831-2017</t>
  </si>
  <si>
    <t>Lavers, Jennifer/0000-0001-7596-6588; Serra-Goncalves, Catarina/0000-0003-0252-9381; Bond, Alexander/0000-0003-2125-7238</t>
  </si>
  <si>
    <t>NOV 5</t>
  </si>
  <si>
    <t>10.1021/acs.est.9b01424</t>
  </si>
  <si>
    <t>JL3YG</t>
  </si>
  <si>
    <t>WOS:000495467500004</t>
  </si>
  <si>
    <t>Liebherr, JK</t>
  </si>
  <si>
    <t>Liebherr, James K.</t>
  </si>
  <si>
    <t>Revision of Tropopterus Solier: A disjunct South American component of the Australo-Pacific Moriomorphini (Coleoptera, Carabidae)</t>
  </si>
  <si>
    <t>DEUTSCHE ENTOMOLOGISCHE ZEITSCHRIFT</t>
  </si>
  <si>
    <t>Austral biogeography; dispersal; genitalic antisymmetty; vicariance; Western Antarctica</t>
  </si>
  <si>
    <t>FOSSIL BEETLE; NOTHOFAGUS; CHILE; GENERA; PLANT; BP</t>
  </si>
  <si>
    <t>Tropopterus Solier, 1849, precinctive to southern South America, is taxonomically revised. Six new species are described: T. peckorum sp. nov., T. robustus sp. nov., T. canaliculus sp. nov., T. trisinuatus sp. nov., T. minimucro sp. nov., and T. fieldianus sp. nov. Merizodus catapileanus Jeannel, 1962, is synonymized with T. montagnei Solier, 1849. Lectotypes are designated for T. montagnei, T. giraudyi Solier, T. duponchelii Solier, and T. nitidus Solier (= T. duponchelii). Tropopterus peruvianus Straneo is noted as a nomen dubium, with its identity and taxonomic placement to be substantiated via neotype designation. Phylogenetic relationships among Tropopterus spp. are hypothesized based on 37 morphological characters, the distributions of which are analyzed under the parsimony criterion, with the cladogram root established between Tropopterus and its adelphotaxon from New South Wales, Australia. Speciation in the group has occurred predominantly at a limited geographical scale relative to the overall generic distribution, with three pairs of sister species sympatric. However phylogenetic divergence between taxa in the more northern, sclerophyllous forest characterized by Nothofagus obliqua (Brisseau de Mirbel) and those occupying the Valdivian and North Patagonian Rain Forest dominated by N. dombeyi (Brisseau de Mirbel) is observed in two instances of phylogenetic history. Using specific collecting locality records, it is shown that Tmpopterus beetles have been collected syntopically and synchronically with species of Glypholoma Jeannel (Coleoptera, Staphylinidae), Anaballetus Newton, Svec &amp; Fikacek (Coleoptera, Leiodidae), Andotypus Spangler (Coleoptera, Hydrophilidae), and Novonothrus Balogh (Acari, Oribatida). These concordant ecological occurrences document a cohesive Nothofagus forest leaf-litter community. These genera plus other Valdivian Rain Forest invertebrate taxa all exhibit an Austral disjunct biogeographical pattern that corroborates trans-Antarctic vicariance between the Nothofagus forests of southern South America and Australia. Male genitalic antisymmetiy is shown to be a synapomorphy of Tropopterus, though the female reproductive tract retains the plesiomorphic orientation observed in all other moriomorphine taxa.</t>
  </si>
  <si>
    <t>[Liebherr, James K.] Cornell Univ, Dept Entomol, Comstock Hall,129 Garden Ave, Ithaca, NY 14853 USA</t>
  </si>
  <si>
    <t>Cornell University</t>
  </si>
  <si>
    <t>Liebherr, JK (corresponding author), Cornell Univ, Dept Entomol, Comstock Hall,129 Garden Ave, Ithaca, NY 14853 USA.</t>
  </si>
  <si>
    <t>JKL5@cornell.edu</t>
  </si>
  <si>
    <t>Liebherr, James/0000-0001-9831-884X</t>
  </si>
  <si>
    <t>N.S.F. [DEB-0315504]</t>
  </si>
  <si>
    <t>N.S.F.(National Science Foundation (NSF))</t>
  </si>
  <si>
    <t>That this study could be undertaken at all is due to the concerted efforts of the dedicated individuals who collected the bulk of the specimens. These collections were commenced by Stewart Peck and Jarmila Kukalova-Peck, and Allan Ashworth, followed by Alfred Newton and Margaret Thayer, and then David Maddison and Kipling W. Will. Collecting series for Tropopterus are generally small, and so numerous other persons who were fortunate enough to collect even a few specimens have added to our current knowledge of this group. I gratefully recognize these people for their lifelong pursuits of biodiversity: Dave Clarke, Lee Herman, Willi Kuschel, A. E. Michelbacher, Luis Pena, Norman Platnick, Ed Ross, Randall T. Schuh, Alexey Solodovnikov, and Roland Thaxter. Peter Johns is thanked for recognizing Merizodus catapileanus Jeannel as a Tropopterus, and so labelling it. I thank Al Newton and Margaret Thayer for information regarding the collecting locality of T. trisinuatus. Martin Husemann educated me regarding the fate of the types of Tropopterus peruvianus, and others. I thank Chris Carleton, Louisiana State University, and Ashley Dowling, University of Arkansas for information regarding the S. L. Straneo Collection. This research was supported by N.S.F. Award DEB-0315504.</t>
  </si>
  <si>
    <t>PENSOFT PUBLISHERS</t>
  </si>
  <si>
    <t>SOFIA</t>
  </si>
  <si>
    <t>12 PROF GEORGI ZLATARSKI ST, SOFIA, 1700, BULGARIA</t>
  </si>
  <si>
    <t>1435-1951</t>
  </si>
  <si>
    <t>1522-2403</t>
  </si>
  <si>
    <t>DEUT ENTOMOL Z</t>
  </si>
  <si>
    <t>Dtsch. Entomol. Z.</t>
  </si>
  <si>
    <t>10.3897/dez.66.38022</t>
  </si>
  <si>
    <t>JL7XN</t>
  </si>
  <si>
    <t>gold, Green Published, Green Submitted</t>
  </si>
  <si>
    <t>WOS:000495742500001</t>
  </si>
  <si>
    <t>Cong, XY; Miao, JK; Zhang, HZ; Sun, WH; Xing, LH; Sun, LR; Zu, L; Gao, Y; Leng, KL</t>
  </si>
  <si>
    <t>Cong, Xin-Yuan; Miao, Jun-Kui; Zhang, Hui-Zhen; Sun, Wei-Hong; Xing, Li-Hong; Sun, Li-Rui; Zu, Lu; Gao, Yan; Leng, Kai-Liang</t>
  </si>
  <si>
    <t>Effects of Drying Methods on the Content, Structural Isomers, and Composition of Astaxanthin in Antarctic Krill</t>
  </si>
  <si>
    <t>ACS OMEGA</t>
  </si>
  <si>
    <t>FATTY-ACIDS; IN-VITRO; HAEMATOCOCCUS-PLUVIALIS; STABILITY; EXTRACTION; ESTERS; CAROTENOIDS; MICROWAVE; LIPIDS; OIL</t>
  </si>
  <si>
    <t>Antarctic krill (Euphausia superba) is one of the important bioresources in Antarctic waters, containing many bioactives (e.g., astaxanthin), which have a highly potential value for commercial exploitation. In this study, the effects of processing methods on the content, structural isomers, and composition of astaxanthins (free astaxanthin and astaxanthin esters) were studied. Three drying methods, comprising freeze-drying, microwave drying, and hot-air drying, were used. Free astaxanthin (Ast), astaxanthin monoesters (AM), and astaxanthin diesters (AD) in boiled krill (control) and dried krill were extracted and analyzed using high-resolution mass spectrometry with ultraviolet detection. After the three processes, total astaxanthin loss ranged from 8.6 to 64.9%, and the AM and AD contents ranged from 78.3 to 16.6 and 168.7 to 90.5 mu g/g, respectively. Compared to other kinds of astaxanthin esters, astaxanthin esters, which linked to eicosapentaenoic acid and docosahexaenoic acid, as well as the Ast, were more easily degraded, and AM was more susceptible to degradation than AD. All-E-astaxanthin easily transformed to the 13Z-astaxanthin than to the 9Z-astaxanthin during the drying process, but the proportions of optical isomers changed due to drying by no more than 5%. The results suggested that freeze-drying, low-power microwave drying (&lt;= 1 kW), and low-temperature hot-air drying (&lt;= 60 degrees C) are optimal drying methods for ensuring the quality of krill products.</t>
  </si>
  <si>
    <t>[Cong, Xin-Yuan] Qingdao Univ, Sch Publ Hlth Qingdao, Qingdao 266071, Shandong, Peoples R China; [Cong, Xin-Yuan; Miao, Jun-Kui; Sun, Wei-Hong; Xing, Li-Hong; Zu, Lu; Gao, Yan; Leng, Kai-Liang] Minist Agr, Yellow Sea Fishery Res Inst, Key Lab Sustainable Dev Polar Fishery, Chinese Acad Fishery Sci, 106 Nanjing Rd, Qingdao 266071, Shandong, Peoples R China; [Zhang, Hui-Zhen] Qingdao Food &amp; Drug Adm, Qingdao 266100, Shandong, Peoples R China; [Zu, Lu; Gao, Yan] Shanghai Ocean Univ, Key Lab Freshwater Aquat Genet Resources, Minist Agr, Shanghai 201306, Peoples R China; [Sun, Li-Rui] Ocean Univ China, Dept Food Sci &amp; Engn, Qingdao 266003, Shandong, Peoples R China; [Miao, Jun-Kui] Qingdao Engn Res Ctr Exploitat Polar Fishery Reso, 106 Nanjing Rd, Qingdao 266071, Shandong, Peoples R China</t>
  </si>
  <si>
    <t>Qingdao University; Chinese Academy of Fishery Sciences; Yellow Sea Fisheries Research Institute, CAFS; Ministry of Agriculture &amp; Rural Affairs; Ministry of Agriculture &amp; Rural Affairs; Shanghai Ocean University; Ocean University of China</t>
  </si>
  <si>
    <t>Sun, WH (corresponding author), Minist Agr, Yellow Sea Fishery Res Inst, Key Lab Sustainable Dev Polar Fishery, Chinese Acad Fishery Sci, 106 Nanjing Rd, Qingdao 266071, Shandong, Peoples R China.</t>
  </si>
  <si>
    <t>swh200122@163.com</t>
  </si>
  <si>
    <t>Li, Binxu/KDO-3273-2024</t>
  </si>
  <si>
    <t>cong, xinyuancong/0000-0002-6665-0335</t>
  </si>
  <si>
    <t>National Key Research and Development Program of China [2018YFC1406800]</t>
  </si>
  <si>
    <t>This work was supported by a grant from the National Key Research and Development Program of China (2018YFC1406800).</t>
  </si>
  <si>
    <t>2470-1343</t>
  </si>
  <si>
    <t>ACS Omega</t>
  </si>
  <si>
    <t>10.1021/acsomega.9b01294</t>
  </si>
  <si>
    <t>Chemistry, Multidisciplinary</t>
  </si>
  <si>
    <t>Chemistry</t>
  </si>
  <si>
    <t>JK8KP</t>
  </si>
  <si>
    <t>WOS:000495089100005</t>
  </si>
  <si>
    <t>Teramoto, M; Hori, T; Saito, S; Miyoshi, Y; Kurita, S; Higashio, N; Matsuoka, A; Kasahara, Y; Kasaba, Y; Takashima, T; Nomura, R; Nosé, M; Fujimoto, A; Tanaka, YM; Shoji, M; Tsugawa, Y; Shinohara, M; Shinohara, I; Blake, JB; Fennell, JF; Claudepierre, SG; Turner, DL; Kletzing, CA; Sormakov, D; Troshichev, O</t>
  </si>
  <si>
    <t>Teramoto, M.; Hori, T.; Saito, S.; Miyoshi, Y.; Kurita, S.; Higashio, N.; Matsuoka, A.; Kasahara, Y.; Kasaba, Y.; Takashima, T.; Nomura, R.; Nose, M.; Fujimoto, A.; Tanaka, Y. -M.; Shoji, M.; Tsugawa, Y.; Shinohara, M.; Shinohara, I.; Blake, J. B.; Fennell, J. F.; Claudepierre, S. G.; Turner, D. L.; Kletzing, C. A.; Sormakov, D.; Troshichev, O.</t>
  </si>
  <si>
    <t>Remote Detection of Drift Resonance Between Energetic Electrons and Ultralow Frequency Waves: Multisatellite Coordinated Observation by Arase and Van Allen Probes</t>
  </si>
  <si>
    <t>CHARGED-PARTICLE BEHAVIOR; OUTER RADIATION BELT; ULF-WAVES; RELATIVISTIC ELECTRONS; GEOMAGNETIC-PULSATIONS; SOLAR-WIND; DYNAMICS</t>
  </si>
  <si>
    <t>We report the electron flux modulations without corresponding magnetic fluctuations from unique multipoint satellite observations of the Arase (Exploration of Energization and Radiation in Geospace) and the Van Allen Probe (Radiation Belt Storm Probe [RBSP])-B satellites. On 30 March 2017, both Arase and RBSP-B observed periodic fluctuations in the relativistic electron flux with energies ranging from 500 keV to 2 MeV when they were located near the magnetic equator in the morning and dusk local time sectors, respectively. Arase did not observe Pc5 pulsations, while they were observed by RBSP-B. The clear dispersion signature of the relativistic electron fluctuations observed by Arase indicates that the source region is limited to the postnoon to the dusk sector. This is confirmed by RBSP-B and ground-magnetometer observations, where Pc5 pulsations are observed to drift-resonate with relativistic electrons on the duskside. Thus, Arase observed the drift-resonance signatures remotely, whereas RBSP-B observed them locally.</t>
  </si>
  <si>
    <t>[Teramoto, M.; Hori, T.; Saito, S.; Miyoshi, Y.; Kurita, S.; Nose, M.; Shoji, M.; Tsugawa, Y.] Nagoya Univ, Inst Space Earth Environm Res, Nagoya, Aichi, Japan; [Teramoto, M.] Kyushu Inst Technol, Fac Engn, Fukuoka, Fukuoka, Japan; [Higashio, N.] Japan Aerosp Explorat Agcy, Res &amp; Dev Directorate, Tsukuba, Ibaraki, Japan; [Matsuoka, A.; Takashima, T.; Shinohara, I.] Japan Aerosp Explorat Agcy, Inst Space &amp; Astronaut Sci, Sagamihara, Kanagawa, Japan; [Kasahara, Y.] Kanazawa Univ, Grad Sch Nat Sci &amp; Technol, Kanazawa, Ishikawa, Japan; [Kasaba, Y.] Tohoku Univ, Grad Sch Sci, Sendai, Miyagi, Japan; [Nomura, R.] Natl Astron Observ Japan, Mitaka, Tokyo, Japan; [Fujimoto, A.] Kyushu Inst Technol, Fac Comp Sci &amp; Syst Engn, Fukuoka, Fukuoka, Japan; [Tanaka, Y. -M.] Natl Inst Polar Res, Tachikawa, Tokyo, Japan; [Tanaka, Y. -M.] Res Org Informat &amp; Syst, Joint Support Ctr Data Sci Res, Polar Environm Data Sci Ctr, Tachikawa, Tokyo, Japan; [Tanaka, Y. -M.] Grad Univ Adv Studies, Sch Multidisciplinary Sci, Dept Polar Sci, Tachikawa, Tokyo, Japan; [Shinohara, M.] Kagoshima Natl Coll Technol, Kirishima, Japan; [Blake, J. B.; Fennell, J. F.; Claudepierre, S. G.; Turner, D. L.] Aerosp Corp, Space Sci &amp; Applicat Lab, El Segundo, CA 90245 USA; [Claudepierre, S. G.] Univ Calif Los Angeles, Dept Atmospher &amp; Ocean Sci, Los Angeles, CA USA; [Kletzing, C. A.] Univ Iowa, Dept Phys &amp; Astron, Iowa City, IA 52242 USA; [Sormakov, D.; Troshichev, O.] Arctic &amp; Antarctic Res Inst, Dept Geophys, St Petersburg, Russia</t>
  </si>
  <si>
    <t>Nagoya University; Kyushu Institute of Technology; Japan Aerospace Exploration Agency (JAXA); Japan Aerospace Exploration Agency (JAXA); Institute of Space &amp; Astronautical Science (ISAS); Kanazawa University; Tohoku University; National Institutes of Natural Sciences (NINS) - Japan; National Astronomical Observatory of Japan (NAOJ); Kyushu Institute of Technology; Research Organization of Information &amp; Systems (ROIS); National Institute of Polar Research (NIPR) - Japan; Research Organization of Information &amp; Systems (ROIS); Graduate University for Advanced Studies - Japan; Aerospace Corporation - USA; University of California System; University of California Los Angeles; University of Iowa; Arctic &amp; Antarctic Research Institute</t>
  </si>
  <si>
    <t>Teramoto, M (corresponding author), Nagoya Univ, Inst Space Earth Environm Res, Nagoya, Aichi, Japan.;Teramoto, M (corresponding author), Kyushu Inst Technol, Fac Engn, Fukuoka, Fukuoka, Japan.</t>
  </si>
  <si>
    <t>teramoto.mariko418@mail.kyutech.jp</t>
  </si>
  <si>
    <t>Kasaba, Yasumasa/ABB-4167-2020; Claudepierre, Seth G/A-6109-2012; Miyoshi, Yoshizumi/T-5748-2019; Sormakov, Dmitry A/K-1695-2014; Shoji, Masafumi/S-8304-2019; Turner, Drew L/G-3224-2012; Nose, Masahito/ISU-3248-2023; Nose, Masahito/B-1900-2015; Kasahara, Yoshiya/E-7073-2015</t>
  </si>
  <si>
    <t>Kasaba, Yasumasa/0000-0002-8160-3553; Claudepierre, Seth G/0000-0001-5513-5947; Miyoshi, Yoshizumi/0000-0001-7998-1240; Turner, Drew L/0000-0002-2425-7818; Saito, Shinji/0000-0002-6116-9964; Hori, Tomoaki/0000-0001-8451-6941; Nose, Masahito/0000-0002-2789-3588; Kasahara, Yoshiya/0000-0002-9304-8235; Shoji, Masafumi/0000-0001-6573-525X</t>
  </si>
  <si>
    <t>IUGONET (Inter-university Upper atmosphere Global Observation NETwork) project; JSPS [19K03948, 15H05815, 15H05747, 16H06286, 17H06140]; RBSP-ECT by JHU/APL contract under NASA's Prime contract [967399, NAS5-01072]; SEES/JAXA; U.S. National Science Foundation [AGS-1651263]; JSPS Bilateral Open Partnership Joint Research Projects [1007752]; Grants-in-Aid for Scientific Research [19K03948, 17H06140] Funding Source: KAKEN</t>
  </si>
  <si>
    <t>IUGONET (Inter-university Upper atmosphere Global Observation NETwork) project; JSPS(Ministry of Education, Culture, Sports, Science and Technology, Japan (MEXT)Japan Society for the Promotion of Science); RBSP-ECT by JHU/APL contract under NASA's Prime contract; SEES/JAXA; U.S. National Science Foundation(National Science Foundation (NSF)); JSPS Bilateral Open Partnership Joint Research Projects; Grants-in-Aid for Scientific Research(Ministry of Education, Culture, Sports, Science and Technology, Japan (MEXT)Japan Society for the Promotion of ScienceGrants-in-Aid for Scientific Research (KAKENHI))</t>
  </si>
  <si>
    <t>Solar wind data time-shifted to the bow shock nose were obtained from the OMNI database, which were provided by the Space Physics Data Facility of Goddard Space Flight Center. SYM-H and AE indices were provided by the World Data Center for Geomagnetism, Kyoto, Kyoto University. The distribution of SYM-H and AE indices are partly supported by the IUGONET (Inter-university Upper atmosphere Global Observation NETwork) project (http://www.iugonet.org/). M.T. is supported by the JSPS grant (19K03948). Y. M. is supported by the JSPS grant (15H05815, 15H05747, and 16H06286). I. S. is supported by the JSPS grant (17H06140). Sience data of the ERG (Arase) satellite were obtained from the ERG Science Center (ERG Science Center) operated by ISAS/JAXA and ISEE/Nagoya University (https://ergsc.isee.nagoya-u.ac.jp/index.shtml.en), the works of M. T., T. H., and Y. M. were partly done at ERG-SC. Work at The Aerospace Corporations was supported by RBSP-ECT funding provided by JHU/APL contract 967399 under NASA's Prime contract NAS5-01072. The present study analyzed the MGF, the PWE/EFD, and the XEP data of v01.01, ver02.01, and ver00.00, respectively. The XEP data processing was partly supported by the SEES/JAXA. Geomagnetic field data from Tiksi and Pevek were provided by Arctic and Antarctic Research Institute. Geomagnetic field data from Kiana and Gillam are provided by the University of California, Los Angeles, and the University of Albata, respectively. The authors thank M. J. Engebretson and the rest of the MACCS team for Nain data. MACCS is operated by Augsburg University and funded by U.S. National Science Foundation grant AGS-1651263. The ground magnetometer of Norilsk was provided by A. Pashinin and N. Nishitani. These geomagnetic field data were downloaded with the SPEDAS software (http://spedas.org). This study was supported by JSPS Bilateral Open Partnership Joint Research Projects (1007752).</t>
  </si>
  <si>
    <t>10.1029/2019GL084379</t>
  </si>
  <si>
    <t>WOS:000495521400001</t>
  </si>
  <si>
    <t>Robel, AA; Banwell, AF</t>
  </si>
  <si>
    <t>Robel, Alexander A.; Banwell, Alison F.</t>
  </si>
  <si>
    <t>A Speed Limit on Ice Shelf Collapse Through Hydrofracture</t>
  </si>
  <si>
    <t>ice shelf; collapse; instability; criticality; phase transition</t>
  </si>
  <si>
    <t>ANTARCTIC PENINSULA; SEASONAL EVOLUTION; SUPRAGLACIAL LAKES; GLACIERS; STABILITY; MELTWATER; FLEXURE; STRESS; DISINTEGRATION; RETREAT</t>
  </si>
  <si>
    <t>Increasing surface melt has been implicated in the collapse of several Antarctic ice shelves over the last few decades, including the collapse of Larsen B Ice Shelf over a period of just a few weeks in 2002. The speed at which an ice shelf disintegrates strongly determines the subsequent loss of grounded ice and sea level rise, but the controls on collapse speed are not well understood. Here we show, using a novel cellular automaton model, that there is an intrinsic speed limit on ice shelf collapse through cascades of interacting melt pond hydrofracture events. Though collapse speed increases with the area of hydrofracture influence, the typical flexural length scales of Antarctic ice shelves ensure that hydrofracture interactions remain localized. We argue that the speed at which Larsen B Ice Shelf collapsed was caused by a season of anomalously high surface meltwater production.</t>
  </si>
  <si>
    <t>[Robel, Alexander A.] Georgia Inst Technol, Sch Earth &amp; Atmospher Sci, Atlanta, GA 30332 USA; [Banwell, Alison F.] Univ Colorado, Cooperat Inst Res Environm Sci, Boulder, CO USA; [Banwell, Alison F.] Univ Cambridge, Scott Polar Res Inst, Cambridge, England</t>
  </si>
  <si>
    <t>University System of Georgia; Georgia Institute of Technology; University of Colorado System; University of Colorado Boulder; University of Cambridge</t>
  </si>
  <si>
    <t>Robel, AA (corresponding author), Georgia Inst Technol, Sch Earth &amp; Atmospher Sci, Atlanta, GA 30332 USA.</t>
  </si>
  <si>
    <t>robel@eas.gatech.edu</t>
  </si>
  <si>
    <t>Robel, Alexander/ISA-7962-2023; Banwell, Alison/W-8180-2018</t>
  </si>
  <si>
    <t>Robel, Alexander/0000-0003-4520-0105; Banwell, Alison/0000-0001-9545-829X</t>
  </si>
  <si>
    <t>Cooperative Institute for Research in Environmental Sciences (CIRES) Visiting Postdoctoral Fellowship; NSF [PLR-1841607]; [NSFPLR-1735715]</t>
  </si>
  <si>
    <t>Cooperative Institute for Research in Environmental Sciences (CIRES) Visiting Postdoctoral Fellowship; NSF(National Science Foundation (NSF));</t>
  </si>
  <si>
    <t>Thanks to K. Wiesenfeld, S. Buzzard, Z. Rashed, F. Clerc, B. Minchew, and D. MacAyeal for discussions and two anonymous reviewers for comments on the manuscript. A. A. R. was supported by NSFPLR-1735715 during part of this work. A. F. B. was supported by a Cooperative Institute for Research in Environmental Sciences (CIRES) Visiting Postdoctoral Fellowship and NSF PLR-1841607 for part of this work. All code used to perform these simulations was written by A. A. R. and is available freely as a public GitHub repository (https://github.com/aarobel/meltpond-cascades).</t>
  </si>
  <si>
    <t>10.1029/2019GL084397</t>
  </si>
  <si>
    <t>Green Published, Green Submitted, Bronze</t>
  </si>
  <si>
    <t>WOS:000494348900001</t>
  </si>
  <si>
    <t>Hu, DZ; Guan, ZY; Tian, WS</t>
  </si>
  <si>
    <t>Hu, Dingzhu; Guan, Zhaoyong; Tian, Wenshou</t>
  </si>
  <si>
    <t>Signatures of the Arctic Stratospheric Ozone in Northern Hadley Circulation Extent and Subtropical Precipitation</t>
  </si>
  <si>
    <t>stratospheric ozone; Hadley circulation; interannual variability</t>
  </si>
  <si>
    <t>EL-NINO; ATMOSPHERIC CIRCULATION; INTERANNUAL VARIABILITY; TROPICAL EXPANSION; OSCILLATION; TEMPERATURE; SATELLITE; CELL; CLIMATOLOGY; SIMULATIONS</t>
  </si>
  <si>
    <t>Previous studies showed that Antarctic ozone could modulate the Hadley circulation (HC) and precipitation in the Southern Hemisphere. However, whether and how, if any, Arctic stratospheric ozone (ASO) modulates the northern HC and subtropical precipitation remains unclear. We found an out-of-phase relationship between the northern HC extent (HCE) and ASO during boreal spring on interannual timescales during 1979-2014. Decreased (increased) ASO tends to result in an equatorward (poleward) shift of HCE by +0.67 degrees (-0.45 degrees) latitude per one standard deviation of decreased (increased) ASO year. Observational analysis and model simulations show that increased ASO leads to an equatorward shift of HCE and subtropical moistening via weakened eddy momentum flux and decreased subtropical static stability, accompanied with negative eddy momentum flux divergence anomalies and northward meridional wind anomalies over the subtropics. Our results may help to understand the linkage between the Arctic and midlatitudes, especially important for the subtropical precipitation and hydrological cycle.</t>
  </si>
  <si>
    <t>[Hu, Dingzhu; Guan, Zhaoyong] Nanjing Univ Informat Sci &amp; Technol, CIC FEMD, Joint Int Res Lab Climate &amp; Environm Change ILCEC, Key Lab Meteorol Disasters China,Minist Educ KLME, Nanjing, Jiangsu, Peoples R China; [Tian, Wenshou] Lanzhou Univ, Coll Atmospher Sci, Lanzhou, Gansu, Peoples R China</t>
  </si>
  <si>
    <t>Nanjing University of Information Science &amp; Technology; Lanzhou University</t>
  </si>
  <si>
    <t>Guan, ZY (corresponding author), Nanjing Univ Informat Sci &amp; Technol, CIC FEMD, Joint Int Res Lab Climate &amp; Environm Change ILCEC, Key Lab Meteorol Disasters China,Minist Educ KLME, Nanjing, Jiangsu, Peoples R China.</t>
  </si>
  <si>
    <t>guanzy@nuist.edu.cn</t>
  </si>
  <si>
    <t>Hu, Dingzhu/0000-0002-6623-7145</t>
  </si>
  <si>
    <t>National Natural Science Foundation of China [41805031, 41705057]; China Postdoctoral Science Foundation [2019T120415]</t>
  </si>
  <si>
    <t>National Natural Science Foundation of China(National Natural Science Foundation of China (NSFC)); China Postdoctoral Science Foundation(China Postdoctoral Science Foundation)</t>
  </si>
  <si>
    <t>We appreciate two anonymous reviewers and editor for their valuable comments and suggestions. The MERRA (http://disc.sci.gsfc.nasa.gov/daac-bin/FTPSubset.pl), ERA-Interim (http://apps.ecmwf.int/datasets), and GPCP (https://www.esrl.noaa.gov/psd/data/gridded/data.gpcp.html) data sets were downloaded. This work was supported jointly by the National Natural Science Foundation of China (41805031 and 41705057), the China Postdoctoral Science Foundation funded project (2019T120415).</t>
  </si>
  <si>
    <t>10.1029/2019GL085292</t>
  </si>
  <si>
    <t>WOS:000494347200001</t>
  </si>
  <si>
    <t>Uchida, T; Balwada, D; Abernathey, R; Prend, CJ; Boss, E; Gille, ST</t>
  </si>
  <si>
    <t>Uchida, Takaya; Balwada, Dhruv; Abernathey, Ryan; Prend, Channing J.; Boss, Emmanuel; Gille, Sarah T.</t>
  </si>
  <si>
    <t>Southern Ocean Phytoplankton Blooms Observed by Biogeochemical Floats</t>
  </si>
  <si>
    <t>Southern Ocean; phytoplankton bloom; Argo; SOCCOM; SOCLIM</t>
  </si>
  <si>
    <t>MIXED-LAYER; KERGUELEN PLATEAU; SEASONAL CYCLE; CARBON EXPORT; IRON SUPPLIES; ARGO FLOATS; CHLOROPHYLL; MODEL; PUMP; PHYSIOLOGY</t>
  </si>
  <si>
    <t>The spring bloom in the Southern Ocean is the rapid-growth phase of the seasonal cycle in phytoplankton. Many previous studies have characterized the spring bloom using chlorophyll estimates from satellite ocean color observations. Assumptions regarding the chlorophyll-to-carbon ratio within phytoplankton and vertical structure of biogeochemical variables lead to uncertainty in satellite-based estimates of phytoplankton carbon biomass. Here, we revisit the characterizations of the bloom using optical backscatter from biogeochemical floats deployed by the Southern Ocean Carbon and Climate Observations and Modeling and Southern Ocean and Climate Field Studies with Innovative Tools projects. In particular, by providing a three-dimensional view of the seasonal cycle, we are able to identify basin-wide bloom characteristics corresponding to physical features; biomass is low in Ekman downwelling regions north of the Antarctic Circumpolar Current region and high within and south of the Antarctic Circumpolar Current.</t>
  </si>
  <si>
    <t>[Uchida, Takaya] Columbia Univ, Dept Earth &amp; Environm Sci, New York, NY 10027 USA; [Balwada, Dhruv] NYU, Courant Inst Math Sci, Ctr Atmosphere Ocean Sci, New York, NY USA; [Abernathey, Ryan] Lamont Doherty Earth Observ, Div Ocean &amp; Climate Phys, Palisades, NY USA; [Prend, Channing J.; Gille, Sarah T.] Univ Calif San Diego, Scripps Inst Oceanog, La Jolla, CA 92093 USA; [Boss, Emmanuel] Univ Maine, Sch Marine Sci, Orono, ME USA</t>
  </si>
  <si>
    <t>Columbia University; New York University; Columbia University; University of California System; University of California San Diego; Scripps Institution of Oceanography; University of Maine System; University of Maine Orono</t>
  </si>
  <si>
    <t>Balwada, Dhruv/ABD-8429-2020; Boss, Emmanuel/AAF-2336-2019; Boss, Emmanuel/C-5765-2009; Uchida, Takaya/JYQ-0434-2024</t>
  </si>
  <si>
    <t>Balwada, Dhruv/0000-0001-6632-0187; Boss, Emmanuel/0000-0002-8334-9595; Prend, Channing/0000-0003-4661-0480; Uchida, Takaya/0000-0002-8654-6009; Gille, Sarah/0000-0001-9144-4368; Abernathey, Ryan/0000-0001-5999-4917</t>
  </si>
  <si>
    <t>NASA as part of the SWOT Science Team [NNX14AP49G]; NSF [PLR-1425989, OCE-1658001, OCE-1553593, DGE-1650112]; National Science Foundation, Division of Polar Programs [NSF PLR-1425989]; NASA [NNX14AP49G]; Foundation BNP Paribas; Massachusetts Water Resource Authority; International Argo Program; NOAA programs; NSF XSEDE resource Grant [OCE130007]; CNES</t>
  </si>
  <si>
    <t>NASA as part of the SWOT Science Team; NSF(National Science Foundation (NSF)); National Science Foundation, Division of Polar Programs(National Science Foundation (NSF)); NASA(National Aeronautics &amp; Space Administration (NASA)); Foundation BNP Paribas; Massachusetts Water Resource Authority; International Argo Program; NOAA programs(National Oceanic Atmospheric Admin (NOAA) - USA); NSF XSEDE resource Grant; CNES(Centre National D'etudes Spatiales)</t>
  </si>
  <si>
    <t>This research was supported by NASA Award NNX16AJ35G as part of the SWOT Science Team. Abernathey acknowledges additional support from NSF Award OCE-1553593. Prend is supported by an NSF Graduate Research Fellowship under Grant DGE-1650112. Gille acknowledges NSF awards PLR-1425989 and OCE-1658001. We thank Joan Llort and another anonymous reviewer for very useful comments on the manuscript. The code used for the analysis in this study is available on Github (doi:10.5281/zenodo.3336575). Data were collected and made freely available by the Southern Ocean Carbon and Climate Observations and Modeling (SOCCOM) Project funded by the National Science Foundation, Division of Polar Programs (NSF PLR-1425989), supplemented by NASA (NNX14AP49G), the Southern Ocean and Climate Field Studies with Innovative Tools (SOCLIM) Project funded by the Foundation BNP Paribas and the Massachusetts Water Resource Authority, and by the International Argo Program and the NOAA programs that contribute to it (http://www.argo.ucsd.edu and http://argo.jcommops.org).The BGC-Argo data used for this study can be downloaded from http://soccom.ucsd.edu/floats/SOCCOM &amp; urluscore;data &amp; urluscore; ref.html for SOCCOM and ftp://ftp. ifremer.fr/ifremer/argo for SOCLIM. Computational resources for B-SOSE were provided by NSF XSEDE resource Grant OCE130007. AVISO products were processed by SSALTO/DUACS and distributed by AVISO+ (https://www.aviso.altimetry.fr) with support from CNES. Photosynthetically available radiation measurements from SeaWiFS were downloaded online (https://oceandata.sci.gsfc.nasa.gov/SeaWiFS/Mapped/Monthly &amp; urluscore;Climatology/9km/par/).The geographical plots were generated using Cartopy (Met Office, 2010-2010-2015).</t>
  </si>
  <si>
    <t>10.1029/2019JC015355</t>
  </si>
  <si>
    <t>WOS:000494218500001</t>
  </si>
  <si>
    <t>Vignols, RM; Valentine, AM; Finlayson, AG; Harper, EM; Schöne, BR; Leng, MJ; Sloane, HJ; Johnson, ALA</t>
  </si>
  <si>
    <t>Vignols, Rebecca M.; Valentine, Annemarie M.; Finlayson, Alana G.; Harper, Elizabeth M.; Schoene, Bernd R.; Leng, Melanie J.; Sloane, Hilary J.; Johnson, Andrew L. A.</t>
  </si>
  <si>
    <t>Marine climate and hydrography of the Coralline Crag (early Pliocene, UK): isotopic evidence from 16 benthic invertebrate taxa</t>
  </si>
  <si>
    <t>CHEMICAL GEOLOGY</t>
  </si>
  <si>
    <t>Coralline Crag; Pliocene; Paleotemperature; Oxygen isotope thermometry; Uniformitarianism</t>
  </si>
  <si>
    <t>NORTH-SEA BASIN; ARCTICA-ISLANDICA; MID-PLIOCENE; TEMPERATURE; OXYGEN; SHELLS; GROWTH; RECONSTRUCTION; FRACTIONATION; DIAGENESIS</t>
  </si>
  <si>
    <t>The taxonomic composition of the biota of the Coralline Crag Formation (early Pliocene, eastern England) provides conflicting evidence of seawater temperature during deposition, some taxa indicating cool temperate conditions by analogy with modern representatives or relatives, others warm temperate to subtropical/tropical conditions. Previous isotopic (delta O-18) evidence of seasonal seafloor temperatures from serial ontogenetic sampling of bivalve mollusk shells indicated cool temperate winter (&lt; 10 degrees C) and/or summer (&lt; 20 degrees C) conditions but was limited to nine profiles from two species, one ranging into and one occurring exclusively in cool temperate settings at present. We supplement these results with six further profiles from the species concerned and supply seven more from three other taxa (two supposedly indicative of warm waters) to provide an expanded and more balanced database. We also supply isotopic temperature estimates from 81 spot and whole-shell samples from these five taxa and 11 others, encompassing 'warm', 'cool' and 'eurythermal' forms by analogy with modern representatives or relatives. Preservation tests show no shell alteration. Subject to reasonable assumptions about water delta O-18, the shell delta O-18 data either strongly indicate or are at least consistent with cool temperate seafloor conditions. The subtropical/tropical conditions suggested by the presence of the bryozoan Metrarabdotos did not exist. Microgrowth-increment and delta C-13 evidence indicate summer water-column stratification during deposition of the Ramsholt Member, unlike in the adjacent southern North Sea at present (well mixed due to shallow depth and strong tidal currents). Summer maximum surface temperature was probably about 5 degrees C above seafloor temperature and thus often slightly higher than now (17-19 degrees C rather than 16-17 degrees C), but only sometimes in the warm temperate range. Winter minimum surface temperature was below 10 degrees C and possibly the same as at present (6-7 degrees C). An expanded surface temperature range compared to now may reflect withdrawal of oceanic heat supply in conjunction with higher global temperature.</t>
  </si>
  <si>
    <t>[Vignols, Rebecca M.; Finlayson, Alana G.; Harper, Elizabeth M.] Univ Cambridge, Dept Earth Sci, Downing St, Cambridge CB2 3EQ, England; [Valentine, Annemarie M.; Johnson, Andrew L. A.] Univ Derby, Sch Environm Sci, Kedleston Rd, Derby DE22 1GB, England; [Schoene, Bernd R.] Johannes Gutenberg Univ Mainz, Inst Geosci, Johann Joachim Becher Weg 21, D-55128 Mainz, Germany; [Leng, Melanie J.; Sloane, Hilary J.] British Geol Survey, NERC, Isotope Geosci Facil, Nicker Hill, Keyworth NG12 5GG, Notts, England; [Vignols, Rebecca M.] British Antarctic Survey, Madingley Rd, Cambridge CB3 0ET, England; [Valentine, Annemarie M.] Loughborough Univ, Student Advice &amp; Support Serv, Loughborough LE11 3TU, Leics, England; [Finlayson, Alana G.] Oil &amp; Gas Author, 48 Huntly St, Aberdeen AB10 1SH, Scotland</t>
  </si>
  <si>
    <t>University of Cambridge; University of Derby; Johannes Gutenberg University of Mainz; UK Research &amp; Innovation (UKRI); Natural Environment Research Council (NERC); NERC British Geological Survey; UK Research &amp; Innovation (UKRI); Natural Environment Research Council (NERC); NERC British Antarctic Survey; Loughborough University</t>
  </si>
  <si>
    <t>Johnson, ALA (corresponding author), Univ Derby, Sch Environm Sci, Kedleston Rd, Derby DE22 1GB, England.</t>
  </si>
  <si>
    <t>A.L.A.Johnson@derby.ac.uk</t>
  </si>
  <si>
    <t>Johnson, Andrew/ABC-1334-2021; Schöne, Bernd R/B-6294-2011; Harper, Elizabeth M/B-3890-2008</t>
  </si>
  <si>
    <t>Johnson, Andrew/0000-0001-5727-1889; Schöne, Bernd R/0000-0002-6879-1633; Leng, Melanie/0000-0003-1115-5166</t>
  </si>
  <si>
    <t>University Funding Initiative of the British Geological Survey [BUFI S157]; NERC Isotope Geoscience Facilities Steering Committee [IP-1155-1109]; NERC [bas0100032] Funding Source: UKRI</t>
  </si>
  <si>
    <t>University Funding Initiative of the British Geological Survey; NERC Isotope Geoscience Facilities Steering Committee; NERC(UK Research &amp; Innovation (UKRI)Natural Environment Research Council (NERC))</t>
  </si>
  <si>
    <t>This work was partially supported by a PhD studentship award to AMV under the University Funding Initiative of the British Geological Survey (BUFI S157), and a grant of analytical services to ALAJ through the NERC Isotope Geoscience Facilities Steering Committee (IP-1155-1109).</t>
  </si>
  <si>
    <t>0009-2541</t>
  </si>
  <si>
    <t>1872-6836</t>
  </si>
  <si>
    <t>CHEM GEOL</t>
  </si>
  <si>
    <t>Chem. Geol.</t>
  </si>
  <si>
    <t>10.1016/j.chemgeo.2018.05.034</t>
  </si>
  <si>
    <t>JN5BT</t>
  </si>
  <si>
    <t>WOS:000496914500006</t>
  </si>
  <si>
    <t>Radzi, R; Muangmai, N; Broady, P; Omar, WMW; Lavoue, S; Convey, P; Merican, F</t>
  </si>
  <si>
    <t>Radzi, Ranina; Muangmai, Narongrit; Broady, Paul; Omar, Wan Maznah Wan; Lavoue, Sebastien; Convey, Peter; Merican, Faradina</t>
  </si>
  <si>
    <t>Nodosilinea signiensis sp. nov. (Leptolyngbyaceae, Synechococcales), a new terrestrial cyanobacterium isolated from mats collected on Signy Island, South Orkney Islands, Antarctica</t>
  </si>
  <si>
    <t>RIBOSOMAL-RNA GENE; PHYLOGENETIC ANALYSES; POLYPHASIC APPROACH; DIVERSITY; 16S-23S; TAXA; CLASSIFICATION; SEQUENCE; ALGAE</t>
  </si>
  <si>
    <t>Terrestrial cyanobacteria are very diverse and widely distributed in Antarctica, where they can form macroscopically visible biofilms on the surfaces of soils and rocks, and on benthic surfaces in fresh waters. We recently isolated several terrestrial cyanobacteria from soils collected on Signy Island, South Orkney Islands, Antarctica. Among them, we found a novel species of Nodosilinea, named here as Nodosilinea signiensis sp. nov. This new species is morphologically and genetically distinct from other described species. Morphological examination indicated that the new species is differentiated from others in the genus by cell size, cell shape, filament attenuation, sheath morphology and granulation. 16S rDNA phylogenetic analyses clearly confirmed that N. signiensis belongs to the genus Nodosilinea, but that it is genetically distinct from other known species of Nodosilinea. The D1-D1 helix of the 16S-23S ITS region of the new species was also different from previously described Nodosilinea species. This is the first detailed characterization of a member of the genus Nodosilinea from Antarctica as well as being a newly described species.</t>
  </si>
  <si>
    <t>[Radzi, Ranina; Omar, Wan Maznah Wan; Lavoue, Sebastien; Merican, Faradina] Univ Sains Malaysia, Sch Biol Sci, Minden, Penang, Malaysia; [Muangmai, Narongrit] Kasetsart Univ, Fac Fisheries, Dept Fishery Biol, Bangkok, Thailand; [Broady, Paul] Univ Canterbury, Sch Biol Sci, Christchurch, New Zealand; [Convey, Peter] British Antarctic Survey, Cambridge, England</t>
  </si>
  <si>
    <t>Universiti Sains Malaysia; Kasetsart University; University of Canterbury; UK Research &amp; Innovation (UKRI); Natural Environment Research Council (NERC); NERC British Antarctic Survey</t>
  </si>
  <si>
    <t>Merican, F (corresponding author), Univ Sains Malaysia, Sch Biol Sci, Minden, Penang, Malaysia.</t>
  </si>
  <si>
    <t>faradina@usm.my</t>
  </si>
  <si>
    <t>Convey, Peter/AAV-5728-2020; Lavoue, Sebastien/H-7118-2012; Sidik Merican, Faradina Merican/F-6785-2019</t>
  </si>
  <si>
    <t>Convey, Peter/0000-0001-8497-9903; Lavoue, Sebastien/0000-0003-4798-6666; Muangmai, Narongrit/0000-0001-7954-7348; Sidik Merican, Faradina Merican/0000-0003-1441-0134</t>
  </si>
  <si>
    <t>YPASM Berth Support; YPASM Fellowship [304/PBIOLOGI/650963]; RUI grant [1001/PBIOLOGI/811305]; Flagship grant [304/PBIOLOGI/650723/P131]; NERC; NERC [bas0100036] Funding Source: UKRI</t>
  </si>
  <si>
    <t>YPASM Berth Support; YPASM Fellowship; RUI grant; Flagship grant; NERC(UK Research &amp; Innovation (UKRI)Natural Environment Research Council (NERC)); NERC(UK Research &amp; Innovation (UKRI)Natural Environment Research Council (NERC))</t>
  </si>
  <si>
    <t>This study received funding support from YPASM Berth Support, YPASM Fellowship 304/PBIOLOGI/650963, RUI grant 1001/PBIOLOGI/811305 and Flagship grant 304/PBIOLOGI/650723/P131. Peter Convey is supported by NERC core funding to the BAS 'Biodiversity, Evolution and Adaptation' Team.; We thank Dr Japareng Lalung for collection of the original soil sample on Signy Island. British Antarctic Survey staff at Signy research station are thanked for logistical and other practical support. This paper also contributes to the international SCAR `State of the Antarctic Ecosystem' (AntEco) research programme. Peter Convey is supported by NERC core funding to the BAS `Biodiversity, Evolution and Adaptation' Team.</t>
  </si>
  <si>
    <t>NOV 4</t>
  </si>
  <si>
    <t>e0224395</t>
  </si>
  <si>
    <t>10.1371/journal.pone.0224395</t>
  </si>
  <si>
    <t>LN1AJ</t>
  </si>
  <si>
    <t>WOS:000532676800015</t>
  </si>
  <si>
    <t>Kim, HJ</t>
  </si>
  <si>
    <t>Kim, Hyun Jung</t>
  </si>
  <si>
    <t>Inducing state compliance with international fisheries law: lessons from two case studies concerning the Republic of Korea's IUU fishing</t>
  </si>
  <si>
    <t>INTERNATIONAL ENVIRONMENTAL AGREEMENTS-POLITICS LAW AND ECONOMICS</t>
  </si>
  <si>
    <t>IUU fishing; Fishery; Compliance; Implementation; Republic of Korea; International fisheries law</t>
  </si>
  <si>
    <t>Despite the expansion of international fisheries law, fish stocks are still threatened by illegal, unreported and unregulated (IUU) fishing. An inevitable question arises: What can be done to better induce state compliance with international fisheries law? This article reveals a factor affecting compliance with international fisheries law that had not yet been explored in the compliance studies literature: the processes for implementing that law. It notes that one actor's implementation processes may enhance other actors' compliance with international fisheries law if the processes aim to affect others' behaviour and others conform to them. Accordingly, the purpose of this article is to identify conditions under which the implementation processes have such a socialisation effect. These conditions are explored in two case studies concerning IUU fishing: that existing between the Republic of Korea and the European Union (2013-2015) and that between the Republic of Korea and the Commission for the Conservation of Antarctic Marine Living Resources (2011). The case studies show that, from an institutional perspective, the design of transparent implementation processes with dialogue between the actors involved is crucial and, in terms of social context, the international leverage and reputations of the implementing actor and the targeted actor, as well as collaboration with media and civil society, are also significant factors in the processes' socialisation effect.</t>
  </si>
  <si>
    <t>[Kim, Hyun Jung] Yonsei Univ, Dept Polit Sci &amp; Int Studies, 50 Yonsei Ro, Seoul 03722, South Korea</t>
  </si>
  <si>
    <t>Yonsei University</t>
  </si>
  <si>
    <t>Kim, HJ (corresponding author), Yonsei Univ, Dept Polit Sci &amp; Int Studies, 50 Yonsei Ro, Seoul 03722, South Korea.</t>
  </si>
  <si>
    <t>myonjung@gmail.com</t>
  </si>
  <si>
    <t>1567-9764</t>
  </si>
  <si>
    <t>1573-1553</t>
  </si>
  <si>
    <t>INT ENVIRON AGREEM-P</t>
  </si>
  <si>
    <t>Int. Environ. Agreem.-Polit. Law Econom.</t>
  </si>
  <si>
    <t>10.1007/s10784-019-09457-4</t>
  </si>
  <si>
    <t>Economics; Environmental Studies; Law; Political Science</t>
  </si>
  <si>
    <t>Business &amp; Economics; Environmental Sciences &amp; Ecology; Government &amp; Law</t>
  </si>
  <si>
    <t>JU2ZU</t>
  </si>
  <si>
    <t>WOS:000494008600001</t>
  </si>
  <si>
    <t>Cao, SN; Zhang, F; He, JF; Ji, ZQ; Zhou, QM</t>
  </si>
  <si>
    <t>Cao, Shunan; Zhang, Fang; He, Jianfeng; Ji, Zhongqiang; Zhou, Qiming</t>
  </si>
  <si>
    <t>Water masses influence bacterioplankton community structure in summer Kongsfjorden</t>
  </si>
  <si>
    <t>Correlation; Bacterioplankton genus; Environmental parameters; Pearson; Spearman</t>
  </si>
  <si>
    <t>SP-NOV.; SEA-ICE; FRESH-WATER; GEN. NOV.; HETEROTROPHIC BACTERIA; EMENDED DESCRIPTION; ORGANIC-MATTER; ARCTIC FJORD; BALANCE; SVALBARD</t>
  </si>
  <si>
    <t>To ascertain the saying Everything is everywhere, but the environment selects, it was imperative to find out the main factor influencing bacterioplankton composition at genus level of Kongsfjorden where was influenced both by glacier melting water and Atlantic water. Thus, bacterioplankton diversity was investigated using pyrosequencing. In addition, nutrients, chlorophyll a, in situ temperature and salinity were measured. There were seventeen of 33 identified genera with relative abundance &gt; 0.1%. Redundancy analysis showed that 73.02% of bacterioplankton community variance could be explained by environmental parameters. Furthermore, most of the abundant genera demonstrated significant correlation with environment parameters revealed by correlation analysis. Moreover, phosphate, nitrate and Chl a concentration, and the abundance of top nine identified genera varied with water mass significantly as shown by analysis of variance. Our results supported the notion that environmental factors, especially water mass had significant effect on bacterioplankton distribution at genus level. Considering the high sensitivity to environmental change and low error rate in identification, bacterioplankton at genus level could be potential bio-markers for monitoring environmental changes.</t>
  </si>
  <si>
    <t>[Cao, Shunan; Zhang, Fang; He, Jianfeng] Polar Res Inst China, Key Lab Polar Sci SOA, 451 JinQiao Rd,Pudong Ave, Shanghai 200136, Peoples R China; [Ji, Zhongqiang] Minist Nat Resources, Key Lab Marine Ecosyst &amp; Biogeochem, Inst Oceanog 2, State Ocean Adm, Hangzhou 310012, Zhejiang, Peoples R China; [Zhou, Qiming] Harbin Inst Technol, Sch Life Sci &amp; Technol, 2 Yikuang St, Harbin 150080, Heilongjiang, Peoples R China; [Zhou, Qiming] ChosenMed Technol Beijing Co Ltd, Jinghai Ind Pk, Beijing 100176, Peoples R China</t>
  </si>
  <si>
    <t>Polar Research Institute of China; Ministry of Natural Resources of the People's Republic of China; Second Institute of Oceanography, Ministry of Natural Resources; Harbin Institute of Technology</t>
  </si>
  <si>
    <t>He, JF (corresponding author), Polar Res Inst China, Key Lab Polar Sci SOA, 451 JinQiao Rd,Pudong Ave, Shanghai 200136, Peoples R China.</t>
  </si>
  <si>
    <t>hejianfeng@pric.org.cn</t>
  </si>
  <si>
    <t>Zhou, Qi/JTT-3417-2023; zhou, qi/JEF-7253-2023</t>
  </si>
  <si>
    <t>zhou, qi ming/0000-0002-2892-6329</t>
  </si>
  <si>
    <t>Chinese Polar Environment Comprehensive Investigation &amp; Assessment Programs [CHNIARE-2011-2015]; National Natural Science Foundation of China [41206189, 41476168]; Shanghai Natural Science Foundation [16ZR1439800]</t>
  </si>
  <si>
    <t>Chinese Polar Environment Comprehensive Investigation &amp; Assessment Programs [CHNIARE-2011-2015]; National Natural Science Foundation of China(National Natural Science Foundation of China (NSFC)); Shanghai Natural Science Foundation(Natural Science Foundation of Shanghai)</t>
  </si>
  <si>
    <t>We give our thanks to all the members of Chinese Arctic Expedition 2012. This work was supported by the Chinese Polar Environment Comprehensive Investigation &amp; Assessment Programs [CHNIARE-2011-2015], the National Natural Science Foundation of China [41206189 and 41476168], and Shanghai Natural Science Foundation [16ZR1439800]. Samples information and data were issued by the Resource-sharing Platform of Polar Samples (https://birds.china re.org.cn), which was established by one of the National Science &amp; Technology Infrastructures Polar Research Institute of China (PRIC) and Chinese National Arctic &amp; Antarctic Data Centre (CN-NADC).</t>
  </si>
  <si>
    <t>10.1007/s00792-019-01139-y</t>
  </si>
  <si>
    <t>KJ1YS</t>
  </si>
  <si>
    <t>WOS:000493691300001</t>
  </si>
  <si>
    <t>Park, J; Shin, EK; Ko, E; Park, T</t>
  </si>
  <si>
    <t>Park, Jisoo; Shin, Edward K.; Ko, Eunho; Park, Taewook</t>
  </si>
  <si>
    <t>Atmospheric factors influencing biological productivity in the Antarctic polynyas, derived from satellite and reanalysis data</t>
  </si>
  <si>
    <t>REMOTE SENSING LETTERS</t>
  </si>
  <si>
    <t>MELTING GLACIERS FUELS; PHYTOPLANKTON BLOOMS; ROSS SEA; IRON; VARIABILITY; LIGHT</t>
  </si>
  <si>
    <t>Antarctic coastal polynyas are the most productive area in the Southern Ocean, playing a significant role in a polar ecosystem. Understanding polynya properties is important because changes in polynya's environment can alter, or even disrupt, the polar food web. Nevertheless, there are still many unknown aspects of polynyas and its subsequent effects in the ecosystem. Based on satellite and atmospheric reanalysis data for 1998-2016, roles of atmospheric forcing on phytoplankton dynamics are examined. We find that chlorophyll-a (chl-a) has a noticeable year-to-year variability and its responses to atmospheric forcing differ regionally. That is, winds have a strong correlation with chl-a in the west Antarctic polynyas since strong winds tend to increase nutrient entrainment from subsurface water. A cloud cover is suggested to influence chl-a variability with a strong inverse correlation in the Weddell Sea and a moderate inverse correlation in the Amundsen Sea. We also find that chl-a decreases for 1998-2016 in the Amundsen Sea and Weddell Sea, which implies that a large amount of glacier meltwater is likely to decrease chl-a by enhancing oceanic stratification, whereas iron supply from recent higher ice melt would not directly affect such a long-term chl-a change.</t>
  </si>
  <si>
    <t>[Park, Jisoo; Shin, Edward K.; Ko, Eunho; Park, Taewook] Korea Polar Res Inst, Div Polar Ocean Sci, Incheon, South Korea; [Park, Jisoo; Ko, Eunho] Univ Sci &amp; Technol, Daejeon, South Korea; [Shin, Edward K.] ESSEC Business Sch, Cergy, France</t>
  </si>
  <si>
    <t>Korea Polar Research Institute (KOPRI); University of Science &amp; Technology (UST); ESSEC Business School</t>
  </si>
  <si>
    <t>Park, T (corresponding author), Korea Polar Res Inst, Incheon, South Korea.</t>
  </si>
  <si>
    <t>twpark@kopri.re.kr</t>
  </si>
  <si>
    <t>Shin, Edward Keunuk/AAF-6870-2021</t>
  </si>
  <si>
    <t>Shin, Edward Keunuk/0000-0001-6286-1031</t>
  </si>
  <si>
    <t>Korea Polar Research Institute [PE19060]</t>
  </si>
  <si>
    <t>This work was supported by the Korea Polar Research Institute [PE19060].</t>
  </si>
  <si>
    <t>2150-704X</t>
  </si>
  <si>
    <t>2150-7058</t>
  </si>
  <si>
    <t>REMOTE SENS LETT</t>
  </si>
  <si>
    <t>Remote Sens. Lett.</t>
  </si>
  <si>
    <t>NOV 2</t>
  </si>
  <si>
    <t>10.1080/2150704X.2019.1650983</t>
  </si>
  <si>
    <t>Remote Sensing; Imaging Science &amp; Photographic Technology</t>
  </si>
  <si>
    <t>IO0ME</t>
  </si>
  <si>
    <t>WOS:000479072200001</t>
  </si>
  <si>
    <t>May, K; Lewis, G</t>
  </si>
  <si>
    <t>May, Karen; Lewis, George</t>
  </si>
  <si>
    <t>Strict injunctions that the dogs should not be risked: A revised hypothesis for this anecdote and others in narratives of Scott's last expedition</t>
  </si>
  <si>
    <t>POLAR RECORD</t>
  </si>
  <si>
    <t>British Antarctic Terra Nova Expedition (1910-13); Tryggve Gran; Cecil Meares; Captain Robert Falcon Scott; Edward Leicester Atkinson</t>
  </si>
  <si>
    <t>COULD-CAPTAIN-SCOTT; DIDNT</t>
  </si>
  <si>
    <t>This article updates Karen May's earlier 2012 hypothesis (Could Captain Scott have been saved? Revisiting Scott's last expedition). In this revised hypothesis, Cecil Meares, not Surgeon E. L. Atkinson, originated the unsubstantiated statement that Strict injunctions had been given by Scott that the dogs should not be risked in any way. This hypothesis incorporates new information uncovered since 2012, specifically Meares' misrepresentations during theTerra Novaexpedition; Atkinson's 1911 journal entries; Atkinson's 1919 allegation that Meares had disobeyed orders; and Tryggve Gran's The Race for the South Pole between Scott and Amundsen, a 1945/post-1945 document that appears to have been Roland Huntford's source for anecdotes in Huntford's 1979 Scott-Amundsen biography. The article gives a proposed chronology for how Meares' early misrepresentations and Gran's later misunderstandings influenced the decisions, and later presentations, of theTerra Novaexpedition.</t>
  </si>
  <si>
    <t>[May, Karen; Lewis, George] 27 Old Gloucester St, London WC1N 3AX, England</t>
  </si>
  <si>
    <t>May, K (corresponding author), 27 Old Gloucester St, London WC1N 3AX, England.</t>
  </si>
  <si>
    <t>karenmay31@gmail.com</t>
  </si>
  <si>
    <t>0032-2474</t>
  </si>
  <si>
    <t>1475-3057</t>
  </si>
  <si>
    <t>POLAR REC</t>
  </si>
  <si>
    <t>POLAR REC.</t>
  </si>
  <si>
    <t>PII S0032247419000688</t>
  </si>
  <si>
    <t>10.1017/S0032247419000688</t>
  </si>
  <si>
    <t>Ecology; Environmental Sciences</t>
  </si>
  <si>
    <t>NM8BE</t>
  </si>
  <si>
    <t>WOS:000568317400002</t>
  </si>
  <si>
    <t>Xia, CW; Zhang, YY</t>
  </si>
  <si>
    <t>Xia, Canwei; Zhang, Yanyun</t>
  </si>
  <si>
    <t>Lack of daily heart rate rhythms in Adelie penguin chicks during the polar day</t>
  </si>
  <si>
    <t>Adelie penguins; Daily rhythm; Heart rate; Polar day</t>
  </si>
  <si>
    <t>PYGOSCELIS-ADELIAE; ADAPTIVE SIGNIFICANCE; CIRCADIAN-RHYTHMS; PLASMA MELATONIN; CARDIAC RHYTHMS; BIRD; TEMPERATURE; COMPLEX; MARKERS; ENERGY</t>
  </si>
  <si>
    <t>Daily rhythms enable organisms to adapt to daily fluctuations in environmental factors. Do organisms still exhibit 24-h rhythms when living in habitats without obvious daily cycles in external signals? To answer this question, we measured the heart rates of six Adelie penguin (Pygoscelis adeliae) chicks on Inexpressible Island during the polar day between 15 and 21 January 2019. Averaged heart rates were between 186 and 233 beats/min for individual chicks. Both fast Fourier transformation and autocorrelation were employed to assess the daily rhythmicity. Based on fast Fourier transformation, a significant contribution of daily rhythm in heart rate variation was found only in one individual. Small effect size of significant autocorrelation coefficients was found in two individuals, while there was no significant autocorrelation coefficient for 24-h time lag in four other individuals. In summary, no prevailing daily rhythm of heart rate was found in these Adelie penguin chicks. We propose that the lack of daily rhythm in Adelie penguin chicks could be an adaptation to the local environment in the polar regions, but that the adaptive value thereof remains to be investigated.</t>
  </si>
  <si>
    <t>[Xia, Canwei; Zhang, Yanyun] Beijing Normal Univ, Coll Life Sci, Key Lab Biodivers &amp; Ecol Engn, Minist Educ, Beijing, Peoples R China</t>
  </si>
  <si>
    <t>Beijing Normal University</t>
  </si>
  <si>
    <t>Zhang, YY (corresponding author), Beijing Normal Univ, Coll Life Sci, Key Lab Biodivers &amp; Ecol Engn, Minist Educ, Beijing, Peoples R China.</t>
  </si>
  <si>
    <t>zhangyy@bnu.edu.cn</t>
  </si>
  <si>
    <t>liu, xinyi/KFB-4466-2024</t>
  </si>
  <si>
    <t>Xia, Canwei/0000-0003-1432-1019; Zhang, Yanyun/0000-0001-9942-197X</t>
  </si>
  <si>
    <t>Chinese Arctic and Antarctic Administration [JDXT2019-02]; Polar Research Institude of China; 35th Antarctic Scientific Expedition of China</t>
  </si>
  <si>
    <t>Chinese Arctic and Antarctic Administration; Polar Research Institude of China; 35th Antarctic Scientific Expedition of China</t>
  </si>
  <si>
    <t>Our thanks to Zhu Lizhong, Zhang Bo, Xu Qibin and Wang Ninglian for their assistance in the field work, and Anders Pape MOller and Per Alstrom for their contribution in the correction of English language. This study was supported by the Chinese Arctic and Antarctic Administration (No. JDXT2019-02), Polar Research Institude of China and the 35th Antarctic Scientific Expedition of China.</t>
  </si>
  <si>
    <t>PII S0032247420000017</t>
  </si>
  <si>
    <t>10.1017/S0032247420000017</t>
  </si>
  <si>
    <t>WOS:000568317400006</t>
  </si>
  <si>
    <t>Korostelev, NB; Vedishcheva, EV; Orlov, AM</t>
  </si>
  <si>
    <t>Korostelev, Nikolai B.; Vedishcheva, Elena V.; Orlov, Alexei M.</t>
  </si>
  <si>
    <t>Age and growth ofAntimora rostrata(Moridae, Gadiformes, Teleostei) from the Kerguelen and Crozet Islands in the southern Indian Ocean</t>
  </si>
  <si>
    <t>Blue antimoraAntimora rostrata; Otoliths; Age; Size; Growth; Sub-Antarctic</t>
  </si>
  <si>
    <t>ANTIMORA ROSTRATA MORIDAE; BLUE HAKE; BIOLOGY; FISH; WATERS; SEA</t>
  </si>
  <si>
    <t>Age and growth of blue antimoraAntimora rostratawere examined for the first time in the waters of Kerguelen and Crozet Islands (southern Indian Ocean, sub-Antarctic). The longline catches were represented by fish ranging from 39 to 72 cm in total length with weights between 400 and 3310 g, aged 16- 41 years. A minimum age of 16 years was observed in a fish 39 cm long, while a maximum age of 41 years was recorded for an individual of 70 cm in length and 3310 g in weight. The age classes with the greatest numbers were represented by fish aged 34 years (9%), 28 years (9%) and 29 years (8%), which together accounted for 26% of the total catch. The blue antimora in the southern Indian Ocean shows similar growth rates to those of individual fish from the Ross, Lazarev and Weddell Seas and southeastern Greenland, which may indicate the population unity of the species within the Antarctic and sub-Antarctic waters or similar habitat conditions in these areas.</t>
  </si>
  <si>
    <t>[Korostelev, Nikolai B.; Orlov, Alexei M.] Russian Acad Sci, AN Severtsov Inst Ecol &amp; Evolut, Moscow 119071, Russia; [Vedishcheva, Elena V.; Orlov, Alexei M.] Russian Fed Res Inst Fisheries &amp; Oceanog VNIRO, Moscow 107140, Russia; [Orlov, Alexei M.] Dagestan State Univ, Makhachkala 367000, Russia; [Orlov, Alexei M.] Tomsk State Univ, Tomsk 634050, Russia</t>
  </si>
  <si>
    <t>Russian Academy of Sciences; Saratov Scientific Center of the Russian Academy of Sciences; Severtsov Institute of Ecology &amp; Evolution; Research lnstitute of Fisheries &amp; Oceanography; Dagestan State University; Tomsk State University</t>
  </si>
  <si>
    <t>Orlov, AM (corresponding author), Russian Acad Sci, AN Severtsov Inst Ecol &amp; Evolut, Moscow 119071, Russia.;Orlov, AM (corresponding author), Russian Fed Res Inst Fisheries &amp; Oceanog VNIRO, Moscow 107140, Russia.;Orlov, AM (corresponding author), Dagestan State Univ, Makhachkala 367000, Russia.;Orlov, AM (corresponding author), Tomsk State Univ, Tomsk 634050, Russia.</t>
  </si>
  <si>
    <t>orlov@vniro.ru</t>
  </si>
  <si>
    <t>Orlov, Alexei M./E-2036-2012; Коростелев, Николай/AAN-9687-2021</t>
  </si>
  <si>
    <t>Orlov, Alexei M./0000-0002-0877-2553;</t>
  </si>
  <si>
    <t>PII S0032247420000157</t>
  </si>
  <si>
    <t>10.1017/S0032247420000157</t>
  </si>
  <si>
    <t>WOS:000568317400010</t>
  </si>
  <si>
    <t>Alp, B</t>
  </si>
  <si>
    <t>Alp, Bill</t>
  </si>
  <si>
    <t>Dogs of the British Antarctic Expedition 1910-13</t>
  </si>
  <si>
    <t>Antarctic sledge dogs; Cecil Meares; Captain Scott; Terra Nova; Siberian Husky</t>
  </si>
  <si>
    <t>This article tells the story of the dog teams of the British Antarctic Expedition 1910-13. Its purpose is to establish an accurate record of sledge dog involvement in the expedition. It is not concerned with hypotheses about how a better outcome for the expedition might have been achieved, aiming simply to assemble and analyse verifiable evidence in chronological order. A substantial amount of research has been undertaken. Straightforward details about procurement of the dogs and their main Antarctic journeys have been summarised in tabular form as an accessible reference source for future work. A literature review has been undertaken, finding that none of the reviewed works accurately traces the evolving plans and instructions for the expedition's dog teams. The story starts with Scott's September 1909 public fundraising prospectus and goes on to the procurement and training of Huskies from Siberia. It traces the challenges, achievements, attitudes and management decisions that shaped the dogs' main journeys. It finishes withTerra Novaleaving the Antarctic, with the last 13 dogs in January 1913. The dog teams and their handlers performed well in the Antarctic and successfully completed three of their four main journeys. They made a substantial contribution to the expedition.</t>
  </si>
  <si>
    <t>bill.alp@xtra.co.nz</t>
  </si>
  <si>
    <t>Alp, William James/0000-0003-4851-1232</t>
  </si>
  <si>
    <t>PII S0032247420000182</t>
  </si>
  <si>
    <t>10.1017/S0032247420000182</t>
  </si>
  <si>
    <t>WOS:000568317400012</t>
  </si>
  <si>
    <t>Alexander, KA; Liggett, D; Leane, E; Nielsen, HEF; Bailey, JL; Brasier, MJ; Haward, M</t>
  </si>
  <si>
    <t>Alexander, Karen A.; Liggett, Daniela; Leane, Elizabeth; Nielsen, Hanne E. F.; Bailey, Jennifer L.; Brasier, Madeline J.; Haward, Marcus</t>
  </si>
  <si>
    <t>What and who is an Antarctic ambassador?</t>
  </si>
  <si>
    <t>Antarctic ambassador; Stewardship; Tourism; Antarctica; Ambassadorship</t>
  </si>
  <si>
    <t>TOURISM; VALUES; IMAGINARIES; BEHAVIORS</t>
  </si>
  <si>
    <t>The term Antarctic ambassadorship is increasingly used to represent an individual's connection to Antarctica and their subsequent advocacy. However, there is little clarity regarding the concept. To address this, we combined a literature review with an expert elicitation workshop. We argue that (i) the concept of Antarctic ambassador has been understood in myriad ways; (ii) Antarctic ambassadors have a connection to, knowledge of and passion for Antarctica; (iii) they also have a commitment to defending and advancing Antarctic values and (iv) Antarctic ambassadorship is about more than advocacy. We propose the first comprehensive definition of Antarctic ambassadorship. We hope this will provide a cornerstone upon which future research, and a more informed governance of Antarctic tourism, can be built.</t>
  </si>
  <si>
    <t>[Alexander, Karen A.; Haward, Marcus] Univ Tasmania, Ctr Marine Socioecol, Hobart, Tas 7001, Australia; [Alexander, Karen A.; Leane, Elizabeth; Haward, Marcus] Univ Tasmania, Inst Marine &amp; Antarctic Studies, Private Bag 49, Hobart, Tas 7001, Australia; [Liggett, Daniela] Univ Canterbury, Gateway Antarctica, Private Bag 4800, Christchurch 8140, New Zealand; [Leane, Elizabeth; Nielsen, Hanne E. F.] Univ Tasmania, Sch Humanities, Coll Arts Law &amp; Educ, Private Bag 41, Hobart, Tas 7001, Australia; [Bailey, Jennifer L.] Norwegian Univ Sci &amp; Technol, Dept Sociol &amp; Polit Sci, NO-7491 Trondheim, Norway; [Brasier, Madeline J.] Antarctic Climate &amp; Ecosyst Cooperat Res Ctr, 20 Castray Esplanade, Hobart, Tas, Australia</t>
  </si>
  <si>
    <t>University of Tasmania; University of Tasmania; University of Canterbury; University of Tasmania; Norwegian University of Science &amp; Technology (NTNU); Antarctic Climate &amp; Ecosystems Cooperative Research Centre (ACE CRC)</t>
  </si>
  <si>
    <t>Alexander, KA (corresponding author), Univ Tasmania, Ctr Marine Socioecol, Hobart, Tas 7001, Australia.;Alexander, KA (corresponding author), Univ Tasmania, Inst Marine &amp; Antarctic Studies, Private Bag 49, Hobart, Tas 7001, Australia.</t>
  </si>
  <si>
    <t>karen.alexander@utas.edu.au</t>
  </si>
  <si>
    <t>Nielsen, Hanne E F/I-4472-2014; Haward, Marcus/G-3369-2014; Alexander, Karen/O-7042-2017</t>
  </si>
  <si>
    <t>Nielsen, Hanne E F/0000-0002-2761-7727; Brasier, Madeleine/0000-0003-2844-655X; Bailey, Jennifer/0000-0002-7052-4112; Leane, Elizabeth/0000-0002-7954-6529; Haward, Marcus/0000-0003-4775-0864; Alexander, Karen/0000-0001-8801-413X</t>
  </si>
  <si>
    <t>University of Tasmania through the 2018 MAM Seed Grant</t>
  </si>
  <si>
    <t>The authors would like to thank the University of Tasmania for funding this research through the 2018 MAM Seed Grant fund.</t>
  </si>
  <si>
    <t>PII S0032247420000194</t>
  </si>
  <si>
    <t>10.1017/S0032247420000194</t>
  </si>
  <si>
    <t>WOS:000568317400013</t>
  </si>
  <si>
    <t>Stone, IR</t>
  </si>
  <si>
    <t>Stone, Ian R.</t>
  </si>
  <si>
    <t>The man who discovered Antarctica: Edward Bransfield explained - the first man to find and chart the Antarctic mainland.</t>
  </si>
  <si>
    <t>[Stone, Ian R.] Univ Cambridge, Scott Polar Res Inst, Lensfield Rd, Cambridge CB2 1ER, England</t>
  </si>
  <si>
    <t>University of Cambridge</t>
  </si>
  <si>
    <t>Stone, IR (corresponding author), Univ Cambridge, Scott Polar Res Inst, Lensfield Rd, Cambridge CB2 1ER, England.</t>
  </si>
  <si>
    <t>irs30@cam.ac.uk</t>
  </si>
  <si>
    <t>10.1017/S0032247419000561</t>
  </si>
  <si>
    <t>WOS:000568317400015</t>
  </si>
  <si>
    <t>Liu, DB; Liu, SS; Fang, YF</t>
  </si>
  <si>
    <t>Liu, Dianbing; Liu, Shushuang; Fang, Yifan</t>
  </si>
  <si>
    <t>A southern and northern control on speleothem-based Asian summer monsoon variability during MIS 4</t>
  </si>
  <si>
    <t>QUATERNARY RESEARCH</t>
  </si>
  <si>
    <t>Speleothem record; ASM variability; MIS 4; Interhemispheric climate correlation; Expansion; contraction of ITCZ</t>
  </si>
  <si>
    <t>SEA-SURFACE TEMPERATURE; INTERTROPICAL CONVERGENCE ZONE; LAST GLACIAL PERIOD; MILLENNIAL-SCALE; GLOBAL MONSOON; CLIMATE-CHANGE; THERMOHALINE CIRCULATION; EQUATORIAL PACIFIC; WESTERN PACIFIC; INDIAN MONSOON</t>
  </si>
  <si>
    <t>A 20-year-resolution speleothem delta O-18 record from southern China reveals a detailed Asian summer monsoon (ASM) history between 73.6 and 62.3 ka. ASM changes during Interstadial 19 and late MIS 4 matched Greenland temperature variations but were antiphased with Antarctic temperatures. However, long-term strengthening of the ASM in early MIS 4 agrees well with the gradual Antarctic warming, when Greenland remained in a stable cold state. More specifically, the ASM was less variable during peak interstadials in contrast to striking instabilities during stadials. These observations suggest that the factors dominating ASM variability change through time. During early MIS 4, negligible freshwater perturbations occurred in the North Atlantic, and sea-surface temperatures in the low- to midlatitude Pacific Ocean reached the modern level. Thus, an expansion of the Intertropical Convergence Zone (ITCZ) was likely important for the long-term ASM rise. In late MIS 4, the antiphase correlation between ASM and Antarctic temperature could be attributed to freshwater inputs into the North Atlantic and a southerly positioned ITCZ. Consequently, meridional ITCZ shifts, although within a limited latitudinal band, would result in an antiphase relationship between interhemispheric climate changes. Otherwise, an in-phase correlation could be expected if the centroid of ITCZ is stable along the equator.</t>
  </si>
  <si>
    <t>[Liu, Dianbing; Liu, Shushuang; Fang, Yifan] Nanjing Normal Univ, Sch Geog, Nanjing 210023, Peoples R China</t>
  </si>
  <si>
    <t>Nanjing Normal University</t>
  </si>
  <si>
    <t>Liu, DB (corresponding author), Nanjing Normal Univ, Sch Geog, Nanjing 210023, Peoples R China.</t>
  </si>
  <si>
    <t>ldb9921@njnu.edu.cn</t>
  </si>
  <si>
    <t>National Nature Science Foundation of China [41672161]; Priority Academic Program Development of Jiangsu Higher Education Institutions [164320H116]; Jiangsu Center for Collaborative Innovation in Geographical Information Resource Development and Application; Key Laboratory of Virtual Geographic Environments (Nanjing Normal University)</t>
  </si>
  <si>
    <t>National Nature Science Foundation of China(National Natural Science Foundation of China (NSFC)); Priority Academic Program Development of Jiangsu Higher Education Institutions; Jiangsu Center for Collaborative Innovation in Geographical Information Resource Development and Application; Key Laboratory of Virtual Geographic Environments (Nanjing Normal University)</t>
  </si>
  <si>
    <t>We are grateful to three anonymous reviewers for their generous technical comments on an early version of this manuscript. This work was jointly supported by grants from the National Nature Science Foundation of China (no. 41672161), a project funded by the Priority Academic Program Development of Jiangsu Higher Education Institutions (164320H116), the Jiangsu Center for Collaborative Innovation in Geographical Information Resource Development and Application, and the Key Laboratory of Virtual Geographic Environments (Nanjing Normal University).</t>
  </si>
  <si>
    <t>0033-5894</t>
  </si>
  <si>
    <t>1096-0287</t>
  </si>
  <si>
    <t>QUATERNARY RES</t>
  </si>
  <si>
    <t>Quat. Res.</t>
  </si>
  <si>
    <t>PII S003358941900036X</t>
  </si>
  <si>
    <t>10.1017/qua.2019.36</t>
  </si>
  <si>
    <t>LU9YD</t>
  </si>
  <si>
    <t>WOS:000538101100008</t>
  </si>
  <si>
    <t>Sikes, EL; Schiraldi, B; Williams, A</t>
  </si>
  <si>
    <t>Sikes, Elisabeth L.; Schiraldi, Benedetto, Jr.; Williams, Amanda</t>
  </si>
  <si>
    <t>Seasonal and Latitudinal Response of New Zealand Sea Surface Temperature to Warming Climate Since the Last Glaciation: Comparing Alkenones to Mg/Ca Foraminiferal Reconstructions</t>
  </si>
  <si>
    <t>SOUTHERN-OCEAN; PLANKTONIC-FORAMINIFERA; SUBTROPICAL FRONT; SEDIMENT TRAPS; PACIFIC-OCEAN; CHATHAM RISE; SW PACIFIC; PALEOTEMPERATURE ESTIMATION; INTERGLACIAL CHANGES; UNSATURATION RATIOS</t>
  </si>
  <si>
    <t>Dual proxies were used to estimate paleo sea surface temperatures (SST) for the Bay of Plenty, north of New Zealand. U-37(K') and Mg/Ca in the planktonic foraminifera Globogerina bulloides reconstruct SST for the growth seasons for the organisms they are based upon. U-37(K') SST (summer) were consistently similar to 3.5 degrees C warmer than Mg/Ca (spring), suggesting that Bay of Plenty SST during the last glacial maximum (LGM) was 17.3 degrees C in summer and 13.8 degrees C in spring. Combining these results with published data based on the same proxies from other sites around New Zealand shows cooling of 3-4 degrees C in both seasons at all sites in the LGM relative to the Holocene. This indicates that overall, glacial surface water cooling was similar in subtropical and subpolar waters in both spring and summer. This contrasts with published foraminiferal assemblage reconstructions suggesting greater subantarctic cooling during the LGM. Deglacial warming across the region was characterized by changes in both seasonal and latitudinal temperature differences. Warming began in subtropical waters at similar to 21 ka, similar to 1.5 ka earlier than in subantarctic water. In the Bay of Plenty, the seasons maintained a consistent offset, while in Hawke Bay, springs stayed cold while summers warmed until after the Antarctic Cold Reversal. In contrast, subantarctic spring SST warmed rapidly, causing temperature differences to decrease between the Chatham Rise (subantarctic) and subtropical sites, possibly caused by shifting westerly winds. The use of multiple proxies enhances our understanding by adding a seasonal component to the glacial story of climate change in the southwest Pacific Ocean.</t>
  </si>
  <si>
    <t>[Sikes, Elisabeth L.; Schiraldi, Benedetto, Jr.; Williams, Amanda] Rutgers State Univ, Dept Marine &amp; Coastal Sci, New Brunswick, NJ 08901 USA</t>
  </si>
  <si>
    <t>Rutgers University System; Rutgers University New Brunswick</t>
  </si>
  <si>
    <t>Sikes, EL (corresponding author), Rutgers State Univ, Dept Marine &amp; Coastal Sci, New Brunswick, NJ 08901 USA.</t>
  </si>
  <si>
    <t>sikes@marine.rutgers.edu</t>
  </si>
  <si>
    <t>Sikes, Elisabeth/HPE-8194-2023</t>
  </si>
  <si>
    <t>Sikes, Elisabeth/0000-0003-2900-3283; Williams, Amanda/0000-0003-1343-1101</t>
  </si>
  <si>
    <t>NSF [OCE-0823487, 0823549-03]; Directorate For Geosciences [0823549] Funding Source: National Science Foundation; Division Of Ocean Sciences [0823549] Funding Source: National Science Foundation</t>
  </si>
  <si>
    <t>NSF(National Science Foundation (NSF)); Directorate For Geosciences(National Science Foundation (NSF)NSF - Directorate for Geosciences (GEO)); Division Of Ocean Sciences(National Science Foundation (NSF)NSF - Directorate for Geosciences (GEO))</t>
  </si>
  <si>
    <t>ELS thanks a long stream of dedicated undergraduates who assisted in the lab to extract sediments and catalog data, especially Kristine Babyak. Special thanks go to Katelyn Mineo, who produced the first working alkenone SST record for the Bay of Plenty. We thank Julie Kalansky for her assistance with Mg/Ca analyses and quality control. Our thanks also go to Eli Hunter who created all the figures and managed the data with cheer and style. Two anonymous reviewers provided comments that helped improve the manuscript. Funding for this project came from NSF OCE-0823487 and 0823549-03. Data are archived with NOAA NCDC at https://www.ncdc.noaa.gov/paleo/study/28090.</t>
  </si>
  <si>
    <t>10.1029/2019PA003649</t>
  </si>
  <si>
    <t>WOS:000522106900009</t>
  </si>
  <si>
    <t>Blagoveshchenskaya, NF; Borisova, TD; Kalishin, AS; Yeoman, TK; Schmelev, YA; Leonenko, EE</t>
  </si>
  <si>
    <t>Blagoveshchenskaya, N. F.; Borisova, T. D.; Kalishin, A. S.; Yeoman, T. K.; Schmelev, Yu. A.; Leonenko, E. E.</t>
  </si>
  <si>
    <t>Characterization of Artificial, Small-Scale, Ionospheric Irregularities in the High-Latitude F Region Induced by High-Power, High-Frequency Radio Waves of Extraordinary Polarization</t>
  </si>
  <si>
    <t>GEOMAGNETISM AND AERONOMY</t>
  </si>
  <si>
    <t>SELF-FOCUSING INSTABILITY; MODE; EISCAT</t>
  </si>
  <si>
    <t>The results of experimental studies of characteristics of artificial, small-scale, ionospheric irregularities in the high-latitude ionospheric F region caused by the controlled injection of high-power, high-frequency (HF) radio waves of extraordinary polarization (X mode) are presented. The experiments were carried out at the HF European Scientific Association (EISCAT)/Heating complex (Tromso, northern Norway (69.6 degrees N, 19.2 degrees E)) in a wide range of heating frequencies (4-8 MHz) with an effective radiation power of 100 to 700 MW. It is shown that the generation of irregularities upon X heating occurs in the regular F region of the ionosphere under quiet magnetic conditions at heating frequencies both lower and higher than the critical frequency of the F2 layer. The rise and relaxation times of the irregularities, as well as the threshold powers of their excitation are determined. It is ascertained that the characteristics of irregularities upon X heating strongly depend on the heating frequency, the relationship between the heating frequency and the critical frequency of the F2 layer, and the conditions preceding the start of the heating cycle (cold start in the first X-heating cycle or subsequent X-heating cycles). The characteristics of irregularities upon exposure of the high-latitude ionospheric F region to high-power long radio waves of extraordinary (X mode) and ordinary (O mode) polarization are compared.</t>
  </si>
  <si>
    <t>[Blagoveshchenskaya, N. F.; Borisova, T. D.; Kalishin, A. S.; Schmelev, Yu. A.; Leonenko, E. E.] Arctic &amp; Antarctic Res Inst, St Petersburg 199397, Russia; [Yeoman, T. K.] Univ Leicester, Leicester LE1 7RH, Leics, England; [Schmelev, Yu. A.; Leonenko, E. E.] St Petersburg State Univ Aerosp Instrumentat, St Petersburg 190000, Russia</t>
  </si>
  <si>
    <t>Arctic &amp; Antarctic Research Institute; University of Leicester; Saint Petersburg State University of Aerospace Instrumentation</t>
  </si>
  <si>
    <t>Blagoveshchenskaya, NF (corresponding author), Arctic &amp; Antarctic Res Inst, St Petersburg 199397, Russia.</t>
  </si>
  <si>
    <t>nataly@aari.nw.ru</t>
  </si>
  <si>
    <t>Yeoman, Timothy k/L-9105-2014</t>
  </si>
  <si>
    <t>Yeoman, Timothy k/0000-0002-8434-4825; Kalishin, Alexey/0000-0001-7299-6546</t>
  </si>
  <si>
    <t>NERC [NE/K011766/1]; NERC [NE/R01700X/1] Funding Source: UKRI; STFC [ST/N000749/1] Funding Source: UKRI</t>
  </si>
  <si>
    <t>NERC(UK Research &amp; Innovation (UKRI)Natural Environment Research Council (NERC)); NERC(UK Research &amp; Innovation (UKRI)Natural Environment Research Council (NERC)); STFC(UK Research &amp; Innovation (UKRI)Science &amp; Technology Facilities Council (STFC))</t>
  </si>
  <si>
    <t>The work of T.K. Yeoman was supported by NERC, grant no. NE/K011766/1.</t>
  </si>
  <si>
    <t>0016-7932</t>
  </si>
  <si>
    <t>1555-645X</t>
  </si>
  <si>
    <t>GEOMAGN AERONOMY+</t>
  </si>
  <si>
    <t>Geomagn. Aeron.</t>
  </si>
  <si>
    <t>10.1134/S0016793219060045</t>
  </si>
  <si>
    <t>KU5UL</t>
  </si>
  <si>
    <t>WOS:000519777900008</t>
  </si>
  <si>
    <t>Nikolaeva, EA; Balushkin, AV</t>
  </si>
  <si>
    <t>Nikolaeva, E. A.; Balushkin, A. V.</t>
  </si>
  <si>
    <t>Morphological Characteristics of Sailfish Pike Channichthys velifer (Channichthyidae) from the Kerguelen Islands (Southern Ocean)</t>
  </si>
  <si>
    <t>JOURNAL OF ICHTHYOLOGY</t>
  </si>
  <si>
    <t>sailfish pike Channichthys velifer; ginger (rugose) pike Ch; rugosus; Channichthyidae; external morphology; synonym; taxonomic character; Kerguelen Islands</t>
  </si>
  <si>
    <t>Based on a representative sample set (41 specimens), features of external morphology, seismosensory system, and axial skeleton of the sailfish pike Channichthys velifer (Channichthyidae) are described and compared to the corresponding features in a closely related species, ginger (rugose) pike Ch. rugosus.</t>
  </si>
  <si>
    <t>[Nikolaeva, E. A.; Balushkin, A. V.] Russian Acad Sci, Zool Inst, St Petersburg 119991, Russia</t>
  </si>
  <si>
    <t>Russian Academy of Sciences; Zoological Institute of the Russian Academy of Sciences</t>
  </si>
  <si>
    <t>Nikolaeva, EA (corresponding author), Russian Acad Sci, Zool Inst, St Petersburg 119991, Russia.</t>
  </si>
  <si>
    <t>Ekatherina.Nikolaeva@zin.ru</t>
  </si>
  <si>
    <t>Nikolaeva, Elizaveta/JMC-1584-2023; Balushkin, Arcady/AAM-4225-2020</t>
  </si>
  <si>
    <t>State Program The Structure, Classification, and biogeography of Fishes of Russia and Antarctic [AAAA-A17-117030310197-7]</t>
  </si>
  <si>
    <t>State Program The Structure, Classification, and biogeography of Fishes of Russia and Antarctic</t>
  </si>
  <si>
    <t>This study was performed within the State Program The Structure, Classification, and biogeography of Fishes of Russia and Antarctic, project no. AAAA-A17-117030310197-7.</t>
  </si>
  <si>
    <t>0032-9452</t>
  </si>
  <si>
    <t>1555-6425</t>
  </si>
  <si>
    <t>J ICHTHYOL+</t>
  </si>
  <si>
    <t>J. Ichthyol.</t>
  </si>
  <si>
    <t>10.1134/S0032945219060079</t>
  </si>
  <si>
    <t>Fisheries; Zoology</t>
  </si>
  <si>
    <t>KT8GT</t>
  </si>
  <si>
    <t>WOS:000519250800002</t>
  </si>
  <si>
    <t>Morozov, EG; Flint, MV; Spiridonov, VA; Tarakanov, RY</t>
  </si>
  <si>
    <t>Morozov, E. G.; Flint, M. V.; Spiridonov, V. A.; Tarakanov, R. Yu.</t>
  </si>
  <si>
    <t>Multidisciplinary Program of Field Studies of the Ecosystem in the Atlantic Sector of the Southern Ocean (December 2019-March 2020)</t>
  </si>
  <si>
    <t>OCEANOLOGY</t>
  </si>
  <si>
    <t>krill; Antarctic Circumpolar Current; marine research; ecosystem; thermohaline properties of seawater</t>
  </si>
  <si>
    <t>The research program of the dynamics and ecosystem of the Drake Passage and Scotia Sea is scientifically substantiated. Measurements will be carried out by the interdepartmental expedition of the Russian Academy of Sciences with the participation of nine institutes aboard the the R/V Akademik Mstislav Keldysh. The research will be based on study of the functioning of the Antarctic marine ecosystem and measurements in the Antarctic Circumpolar Current.</t>
  </si>
  <si>
    <t>[Morozov, E. G.; Flint, M. V.; Spiridonov, V. A.; Tarakanov, R. Yu.] Russian Acad Sci, Shirshov Inst Oceanol, Moscow 117218, Russia</t>
  </si>
  <si>
    <t>Morozov, EG; Flint, MV; Spiridonov, VA; Tarakanov, RY (corresponding author), Russian Acad Sci, Shirshov Inst Oceanol, Moscow 117218, Russia.</t>
  </si>
  <si>
    <t>egmorozov@mail.ru; m_flint@ocean.ru; valbertych@mail.ru; rtarakanov@gmail.com</t>
  </si>
  <si>
    <t>Flint, Mikhail/ABA-4039-2021; Morozov, Eugene G/L-3023-2018; Tarakanov, Roman/R-3325-2016</t>
  </si>
  <si>
    <t>Flint, Mikhail/0000-0003-4185-9412; Tarakanov, Roman/0000-0002-8711-1859; Morozov, Eugene/0000-0002-0251-3454</t>
  </si>
  <si>
    <t>0001-4370</t>
  </si>
  <si>
    <t>1531-8508</t>
  </si>
  <si>
    <t>OCEANOLOGY+</t>
  </si>
  <si>
    <t>Oceanology</t>
  </si>
  <si>
    <t>10.1134/S0001437019060134</t>
  </si>
  <si>
    <t>KR0AJ</t>
  </si>
  <si>
    <t>WOS:000517282800020</t>
  </si>
  <si>
    <t>Linse, K; Nye, V; Copley, JT; Chen, C</t>
  </si>
  <si>
    <t>Linse, Katrin; Nye, Verity; Copley, Jonathan T.; Chen, Chong</t>
  </si>
  <si>
    <t>On the systematics and ecology of two new species of Provanna (Gastropoda: Provannidae) from deep-sea hydrothermal vents in the Caribbean Sea and Southern Ocean</t>
  </si>
  <si>
    <t>JOURNAL OF MOLLUSCAN STUDIES</t>
  </si>
  <si>
    <t>IFREMERIA-NAUTILEI; FUCA-RIDGE; FAMILY; NORTH; SEEPS; GENUS; FIELD; LIFE</t>
  </si>
  <si>
    <t>The recent discovery and exploration of deep-sea hydrothermal vent fields in the Mid-Cayman Spreading Centre, Caribbean Sea (Beebe Vent Field, 4956-4972 m depth) and the East Scotia Ridge, Southern Ocean T2 and E9 vent fields, 2394-2641 m depth) have yielded extensive collections of two new provannid species, Pronanna beebei n. sp. and P cooki n. sp. Morphological and molecular taxonomy (530 bp of the mitochondrial cytochrome c oxidase subunit I gene) confirm P beebei n. sp. and P cooki n. sp. as distinct species; these species are formally described, and details are provided of their distribution, habitat and species associations. Bayesian and maximum likelihood analyses support the placement of P beebei n. sp. and P cooki n. sp within the genus Pronanna and show that these two new deep-sea species form a well-supported Glade with the abyssal West Pacific P cingulata. Pronanna beebei n. sp. and P cooki n. sp. represent the first records of Pronanna from hydrothermal vents in the Caribbean Sea and Southern Ocean, respectively, and extend the known geographic range of the genus. For the first time, intraspecific phenotypic variation in size and sculpture has been reported for Pronanna. At the East Scotia Ridge, shell-size frequency distributions and median shell size of P cooki n. sp. varied significantly between the E2 and E9 vent fields, as well as between diffuse flow and high-temperature venting habitats within each field. The variation in shell sculpture in relation to habitat was also observed in P cooki n. sp.</t>
  </si>
  <si>
    <t>[Linse, Katrin] British Antarctic Survey, Madingley Rd, Cambridge CB3 0ET, England; [Nye, Verity; Copley, Jonathan T.] Univ Southampton, Natl Oceanog Ctr Southampton, Ocean &amp; Earth Sci, Waterfront Campus,European Way, Southampton SO14 3ZH, Hants, England; [Chen, Chong] Japan Agcy Marine Earth Sci &amp; Technol, X STAR, 2-15 Natsushima Cho, Yokosuka, Kanagawa 2370061, Japan</t>
  </si>
  <si>
    <t>UK Research &amp; Innovation (UKRI); Natural Environment Research Council (NERC); NERC British Antarctic Survey; University of Southampton; NERC National Oceanography Centre; Japan Agency for Marine-Earth Science &amp; Technology (JAMSTEC)</t>
  </si>
  <si>
    <t>Chen, C (corresponding author), Japan Agcy Marine Earth Sci &amp; Technol, X STAR, 2-15 Natsushima Cho, Yokosuka, Kanagawa 2370061, Japan.</t>
  </si>
  <si>
    <t>Nye, Verity/I-9200-2012; Copley, Jon/I-7076-2012; Chen, Chong/F-7489-2019</t>
  </si>
  <si>
    <t>Copley, Jon/0000-0003-3333-4325; Chen, Chong/0000-0002-5035-4021</t>
  </si>
  <si>
    <t>UK Natural Environment Research Council (NERC) [NE/F017774/1]; USA National Aeronautics and Space Administration ASTEP (Astrobiology Science and Technology for Exploring Planets) Grant [NNX09AB75G]; UK NERC Consortium Grant [NE/DO1249X/1]; Japan Society for the Promotion of Science [18K06401]; Grants-in-Aid for Scientific Research [18K06401] Funding Source: KAKEN; NERC [bas0100036, NE/F017774/1] Funding Source: UKRI</t>
  </si>
  <si>
    <t>UK Natural Environment Research Council (NERC)(UK Research &amp; Innovation (UKRI)Natural Environment Research Council (NERC)); USA National Aeronautics and Space Administration ASTEP (Astrobiology Science and Technology for Exploring Planets) Grant; UK NERC Consortium Grant; 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 NERC(UK Research &amp; Innovation (UKRI)Natural Environment Research Council (NERC))</t>
  </si>
  <si>
    <t>The authors thank the Masters, ships' companies and fellow scientists on the 42nd and 82nd voyages of the RRS 'James Cook' and voyage 18-16 of the RV 'Atlantis' (the chief scientists were A. Rogers, J. Copley and C. German, respectively). Our thanks also to the technicians of the ROVs 'Isis' and 'Jason-2' and others who contributed to the collection of specimens. M. King and W. Goddall-Copestake provided support in the molecular lab and P. Bucktrout (BAS) photographed the specimens for Figures 2, 4 and 6. R. Yamazaki and H. K. Watanabe (JAMSTEC) are thanked for the extensive help they gave with obtaining COI sequences for Provanna from the East Scotia Ridge. This study was supported in part by a UK Natural Environment Research Council (NERC) award (NE/F017774/1) to J. Copley, an USA National Aeronautics and Space Administration ASTEP (Astrobiology Science and Technology for Exploring Planets) Grant (NNX09AB75G) to C. Van Dover, a UK NERC Consortium Grant (NE/DO1249X/1) ChEsSo (PI: P. Tyler) and the Japan Society for the Promotion of Science Grant-in-Aid for Scientific Research (18K06401) to C. Chen. We thank the Associate Editor, Y. Kano, for helping us to substantially improve the manuscript, three anonymous reviewers for constructive comments on earlier drafts and D. Reid for editorial improvements.</t>
  </si>
  <si>
    <t>0260-1230</t>
  </si>
  <si>
    <t>1464-3766</t>
  </si>
  <si>
    <t>J MOLLUS STUD</t>
  </si>
  <si>
    <t>J. Molluscan Stud.</t>
  </si>
  <si>
    <t>10.1093/mollus/eyz024</t>
  </si>
  <si>
    <t>KN8TS</t>
  </si>
  <si>
    <t>WOS:000515118500006</t>
  </si>
  <si>
    <t>Santelli, MB; del Río, CJ</t>
  </si>
  <si>
    <t>Santelli, Maria B.; del Rio, Claudia J.</t>
  </si>
  <si>
    <t>New Neogene taxa of the tribe Chlamydini Teppner, 1922 (Pectinidae, Bivalvia) of southern South America</t>
  </si>
  <si>
    <t>JOURNAL OF PALEONTOLOGY</t>
  </si>
  <si>
    <t>MEJILLONES PENINSULA; PATAGONIA ARGENTINA; GENUS RETROTAPES; MARINE DEPOSITS; TERTIARY; PLIOCENE; REVISION; MOLLUSCA; CHILE; ASSEMBLAGES</t>
  </si>
  <si>
    <t>The Chilean species traditionally assigned to the genera Chlamys Roding, 1798 or Zygochlamys Ihering, 1907 are now placed in two new endemic South American taxa: Dietotenhosen n. gen. (middle Miocene-early middle Pliocene), to include the southeastern Pacific Ocean species D. hupeanus (Philippi, 1887) n. comb. and D. remondi (Philippi, 1887) n. comb., and Ckaraosippur n. gen. (earliest middle Miocene-Pliocene), for C. calderensis (Moricke, 1896) n. comb. (Chile) and C. camachoi n. sp. (Argentina). Both genera are the youngest survivors of the tribe Chlamydini in southern South America. None of them is related to the circumpolar genus Psychrochlamys Jonkers, 2003, and the previous proposal of the dispersal through the Antarctic Circumpolar Current for the species included herein in Dietotenhosen is rejected.</t>
  </si>
  <si>
    <t>[Santelli, Maria B.; del Rio, Claudia J.] Museo Argentine Ciencias Nat Bernardino Rivadavia, Div Paleoinvertebrados, Av Angel Gallardo 470 C1405DJR, Buenos Aires, DF, Argentina</t>
  </si>
  <si>
    <t>Museo Argentino de Ciencias Naturales Bernardino Rivadavia (MACN)</t>
  </si>
  <si>
    <t>Santelli, MB (corresponding author), Museo Argentine Ciencias Nat Bernardino Rivadavia, Div Paleoinvertebrados, Av Angel Gallardo 470 C1405DJR, Buenos Aires, DF, Argentina.</t>
  </si>
  <si>
    <t>mbsantelli@gmail.com; claudiajdelrio@gmail.com</t>
  </si>
  <si>
    <t>Santelli, Maria Belen/0000-0003-3077-4384</t>
  </si>
  <si>
    <t>Consejo Nacional de Investigaciones Cientificas y Tecnicas [PIP 1649, PIP 320]; Agencia Nacional de Promocion Cientifica y Tecnica [PICT-ANPCyT 57]</t>
  </si>
  <si>
    <t>Consejo Nacional de Investigaciones Cientificas y Tecnicas(Consejo Nacional de Investigaciones Cientificas y Tecnicas (CONICET)); Agencia Nacional de Promocion Cientifica y Tecnica(ANPCyT)</t>
  </si>
  <si>
    <t>This paper has been supported by PIP 1649 and PIP 320 (Consejo Nacional de Investigaciones Cientificas y Tecnicas) and PICT-ANPCyT 57 (Agencia Nacional de Promocion Cientifica y Tecnica) to CDR.</t>
  </si>
  <si>
    <t>0022-3360</t>
  </si>
  <si>
    <t>1937-2337</t>
  </si>
  <si>
    <t>J PALEONTOL</t>
  </si>
  <si>
    <t>J. Paleontol.</t>
  </si>
  <si>
    <t>10.1017/jpa.2019.50</t>
  </si>
  <si>
    <t>KI1WC</t>
  </si>
  <si>
    <t>WOS:000511137400004</t>
  </si>
  <si>
    <t>Kudinova, AG; Soina, VS; Maksakova, SA; Petrova, MA</t>
  </si>
  <si>
    <t>Kudinova, A. G.; Soina, V. S.; Maksakova, S. A.; Petrova, M. A.</t>
  </si>
  <si>
    <t>Basic Antibiotic Resistance of Bacteria Isolated from Different Biotopes</t>
  </si>
  <si>
    <t>MICROBIOLOGY</t>
  </si>
  <si>
    <t>antibiotic resistance; Antarctic soils; Arctic soils; bacteria of extremely cold biotopes; bacterial resistance to mercury</t>
  </si>
  <si>
    <t>GENES</t>
  </si>
  <si>
    <t>Soil is not only a habitat of antibiotic-resistant microorganisms and a natural source of antibiotic resistance genes, but also an environment in which clinical determinants of antibiotic resistance may be accumulated and transferred. Quantitative assessment of antibiotic-resistant bacteria in polluted soils used in agriculture and its comparison to the so-called baseline content of resistant bacteria and their resistance genes in the soil is therefore urgent. However, the data on the study of antibiotic-resistant bacteria in pristine soils (with minimal anthropogenic impact) are practically absent. Comparative study was therefore carried out on the spectra of resistance to natural and synthetic antibiotics among gram-negative bacteria isolated from various soils: pristine (Arctic and Antarctic soils); sites with possible pollution (Albic Retisols (IUSS Working Group WRB, 2015) of a woodland park area in the Moscow region), and moderately polluted soils with high mercury content (near the Khaidarkan mercury mine). It was revealed that strains resistant to one or more of the used natural antibiotics, with the exception of tetracycline, were found in all types of biotopes. About one third of the studied strains, both isolated from soils of polar regions with low anthropogenic impact, and from polluted soils near the Khaidarkan mercury mine, exhibited multiple drug resistance. These results suggest that the presence of multiple antibiotic resistance among bacteria is not solely a response to anthropogenic pollution. Bacterial strains with multidrug antibiotic resistance isolated from the biotopes formed in extremely cold conditions belonged mainly to the genera among the representatives of which intrinsic resistance is widespread, due to the specific structure of their cell walls, preventing antibiotic penetration into the cell, and to the presence of various nonspecific efflux systems of release of toxic substances from the cell.</t>
  </si>
  <si>
    <t>[Kudinova, A. G.; Petrova, M. A.] Russian Acad Sci, Inst Gen Genet, Moscow V71, Russia; [Soina, V. S.; Maksakova, S. A.] Moscow MV Lomonosov State Univ, Fac Soil Sci, Moscow 119991, Russia</t>
  </si>
  <si>
    <t>Russian Academy of Sciences; Institute of Gene Biology (IGB) of Russian Academy of Sciences; Lomonosov Moscow State University</t>
  </si>
  <si>
    <t>Petrova, MA (corresponding author), Russian Acad Sci, Inst Gen Genet, Moscow V71, Russia.</t>
  </si>
  <si>
    <t>petrova@img.ras.ru</t>
  </si>
  <si>
    <t>Kudinova, Alina/ABC-7359-2021; Petrova, Mayya A/J-5386-2018</t>
  </si>
  <si>
    <t>Russian Foundation for Basic Research [18-34-00658]</t>
  </si>
  <si>
    <t>This work was supported by the Russian Foundation for Basic Research, project no. 18-34-00658.</t>
  </si>
  <si>
    <t>0026-2617</t>
  </si>
  <si>
    <t>1608-3237</t>
  </si>
  <si>
    <t>MICROBIOLOGY+</t>
  </si>
  <si>
    <t>10.1134/S0026261719050084</t>
  </si>
  <si>
    <t>KJ4ZD</t>
  </si>
  <si>
    <t>WOS:000512067800010</t>
  </si>
  <si>
    <t>Gordeev, II; Mikryakov, DV; Balabanova, LV; Mikryakov, VR</t>
  </si>
  <si>
    <t>Gordeev, I. I.; Mikryakov, D. V.; Balabanova, L. V.; Mikryakov, V. R.</t>
  </si>
  <si>
    <t>The Cell Composition of the Peripheral Blood and Some Hematopoietic Organs in the Antarctic Starry Skate Amblyraja georgiana (Norman, 1938) (Rajiformes: Rajidae) from the Scotia Sea</t>
  </si>
  <si>
    <t>RUSSIAN JOURNAL OF MARINE BIOLOGY</t>
  </si>
  <si>
    <t>fish; skate Amblyraja georgiana; leukogram; leukocytes</t>
  </si>
  <si>
    <t>ELASMOBRANCH LYMPHOID-TISSUE; LYMPHOMYELOID TISSUES; IMMUNE-RESPONSE; NURSE SHARK; ULTRASTRUCTURE; LEUKOCYTES; EVOLUTION; DOGFISH; SIZE; FISH</t>
  </si>
  <si>
    <t>The composition of leukocytes was studied in the peripheral blood and hematopoietic organs (kidneys and spleen) of the Antarctic starry skate Amblyraja georgiana (Norman, 1938). Cells of several types with different morphofunctional characteristics and structures were found in the blood smears: lymphocytes, monocytes, neutrophils and eosinophils, and blast cells. A leukogram analysis showed that the white blood of A. georgiana is of a lymphoid type. In the kidney and spleen, most cells are blast forms.</t>
  </si>
  <si>
    <t>[Gordeev, I. I.] Russian Fed Res Inst Fisheries &amp; Oceanog, Moscow 107140, Russia; [Gordeev, I. I.] Moscow MV Lomonosov State Univ, Moscow 119991, Russia; [Mikryakov, D. V.; Balabanova, L. V.; Mikryakov, V. R.] Russian Acad Sci, Papanin Inst Biol Inland Waters, Borok 152742, Russia</t>
  </si>
  <si>
    <t>Research lnstitute of Fisheries &amp; Oceanography; Lomonosov Moscow State University; Papanin Institute for Biology of Inland Waters; Russian Academy of Sciences</t>
  </si>
  <si>
    <t>Gordeev, II (corresponding author), Russian Fed Res Inst Fisheries &amp; Oceanog, Moscow 107140, Russia.;Gordeev, II (corresponding author), Moscow MV Lomonosov State Univ, Moscow 119991, Russia.</t>
  </si>
  <si>
    <t>gordeev_ilya@bk.ru</t>
  </si>
  <si>
    <t>Gordeev, Ilya/F-2972-2017; Mikryakov, Daniil В/B-2421-2017</t>
  </si>
  <si>
    <t>Gordeev, Ilya/0000-0002-6650-9120;</t>
  </si>
  <si>
    <t>Russian Science Foundation [17-74-10203]; Federal Agency of Scientific Organizations (FASO) Russia [AAAA-A18-118012690123-4]; Russian Science Foundation [17-74-10203] Funding Source: Russian Science Foundation</t>
  </si>
  <si>
    <t>Russian Science Foundation(Russian Science Foundation (RSF)); Federal Agency of Scientific Organizations (FASO) Russia; Russian Science Foundation(Russian Science Foundation (RSF))</t>
  </si>
  <si>
    <t>The study was supported by the Russian Science Foundation (grant no. 17-74-10203) and was conducted in part within the framework of the Governmental Assignment, Federal Agency of Scientific Organizations (FASO) Russia (topic no. AAAA-A18-118012690123-4).</t>
  </si>
  <si>
    <t>1063-0740</t>
  </si>
  <si>
    <t>1608-3377</t>
  </si>
  <si>
    <t>RUSS J MAR BIOL+</t>
  </si>
  <si>
    <t>Russ. J. Mar. Biol.</t>
  </si>
  <si>
    <t>10.1134/S1063074019060038</t>
  </si>
  <si>
    <t>KK5HQ</t>
  </si>
  <si>
    <t>WOS:000512773200010</t>
  </si>
  <si>
    <t>Firstov, PP; Glukhov, VE; Makarov, EO; Zharinov, NA; Titkov, NN; Serovetnikov, SS; Takahashi, H</t>
  </si>
  <si>
    <t>Firstov, P. P.; Glukhov, V. E.; Makarov, E. O.; Zharinov, N. A.; Titkov, N. N.; Serovetnikov, S. S.; Takahashi, H.</t>
  </si>
  <si>
    <t>Geodynamic Processes Preceding the Sea of Okhotsk Deep Earthquake of May 24, 2013, with Magnitude Mw=8.3</t>
  </si>
  <si>
    <t>DOKLADY EARTH SCIENCES</t>
  </si>
  <si>
    <t>This study analyzes the set of parameters of geophysical fields and geodynamic events before the very strong Sea of Okhotsk earthquake of May 24, 2013, with M-w = 8.3 and a focal depth of 630 km. In the time neighborhood of the earthquake (May 19-20), temporally synchronous geodynamic processes were observed in the areas of Kamchatka Peninsula that were separated by hundreds of kilometers. The simultaneous occurrence of anomalies in the behavior of tilts and in the dynamics of subsoil radon flow, conditioned by the deformation of remote foreshock activation in Avacha Bay, argues for a united earthquake-preceding geodynamic process of a regional scale. A possible reason for the observed synphase geodynamic phenomena is a geodeformation wave that emerged at the last stage of preparation prior to the Sea of Okhotsk earthquake.</t>
  </si>
  <si>
    <t>[Firstov, P. P.; Glukhov, V. E.; Makarov, E. O.; Titkov, N. N.] Russian Acad Sci, Kamchatka Branch Geophys Survey, Petropavlovsk Kamchatski 683006, Russia; [Zharinov, N. A.] Russian Acad Sci, Inst Volcanol &amp; Seismol, Far East Branch, Petropavlovsk Kamchatski 683006, Russia; [Serovetnikov, S. S.] Arctic &amp; Antarctic Res Inst, St Petersburg 199397, Russia; [Takahashi, H.] Hokkaido Univ, Inst Seismol &amp; Volcanol, Kita Ku, Sapporo, Hokkaido, Japan</t>
  </si>
  <si>
    <t>Russian Academy of Sciences; Geophysical Survey of the Russian Academy of Sciences; Russian Academy of Sciences; Institute of Volcanology &amp; Seismology, Far Eastern Branch, RAS; Arctic &amp; Antarctic Research Institute; Hokkaido University</t>
  </si>
  <si>
    <t>Firstov, PP (corresponding author), Russian Acad Sci, Kamchatka Branch Geophys Survey, Petropavlovsk Kamchatski 683006, Russia.</t>
  </si>
  <si>
    <t>firstov@emsd.ru</t>
  </si>
  <si>
    <t>Titkov, Nikolay/AAQ-7609-2020; Makarov, Evgeny/ADP-0143-2022; Глухов, Виталий Евгеньевич/IUO-6065-2023; Makarov, Evgeny/AAL-1711-2020</t>
  </si>
  <si>
    <t>Makarov, Evgeny/0000-0002-0462-3657; Makarov, Evgeny/0000-0002-0462-3657</t>
  </si>
  <si>
    <t>[AAAA-A19-119031490088-8]</t>
  </si>
  <si>
    <t>This study was carried out within the framework of a State Assignment, project no. AAAA-A19-119031490088-8.</t>
  </si>
  <si>
    <t>1028-334X</t>
  </si>
  <si>
    <t>1531-8354</t>
  </si>
  <si>
    <t>DOKL EARTH SCI</t>
  </si>
  <si>
    <t>Dokl. Earth Sci.</t>
  </si>
  <si>
    <t>10.1134/S1028334X19110217</t>
  </si>
  <si>
    <t>KJ0CI</t>
  </si>
  <si>
    <t>WOS:000511725500025</t>
  </si>
  <si>
    <t>Harrington, J; Gubian, M; Stevens, M; Schiel, F</t>
  </si>
  <si>
    <t>Harrington, Jonathan; Gubian, Michele; Stevens, Mary; Schiel, Florian</t>
  </si>
  <si>
    <t>Phonetic change in an Antarctic winter</t>
  </si>
  <si>
    <t>JOURNAL OF THE ACOUSTICAL SOCIETY OF AMERICA</t>
  </si>
  <si>
    <t>EVOLUTION; CONVERGENCE</t>
  </si>
  <si>
    <t>An acoustic analysis was made of the speech characteristics of individuals recorded before and during a prolonged stay in Antarctica. A computational model was used to predict the expected changes due to close contact and isolation, which were then compared with the actual recorded productions. The individuals were found to develop the first stages of a common accent in Antarctica whose phonetic characteristics were in some respects predicted by the computational model. These findings suggest that the phonetic attributes of a spoken accent in its initial stages emerge through interactions between individuals causing speech production to be incrementally updated. (C) 2019 Acoustical Society of America.</t>
  </si>
  <si>
    <t>[Harrington, Jonathan; Gubian, Michele; Stevens, Mary; Schiel, Florian] Ludwig Maximilians Univ Munchen, Inst Phonet &amp; Speech Proc, Munich, Germany</t>
  </si>
  <si>
    <t>University of Munich</t>
  </si>
  <si>
    <t>Stevens, M (corresponding author), Ludwig Maximilians Univ Munchen, Inst Phonet &amp; Speech Proc, Munich, Germany.</t>
  </si>
  <si>
    <t>mes@phonetik.uni-muenchen.de</t>
  </si>
  <si>
    <t>European Research Council [742289]; European Research Council (ERC) [742289] Funding Source: European Research Council (ERC)</t>
  </si>
  <si>
    <t>European Research Council(European Research Council (ERC)); European Research Council (ERC)(European Research Council (ERC)Spanish Government)</t>
  </si>
  <si>
    <t>This research was supported by European Research Council Grant No. 742289 Human interaction and the evolution of spoken accent (2017-2022). Our thanks to the editor and four reviewers for their helpful and incisive comments.</t>
  </si>
  <si>
    <t>ACOUSTICAL SOC AMER AMER INST PHYSICS</t>
  </si>
  <si>
    <t>MELVILLE</t>
  </si>
  <si>
    <t>STE 1 NO 1, 2 HUNTINGTON QUADRANGLE, MELVILLE, NY 11747-4502 USA</t>
  </si>
  <si>
    <t>0001-4966</t>
  </si>
  <si>
    <t>1520-8524</t>
  </si>
  <si>
    <t>J ACOUST SOC AM</t>
  </si>
  <si>
    <t>J. Acoust. Soc. Am.</t>
  </si>
  <si>
    <t>10.1121/1.5130709</t>
  </si>
  <si>
    <t>Acoustics; Audiology &amp; Speech-Language Pathology</t>
  </si>
  <si>
    <t>KG8WP</t>
  </si>
  <si>
    <t>WOS:000510232400026</t>
  </si>
  <si>
    <t>Leitchenkov, GL; Galushkin, YI; Guseva, YB; Gandyukhin, VV; Dubinin, EP</t>
  </si>
  <si>
    <t>Leitchenkov, G. L.; Galushkin, Yu. I.; Guseva, Yu. B.; Gandyukhin, V. V.; Dubinin, E. P.</t>
  </si>
  <si>
    <t>Crustal Structure, Tectonic Subsidence, and Lithospheric Stretching of the Princess Elizabeth Trough Basin, East Antarctica</t>
  </si>
  <si>
    <t>GEOTECTONICS</t>
  </si>
  <si>
    <t>East Antarctica; Princess Elizabeth Trough; passive margin; lithosphere; rifting; crustal stretching; sedimentary basin; tectonic subsidence; numerical modeling</t>
  </si>
  <si>
    <t>CONTINENTAL-MARGIN; THERMAL STRUCTURE; HEAT-FLOW; EVOLUTION; GENERATION; HISTORY; CLIMATE</t>
  </si>
  <si>
    <t>This paper considers the crustal structure, seismic stratigraphy, thermal evolution, and lithospheric stretching of the deep-water basin located on the East Antarctic passive margin in the Princess Elizabeth Trough. Seven of Middle Jurassic to Quaternary seismic sequences were identified based on interpretation of multichannel seismic data. The information about seismic stratigraphy and crustal thickness (calculated from gravity data) along the section crossing the Princess Elizabeth Trough was used for numerical modeling of the thermal regime of the lithosphere, tectonic subsidence of the crystalline basement, and lithospheric stretching. Modeling shows that calculated tectonic subsidence is possible only under the assumption of crustal extension before the deposition (during crustal doming at the early rift phase). The maximum stretching factor in the basin ranges from 1.1 to 2.0 for the period that preceded the deposition and 2.8 for the period of rift-related deposition.</t>
  </si>
  <si>
    <t>[Leitchenkov, G. L.] Gramberg Res Inst Geol &amp; Mineral Resources World, St Petersburg 190121, Russia; [Leitchenkov, G. L.] St Petersburg State Univ, Inst Earth Sci, St Petersburg 199034, Russia; [Galushkin, Yu. I.; Dubinin, E. P.] Moscow MV Lomonosov State Univ, Museum Nat Hist, Moscow 119991, Russia; [Guseva, Yu. B.; Gandyukhin, V. V.] Polar Marine Geosurvey Expedit, St Petersburg 198412, Russia</t>
  </si>
  <si>
    <t>Saint Petersburg State University; Lomonosov Moscow State University</t>
  </si>
  <si>
    <t>Leitchenkov, GL (corresponding author), Gramberg Res Inst Geol &amp; Mineral Resources World, St Petersburg 190121, Russia.;Leitchenkov, GL (corresponding author), St Petersburg State Univ, Inst Earth Sci, St Petersburg 199034, Russia.</t>
  </si>
  <si>
    <t>german_l@mail.ru</t>
  </si>
  <si>
    <t>Russian Science Foun-dation [16-17-10139]; Russian Science Foundation [16-17-10139] Funding Source: Russian Science Foundation</t>
  </si>
  <si>
    <t>Russian Science Foun-dation(Russian Science Foundation (RSF)); Russian Science Foundation(Russian Science Foundation (RSF))</t>
  </si>
  <si>
    <t>The work was supported by the Russian Science Foun-dation (project no. 16-17-10139).</t>
  </si>
  <si>
    <t>0016-8521</t>
  </si>
  <si>
    <t>1556-1976</t>
  </si>
  <si>
    <t>GEOTECTONICS+</t>
  </si>
  <si>
    <t>Geotectonics</t>
  </si>
  <si>
    <t>10.1134/S0016852119060074</t>
  </si>
  <si>
    <t>KI7OW</t>
  </si>
  <si>
    <t>WOS:000511540100006</t>
  </si>
  <si>
    <t>Pollett, A; Hasterok, D; Raimondo, T; Halpin, JA; Hand, M; Bendall, B; McLaren, S</t>
  </si>
  <si>
    <t>Pollett, Alicia; Hasterok, Derrick; Raimondo, Tom; Halpin, Jacqueline A.; Hand, Martin; Bendall, Betina; McLaren, Sandra</t>
  </si>
  <si>
    <t>Heat Flow in Southern Australia and Connections With East Antarctica</t>
  </si>
  <si>
    <t>ICE-SHEET; THERMAL REGIME; WEST ANTARCTICA; GEOTHERMAL FLUX; TEMPERATURE; EVOLUTION; GONDWANA; BENEATH; SURFACE; MODEL</t>
  </si>
  <si>
    <t>Viscosity and melt generation at the base of ice sheets are critically dependent upon heat flow. Yet subglacial heat flow is poorly constrained due to the logistical challenges of obtaining boreholes that intersect the bedrock beneath thick ice cover. Currently, continental estimates of Antarctic heat flow are derived from geophysical methods that provide ambiguous constraints of crustal heat sources, despite their demonstrated importance for accurate predictions of future ice sheet behavior. This study pursues an alternative approach by using heat flow measurements from rock units in the Coompana Province of southern Australia, which represent the geological counterparts of those beneath Wilkes Land in East Antarctica. We present nine new surface heat flow estimates from this previously uncharacterized region, ranging from 40 to 70 mW/m(2) with an average of 57 +/- 3 mW/m(2). These values compare favorably to recent geophysically derived estimates of 50-75 mW/m(2) for the Totten Glacier catchment of East Antarctica, and to the single in situ measurement of 75 mW/m(2) from the Law Dome deep ice borehole. However, they are appreciably lower than the range of 56-120 mW/m(2) (83 +/- 13 mW/m(2) average) for the abnormally enriched Proterozoic terranes of the Central Australian Heat Flow Province. This study provides the first regional heat flow map of geological provinces formerly contiguous with East Antarctica through the application of continent-scale heat flow data sets tied to a Jurassic plate tectonic reconstruction for Gondwana. Our approach reveals several discrepancies with current heat flow models derived from geophysical methods and provides a more robust analysis of subglacial heat flow using this plate tectonic synthesis as a proxy for East Antarctica. Plain Language Summary The Antarctic ice sheet currently represents the largest source for potential sea level rise. Understanding Antarctic ice sheet behavior is important for predicting ice sheet movement and possible melting. Heat that flows from the crust to the base of the ice sheet is a significant contributor to ice sheet behavior. Obtaining estimates of heat flow across Antarctica are problematic due to the logistical challenges of accessing bedrock that lies beneath thick ice cover. Consequently, thermal conditions are currently estimated using geophysical data, from which temperatures beneath the ice extending into the crust and mantle are derived. However, large discrepancies exist between alternative geophysical models, and there remains the need to validate these models and assess their accuracy. This study takes a new approach by using heat flow estimates from southern Australia as a proxy for heat flow in East Antarctica. Plate tectonic reconstructions indicate that approximately 160 million years ago, Australia and East Antarctica were conjoined. We argue that the rocks and corresponding heat flow values of southern Australia are genuine counterparts to those beneath the ice in East Antarctica. If true, this suggests that existing geophysical models can be tested against our reconstructed heat flow maps of this shared tectonic margin.</t>
  </si>
  <si>
    <t>[Pollett, Alicia; Raimondo, Tom] Univ South Australia, Sch Nat &amp; Built Environm, Adelaide, SA, Australia; [Hasterok, Derrick; Hand, Martin] Univ Adelaide, Sch Phys Sci, Geol &amp; Geophys, Adelaide, SA, Australia; [Raimondo, Tom] Univ South Australia, Future Ind Inst, Adelaide, SA, Australia; [Halpin, Jacqueline A.] Univ Tasmania, Inst Marine &amp; Antarctic Studies, Hobart, Tas, Australia; [Bendall, Betina] South Australian Dept Energy &amp; Min, Energy Resources Div, Adelaide, SA, Australia; [McLaren, Sandra] Univ Melbourne, Sch Earth Sci, Victoria, Australia</t>
  </si>
  <si>
    <t>University of South Australia; University of Adelaide; University of South Australia; University of Tasmania; University of Melbourne</t>
  </si>
  <si>
    <t>Pollett, A (corresponding author), Univ South Australia, Sch Nat &amp; Built Environm, Adelaide, SA, Australia.</t>
  </si>
  <si>
    <t>alicia.pollett@unisa.edu.au</t>
  </si>
  <si>
    <t>McLaren, Sandra/J-1842-2014; Halpin, Jacqueline/A-3776-2014; Raimondo, Tom/F-3766-2013; Hasterok, Derrick/H-9392-2012</t>
  </si>
  <si>
    <t>McLaren, Sandra/0000-0001-5757-1670; Halpin, Jacqueline/0000-0002-4992-8681; hand, martin/0000-0003-3743-9706; Pollett, Alicia/0000-0002-7992-3865; Raimondo, Tom/0000-0001-9115-9196; Hasterok, Derrick/0000-0002-8257-7975</t>
  </si>
  <si>
    <t>UniSA Research Themes Investment Scheme; Australian Government Research Training Program (RTP) Scholarship; Australian Research Council's Special Research Initiative for Antarctic Gateway Partnership [SR140300001]; Australian Research Council [DP180104074, DP0987765]; Auscope; Australian Research Council [DP0987765] Funding Source: Australian Research Council</t>
  </si>
  <si>
    <t>UniSA Research Themes Investment Scheme; Australian Government Research Training Program (RTP) Scholarship(Australian GovernmentDepartment of Industry, Innovation and Science); Australian Research Council's Special Research Initiative for Antarctic Gateway Partnership(Australian Research Council); Australian Research Council(Australian Research Council); Auscope; Australian Research Council(Australian Research Council)</t>
  </si>
  <si>
    <t>Alan Aitken, Jorg Ebbing, and an anonymous reviewer are thanked for their comments which greatly improved the manuscript. Thorsten Becker is thanked for his editorial handling. Amy Lockheed, Luke Tylkowski, Tom Wise, Elizabeth Jagodzinksi, and Sarlae McAlpine are thanked for their assistance in collecting temperature data throughout the PACE Coompana Drilling Program. Robert Aebi is thanked for his technical assistance in the field, and Stefan Peters for his assistance with the production of parts of Figure 7. Funding for this work was provided by the UniSA Research Themes Investment Scheme, and A. Pollett is supported by an Australian Government Research Training Program (RTP) Scholarship. J. Halpin is supported under the Australian Research Council's Special Research Initiative for Antarctic Gateway Partnership SR140300001. The Australian Research Council is acknowledged for support of this project via discovery projects DP180104074 and DP0987765. We also acknowledge Auscope for part funding of the downhole temperature logging equipment used in this study. Thermal conductivity and temperature data used to calculate heat flow values for the Coompana Province are available at the South Australian Geodata Database (https://minerals.sarig.sa.gov.au/). The global heat flow database can be accessed via http://www.heatflow.org/.</t>
  </si>
  <si>
    <t>10.1029/2019GC008418</t>
  </si>
  <si>
    <t>WOS:000505405400040</t>
  </si>
  <si>
    <t>Lim, SM; Moreau, S; Vancoppenolle, M; Deman, F; Roukaerts, A; Meiners, KM; Janssens, J; Lannuzel, D</t>
  </si>
  <si>
    <t>Lim, S. M.; Moreau, S.; Vancoppenolle, M.; Deman, F.; Roukaerts, A.; Meiners, K. M.; Janssens, J.; Lannuzel, D.</t>
  </si>
  <si>
    <t>Field Observations and Physical-Biogeochemical Modeling Suggest Low Silicon Affinity for Antarctic Fast Ice Diatoms</t>
  </si>
  <si>
    <t>SEA-ICE; ROSS SEA; BIOOPTICAL MODEL; HIGH-RESOLUTION; CHLOROPHYLL-A; PLATELET ICE; TIME-SERIES; DYNAMICS; NUTRIENT; GROWTH</t>
  </si>
  <si>
    <t>We use field observations from late spring and a one-dimensional sea-ice model to explore a high nutrient, high chlorophyll system in Antarctic land-fast ice. Lack of variability in chlorophyll a concentration and organic carbon content over the 17-day sampling period suggests a balance between macronutrient sources and biological uptake. Nitrate, nitrite, phosphate, and ammonium were measured at concentrations well above salinity-predicted levels, indicating nutrient accumulation fueled by remineralization processes. However, silicic acid (DSi) was depleted relative to seawater and was potentially limiting. One-dimensional physical-biogeochemical sea-ice model simulations at the observation site achieve extremely high algal growth and DSi uptake with a DSi half-saturation constant used for pelagic diatoms (K-Si = 3.9 mu M) and are not sufficiently improved by tuning the DSi:carbon ratio or DSi remineralization rate. In contrast, diatom biomass in the bottom ice, which makes up 70% of the observed chlorophyll, is simulated using K-Si an order of magnitude higher (50 mu M), a value similar to that measured in a few Antarctic diatom cultures. Some sea-ice diatoms may therefore experience limitation at relatively high ambient DSi concentrations compared to pelagic diatoms. Our study highlights the urgent need for observational data on sea-ice algal affinity for DSi to further support this hypothesis. A lower algal growth rate increases model predictions of DSi in the upper sea ice to more accurate concentrations. The model currently does not account for the non-diatom communities that dominate those layers, and thus, modeling diatom communities overpredicts DSi uptake in the upper ice.</t>
  </si>
  <si>
    <t>[Lim, S. M.] Scripps Coll, Claremont, CA 91711 USA; [Lim, S. M.; Moreau, S.; Janssens, J.; Lannuzel, D.] Univ Tasmania, Inst Marine &amp; Antarctic Studies, Hobart, Tas, Australia; [Lim, S. M.] Stanford Univ, Dept Earth Syst Sci, Stanford, CA 94305 USA; [Moreau, S.] Norwegian Polar Res Inst, Tromso, Norway; [Vancoppenolle, M.] Lab Oceanog &amp; Climat LOCEAN, Paris, France; [Deman, F.; Roukaerts, A.] Vrije Univ Brussel, Dept Analyt Environm &amp; Geochem &amp; Earth Syst Sci, Brussels, Belgium; [Meiners, K. M.; Janssens, J.; Lannuzel, D.] Univ Tasmania, Antarctic Climate &amp; Ecosyst Cooperat Res Ctr, Hobart, Tas, Australia; [Meiners, K. M.] Dept Environm &amp; Energy, Australian Antarctic Div, Kingston, Tas, Australia</t>
  </si>
  <si>
    <t>Claremont Colleges; Scripps College; University of Tasmania; Stanford University; Norwegian Polar Institute; Museum National d'Histoire Naturelle (MNHN); Sorbonne Universite; Vrije Universiteit Brussel; University of Tasmania; Antarctic Climate &amp; Ecosystems Cooperative Research Centre (ACE CRC); Australian Antarctic Division</t>
  </si>
  <si>
    <t>Lim, SM (corresponding author), Scripps Coll, Claremont, CA 91711 USA.;Lim, SM (corresponding author), Univ Tasmania, Inst Marine &amp; Antarctic Studies, Hobart, Tas, Australia.;Lim, SM (corresponding author), Stanford Univ, Dept Earth Syst Sci, Stanford, CA 94305 USA.</t>
  </si>
  <si>
    <t>smlim@stanford.edu</t>
  </si>
  <si>
    <t>Vancoppenolle, Martin/AAA-7711-2022; Vancoppenolle, Martin/B-3750-2011; lannuzel, delphine/J-7937-2014</t>
  </si>
  <si>
    <t>Vancoppenolle, Martin/0000-0002-7573-8582; Vancoppenolle, Martin/0000-0002-7573-8582; lannuzel, delphine/0000-0001-6154-1837; Deman, Florian/0000-0001-6647-7360; Lim, Stephanie/0000-0002-0684-914X; Moreau, Sebastien/0000-0001-9446-812X; Janssens, Julie/0000-0003-1789-9940</t>
  </si>
  <si>
    <t>Australian Government Cooperative Research Centres Programme through the Antarctic Climate &amp; Ecosystems (ACECRC) Carbon program 2.1; Australian Antarctic Science (AAS) [4291]; Australian Research Council's Special Research Initiative for Antarctic Gateway Partnership [SR140300001]; Rainforest, Reef, and Cultural Ecology, School for International Training (SIT) Study Abroad program</t>
  </si>
  <si>
    <t>Australian Government Cooperative Research Centres Programme through the Antarctic Climate &amp; Ecosystems (ACECRC) Carbon program 2.1; Australian Antarctic Science (AAS); Australian Research Council's Special Research Initiative for Antarctic Gateway Partnership(Australian Research Council); Rainforest, Reef, and Cultural Ecology, School for International Training (SIT) Study Abroad program</t>
  </si>
  <si>
    <t>We thank Phillip Assmy for his help with identifying ice algae species. Thank you to the two anonymous reviewers for their comments which helped improve this paper. This work was co-funded by the Australian Government Cooperative Research Centres Programme through the Antarctic Climate &amp; Ecosystems (ACECRC) Carbon program 2.1, the Australian Antarctic Science (AAS) project no. 4291, and the Australian Research Council's Special Research Initiative for Antarctic Gateway Partnership (Project ID SR140300001). Stephanie Lim was supported by the Rainforest, Reef, and Cultural Ecology, School for International Training (SIT) Study Abroad program. The data presented in this paper are available under Duprat (2019, updated 2019).</t>
  </si>
  <si>
    <t>10.1029/2018JC014458</t>
  </si>
  <si>
    <t>WOS:000505404600033</t>
  </si>
  <si>
    <t>Allanson, O; Watt, CEJ; Ratcliffe, H; Meredith, NP; Allison, HJ; Bentley, SN; Bloch, T; Glauert, SA</t>
  </si>
  <si>
    <t>Allanson, O.; Watt, C. E. J.; Ratcliffe, H.; Meredith, N. P.; Allison, H. J.; Bentley, S. N.; Bloch, T.; Glauert, S. A.</t>
  </si>
  <si>
    <t>Particle-in-cell Experiments Examine Electron Diffusion by Whistler-mode Waves: 1. Benchmarking With a Cold Plasma</t>
  </si>
  <si>
    <t>RADIATION-BELT ELECTRONS; PITCH-ANGLE; NONLINEAR-INTERACTIONS; ANOMALOUS DIFFUSION; PLASMASPHERIC HISS; MULTIBAND CHORUS; GENERATION; ACCELERATION; MAGNETOSPHERE; RESONANCES</t>
  </si>
  <si>
    <t>Using a particle-in-cell code, we study the diffusive response of electrons due to wave-particle interactions with whistler-mode waves. The relatively simple configuration of field-aligned waves in a cold plasma is used in order to benchmark our novel method, and to compare with previous works that used a different modelling technique. In this boundary-value problem, incoherent whistler-mode waves are excited at the domain boundary, and then propagate through the ambient plasma. Electron diffusion characteristics are directly extracted from particle data across all available energy and pitch-angle space. The 'nature' of the diffusive response is itself a function of energy and pitch-angle, such that the rate of diffusion is not always constant in time. However, after an initial transient phase, the rate of diffusion tends to a constant, in a manner that is consistent with the assumptions of quasilinear diffusion theory. This work establishes a framework for future investigations on the nature of diffusion due to whistler-mode wave-particle interactions, using particle-in-cell numerical codes with driven waves as boundary value problems.</t>
  </si>
  <si>
    <t>[Allanson, O.; Watt, C. E. J.; Bentley, S. N.; Bloch, T.] Univ Reading, Dept Meteorol, Space &amp; Atmospher Elect Grp, Reading, Berks, England; [Ratcliffe, H.] Univ Warwick, Dept Phys, Ctr Fus Space &amp; Astrophys, Coventry, W Midlands, England; [Meredith, N. P.; Allison, H. J.; Glauert, S. A.] British Antarctic Survey, Nat Environm Res Council, Cambridge, England; [Allison, H. J.] GFZ German Res Ctr Geosci, Helmholtz Ctr Potsdam, Potsdam, Germany</t>
  </si>
  <si>
    <t>University of Reading; University of Warwick; UK Research &amp; Innovation (UKRI); Natural Environment Research Council (NERC); NERC British Antarctic Survey; Helmholtz Association; Helmholtz-Center Potsdam GFZ German Research Center for Geosciences</t>
  </si>
  <si>
    <t>Allanson, O (corresponding author), Univ Reading, Dept Meteorol, Space &amp; Atmospher Elect Grp, Reading, Berks, England.</t>
  </si>
  <si>
    <t>o.allanson@reading.ac.uk</t>
  </si>
  <si>
    <t>Allanson, Oliver/GLT-2725-2022; Allanson, Oliver/AAM-8744-2020; Meredith, Nigel P/C-5806-2018; Watt, Clare/C-5218-2008</t>
  </si>
  <si>
    <t>Allanson, Oliver/0000-0003-2353-8586; Watt, Clare/0000-0003-3193-8993; Bentley, Sarah N/0000-0002-0095-1979; Bloch, Teo/0000-0001-6017-1619; Allison, Hayley/0000-0002-6665-2023; Meredith, Nigel/0000-0001-5032-3463</t>
  </si>
  <si>
    <t>Natural Environment Research Council (NERC) Highlight Topic Grants [NE/P017274/1, NE/P01738X/1, NE/L002566/1]; STFC [ST/R505031/1, ST/R000921/1]; UK EPSRC [EP/G054950/1, EP/G056803/1, EP/G055165/1, EP/M022463/1]; BEIS capital funding via STFC capital grants [ST/P002307/1, ST/R002452/1]; STFC operations grant [ST/R00689X/1]; NERC [NE/P01738X/1, NE/P017274/1, bas0100031] Funding Source: UKRI; STFC [ST/R001014/1, 1938087, ST/M006948/1, ST/M007073/1, ST/S003916/1, ST/R001006/1, ST/M007006/1, ST/M007065/1, ST/S002529/1, ST/T001372/1, ST/R00689X/1, ST/R000832/1, ST/R000921/1, ST/M007618/1, ST/R001049/1, ST/T001569/1, ST/T001348/1, ST/T001550/1] Funding Source: UKRI</t>
  </si>
  <si>
    <t>Natural Environment Research Council (NERC) Highlight Topic Grants(UK Research &amp; Innovation (UKRI)Natural Environment Research Council (NERC)); STFC(UK Research &amp; Innovation (UKRI)Science &amp; Technology Facilities Council (STFC)); UK EPSRC(UK Research &amp; Innovation (UKRI)Engineering &amp; Physical Sciences Research Council (EPSRC)); BEIS capital funding via STFC capital grants(UK Research &amp; Innovation (UKRI)Science &amp; Technology Facilities Council (STFC)); STFC operations grant(UK Research &amp; Innovation (UKRI)Science &amp; Technology Facilities Council (STFC)); NERC(UK Research &amp; Innovation (UKRI)Natural Environment Research Council (NERC)); STFC(UK Research &amp; Innovation (UKRI)Science &amp; Technology Facilities Council (STFC))</t>
  </si>
  <si>
    <t>The supporting information provides: (S1) basic instructions on how to run the same experiment that is presented in the main article. Furthermore, data is provided at https://doi.org/10.6084/m9.figshare.9884210.v1.This data file provides: (D1) the contents of the input text file, used for the numerical experiment that is presented in the main article, as further discussed in S1. Therefore, a combination of the information provided in S1 and D1 will enable readers to locally generate the same experimental data as was considered in the main article. This research was supported by the Natural Environment Research Council (NERC) Highlight Topic Grants #NE/P017274/1 (Rad-Sat) and #NE/P01738X/1 (Rad-Sat), and also #NE/L002566/1. The research was also supported by STFC grants #ST/R505031/1 and #ST/R000921/1. Thisworkwas in part funded by the UK EPSRC grants EP/G054950/1, EP/G056803/1, EP/G055165/1 and EP/M022463/1. This work was in part performed using the Cambridge Service for Data Driven Discovery (CSD3), part of which is operated by the University of Cambridge Research Computing on behalf of the STFC DiRAC HPC Facility (www.dirac.ac.uk).The DiRAC component of CSD3 was funded by BEIS capital funding via STFC capital grants ST/P002307/1 and ST/R002452/1 and STFC operations grant ST/R00689X/1. DiRAC is part of the National e-Infrastructure. This work was in part performed using the Research Processing Service (Met-Cluster) and the Reading Academic Computing Cluster (RACC) at the University of Reading. The authors acknowledge helpful conversations with M. Balikhin, A.W. Degeling, F. Effenberger, C. Forsyth, R.B. Horne, T. Neukirch, I.J. Rae and S. Troscheit.</t>
  </si>
  <si>
    <t>10.1029/2019JA027088</t>
  </si>
  <si>
    <t>WOS:000505404700042</t>
  </si>
  <si>
    <t>Papathanasiou, TK; Belibassakis, KA</t>
  </si>
  <si>
    <t>Papathanasiou, T. K.; Belibassakis, K. A.</t>
  </si>
  <si>
    <t>A nonconforming hydroelastic triangle for ice shelf modal analysis</t>
  </si>
  <si>
    <t>JOURNAL OF FLUIDS AND STRUCTURES</t>
  </si>
  <si>
    <t>Nonconforming elements; Hydroelastic finite elements; Modal analysis; Ice shelves; Hydroelastic resonances</t>
  </si>
  <si>
    <t>GRAVITY-WAVES; NORMAL-MODES; ANTARCTICA; TONGUE</t>
  </si>
  <si>
    <t>Hydroelastic oscillations of ice shelves, induced by the action of ocean waves, produce deflection and stresses that could potentially lead to calving events. Due to the large horizontal span of several Antarctic ice shelves, like the Ross, Ronne or Larsen C, hydroelastic models for the ice shelf/ice shelf cavity configuration based on long wave approximations can be very effective. Such a model, based on the linearised Shallow Water Equations and the Kirchhoff-Love bending theory for slender plates is considered. For ice shelf modal analysis, in the framework of the specific model, a nonconforming hydroelastic finite element is developed. The new hydroelastic triangle is based on coupling Specht's plate element with a linear triangle for the velocity potential approximation. It enables explicit computation of the hydroelastic coupling matrix and optimal convergence rates for the eigenpairs. The element efficiency is verified against a semi-analytical solution and the theoretically predicted convergence rates are validated for solutions with sufficient regularity. The SHEEL element (Specht HydroElastic ELement) can be used for cases of variable bathymetry and mild variations of the ice shelf thickness. The same element can be employed for time domain hydroelastic analysis with very slight modifications. A model of the Larsen C ice shelf is considered as a case study. (C) 2019 The Authors. Published by Elsevier Ltd.</t>
  </si>
  <si>
    <t>[Papathanasiou, T. K.] Brunel Univ London, Dept Civil &amp; Environm Engn, Uxbridge UB8 3PH, Middx, England; [Belibassakis, K. A.] Natl Tech Univ Athens, Sch Naval Architecture &amp; Marine Engn, GR-15773 Zografos, Greece</t>
  </si>
  <si>
    <t>Brunel University; National Technical University of Athens</t>
  </si>
  <si>
    <t>Papathanasiou, TK (corresponding author), Brunel Univ London, Dept Civil &amp; Environm Engn, Uxbridge UB8 3PH, Middx, England.</t>
  </si>
  <si>
    <t>theodosios.papathanasiou@brunel.ac.uk</t>
  </si>
  <si>
    <t>Papathanasiou, Theodosios/0000-0003-2130-5172</t>
  </si>
  <si>
    <t>Brunel Research Initiative &amp; Enterprise Fund BRIEF [1069]</t>
  </si>
  <si>
    <t>Brunel Research Initiative &amp; Enterprise Fund BRIEF</t>
  </si>
  <si>
    <t>T K Papathanasiou gratefully acknowledges support from the Brunel Research Initiative &amp; Enterprise Fund BRIEF 2018/2019-award number 1069.</t>
  </si>
  <si>
    <t>0889-9746</t>
  </si>
  <si>
    <t>J FLUID STRUCT</t>
  </si>
  <si>
    <t>J. Fluids Struct.</t>
  </si>
  <si>
    <t>10.1016/j.jfluidstructs.2019.102741</t>
  </si>
  <si>
    <t>Engineering, Mechanical; Mechanics</t>
  </si>
  <si>
    <t>Engineering; Mechanics</t>
  </si>
  <si>
    <t>KB8EC</t>
  </si>
  <si>
    <t>WOS:000506721100042</t>
  </si>
  <si>
    <t>Borisov, DG; Murdmaa, IO; Ivanova, EV; Dorokhova, EV</t>
  </si>
  <si>
    <t>Borisov, Dmitrii G.; Murdmaa, Ivar O.; Ivanova, Elena V.; Dorokhova, Evgenia V.</t>
  </si>
  <si>
    <t>Late Quaternary lateral sedimentation in the Sao Tome Seamount area of the western South Atlantic</t>
  </si>
  <si>
    <t>RUSSIAN JOURNAL OF EARTH SCIENCES</t>
  </si>
  <si>
    <t>Contourites; turbidites; continental rise; bottom current; AABW; seismic profiling; seismic facies</t>
  </si>
  <si>
    <t>BOTTOM-CURRENT SPEED; ECHO-CHARACTER; DEEP-SEA; CONTINENTAL-MARGIN; SEISMIC STRATIGRAPHY; BRAZIL BASIN; DEPOSITS; CIRCULATION; HISTORY; SYSTEM</t>
  </si>
  <si>
    <t>This work is focused on a problem of distinguishing between contourites and turbidites in the southwestern Brazil Basin, which is crucial for better understanding of the Late Quaternary history of interplay between along slope and down slope sedimentation processes in the western South Atlantic. The study embraces an area between the Almirante Saldanha and Sao Tome Seamounts, which is not linked to any known depositional system. This area was not previously studied in frame of the contourite paradigm. Very high-resolution seismic records and lithological data acquired during three cruises of the RV Akademik Ioffe (2011-2013) revealed domination of lateral sedimentation in the area of the Sao Tome Seamount. Interplay between along slope and gravity driven sedimentation processes interacting with the ocean floor topography resulted in the formation of complicated sediment structures and a wide range of seismic facies. Along slope sedimentation processes are controlled by the Antarctic bottom water current, which reworked coarse-grained material derived from the continental slope through turbidity flows. The study area is divided into two zones, which are characterized by domination of either gravity flows or bottom current related sedimentation processes. The Sao Tome Seamount marks a boundary between these zones. The obtained results improved knowledges about the formation history of the Upper Quaternary sediment cover on the continental rise of the southwestern Brazil Basin and about interplay between gravity-driven and bottom current related sedimentation processes during the last glacial-interglacial cycle.</t>
  </si>
  <si>
    <t>[Borisov, Dmitrii G.; Murdmaa, Ivar O.; Ivanova, Elena V.; Dorokhova, Evgenia V.] Shirshov Inst Oceanol RAS, 36 Nahimovskiy Pr, Moscow 117997, Russia</t>
  </si>
  <si>
    <t>Borisov, DG (corresponding author), Shirshov Inst Oceanol RAS, 36 Nahimovskiy Pr, Moscow 117997, Russia.</t>
  </si>
  <si>
    <t>borisov.ocean@gmail.com</t>
  </si>
  <si>
    <t>Dorokhova, Evgenia V/L-3075-2016; Murdmaa, Ivar/T-3538-2017; Ivanova, Elena/AAW-2881-2020; Borisov, Dmitrii/Y-9194-2019</t>
  </si>
  <si>
    <t>Ivanova, Elena/0000-0003-3926-0590; Borisov, Dmitrii/0000-0001-8109-6603; Dorokhova, Evgenia/0000-0002-0079-7342</t>
  </si>
  <si>
    <t>Russian Science Foundation [14-50-00095, 18-17-00227]; Russian Science Foundation [18-17-00227] Funding Source: Russian Science Foundation</t>
  </si>
  <si>
    <t>Russian Science Foundation(Russian Science Foundation (RSF)); Russian Science Foundation(Russian Science Foundation (RSF))</t>
  </si>
  <si>
    <t>The authors are grateful to scientific party, master and crew of RVAkademik Ioffe cruises 33, 35 and 37 for their professional assistance with seismic profiling and coring. The study was partially supported by the Russian Science Foundation grants 14-50-00095 (magnetic susceptibility measurements) and 18-17-00227 (seismic, sedimentological and micropaleontological studies and interpretations). The advanced English language editing was provided by the Wiley Editing Services.</t>
  </si>
  <si>
    <t>GEOPHYSICAL CENTER RAS</t>
  </si>
  <si>
    <t>MOLODEZHNAYA ST 3, MOSCOW, 119296, RUSSIA</t>
  </si>
  <si>
    <t>1681-1208</t>
  </si>
  <si>
    <t>RUSS J EARTH SCI</t>
  </si>
  <si>
    <t>Russ. J. Earth Sci.</t>
  </si>
  <si>
    <t>NOV-DEC</t>
  </si>
  <si>
    <t>ES6014</t>
  </si>
  <si>
    <t>10.2205/2019ES000689</t>
  </si>
  <si>
    <t>KA8CR</t>
  </si>
  <si>
    <t>WOS:000506028300009</t>
  </si>
  <si>
    <t>Behrens, B; Miyairi, Y; Sproson, AD; Yamane, M; Yokoyama, Y</t>
  </si>
  <si>
    <t>Behrens, Bethany; Miyairi, Yosuke; Sproson, Adam D.; Yamane, Masako; Yokoyama, Yusuke</t>
  </si>
  <si>
    <t>Meltwater discharge during the Holocene from the Wilkes subglacial basin revealed by beryllium isotope analysis of marine sediments</t>
  </si>
  <si>
    <t>JOURNAL OF QUATERNARY SCIENCE</t>
  </si>
  <si>
    <t>basal melt; beryllium-10; East Antarctic Ice Sheet; Holocene; marine ice sheet instability</t>
  </si>
  <si>
    <t>IODP EXPEDITION 318; ICE-SHELF; BE-10/BE-9 RATIOS; OCEAN; CALIBRATION; ANTARCTICA; COLLAPSE; EVENT; SEA</t>
  </si>
  <si>
    <t>Understanding Antarctic Ice Sheet dynamics related to global climate change is of scientific and societal interest as the future behaviour of the ice sheet under the currently changing climate is unknown. We present beryllium-10 (Be-10) analysis of a high-resolution marine sediment core from the Adelie Basin near the eastern Wilkes Land margin, which is susceptible to marine ice sheet instability due to the low-lying nature and down-sloping trough of the Wilkes Subglacial Basin. Combined with a newly constructed age model using compound specific radiocarbon dates, the data reveal three events associated with high meteoric Be-10 at ca. ~10 ka, ca. ~6.5 ka and from ca. ~4 ka. We interpret these high meteoric Be-10 events to be derived from the deposition of Be-10 released from the ice sheet during meltwater discharge. In particular, the shift to higher meteoric Be-10 concentration at~4 ka may correspond to changes in climate patterns at this time.</t>
  </si>
  <si>
    <t>[Behrens, Bethany; Miyairi, Yosuke; Sproson, Adam D.; Yokoyama, Yusuke] Univ Tokyo, Atmosphere &amp; Ocean Res Inst, Kashiwa, Chiba, Japan; [Behrens, Bethany; Yokoyama, Yusuke] Univ Tokyo, Grad Programme Environm Sci, Meguro Ku, Tokyo, Japan; [Yamane, Masako] Nagoya Univ, Inst Space Earth Environm Res, Chikusa Ku, Furocho, Nagoya, Aichi, Japan; [Yokoyama, Yusuke] Univ Tokyo, Grad Sch Sci, Dept Earth &amp; Planetary Sci, Bunkyo Ku, Tokyo, Japan; [Yokoyama, Yusuke] Japan Agcy Marine Earth Sci &amp; Technol JAMSTEC, Natsushimacho, Yokosuka, Kanagawa, Japan</t>
  </si>
  <si>
    <t>University of Tokyo; University of Tokyo; Nagoya University; University of Tokyo; Japan Agency for Marine-Earth Science &amp; Technology (JAMSTEC)</t>
  </si>
  <si>
    <t>Yokoyama, Y (corresponding author), Univ Tokyo, Atmosphere &amp; Ocean Res Inst, Kashiwa, Chiba, Japan.;Yokoyama, Y (corresponding author), Univ Tokyo, Grad Programme Environm Sci, Meguro Ku, Tokyo, Japan.;Yokoyama, Y (corresponding author), Univ Tokyo, Grad Sch Sci, Dept Earth &amp; Planetary Sci, Bunkyo Ku, Tokyo, Japan.;Yokoyama, Y (corresponding author), Japan Agcy Marine Earth Sci &amp; Technol JAMSTEC, Natsushimacho, Yokosuka, Kanagawa, Japan.</t>
  </si>
  <si>
    <t>yokoyama@aori.u-tokyo.ac.jp</t>
  </si>
  <si>
    <t>Sproson, Adam/IST-5171-2023</t>
  </si>
  <si>
    <t>Sproson, Adam/0000-0002-1107-3673; Yamane, Masako/0000-0002-5063-0719</t>
  </si>
  <si>
    <t>0267-8179</t>
  </si>
  <si>
    <t>1099-1417</t>
  </si>
  <si>
    <t>J QUATERNARY SCI</t>
  </si>
  <si>
    <t>J. Quat. Sci.</t>
  </si>
  <si>
    <t>10.1002/jqs.3148</t>
  </si>
  <si>
    <t>KA0KE</t>
  </si>
  <si>
    <t>WOS:000505489200002</t>
  </si>
  <si>
    <t>Scaife, RG; Long, AJ; Monteath, AJ; Hughes, PDM; Bentley, MJ; Stone, P</t>
  </si>
  <si>
    <t>Scaife, Robert G.; Long, Antony J.; Monteath, Alistair J.; Hughes, Paul D. M.; Bentley, Michael J.; Stone, Philip</t>
  </si>
  <si>
    <t>The Falkland Islands' palaeoecological response to millennial-scale climate perturbations during the Pleistocene-Holocene transition: Implications for future vegetation stability in the southern ocean islands</t>
  </si>
  <si>
    <t>Falkland Islands; island conservation; palaeoecology; peatland; Southern Westerly Wind Belt</t>
  </si>
  <si>
    <t>HEMISPHERE WESTERLY WINDS; ENVIRONMENTAL-CHANGE; RECORD; ATLANTIC; MOSS; VARIABILITY; PATHWAYS; IRELAND; CUMBRIA; BOGS</t>
  </si>
  <si>
    <t>Oceanic island flora is vulnerable to future climate warming, which is likely to promote changes in vegetation composition, and invasion of non-native species. Sub-Antarctic islands are predicted to experience rapid warming during the next century; therefore, establishing trajectories of change in vegetation communities is essential for developing conservation strategies to preserve biological diversity. We present a Late-glacial-early Holocene (16 500-6450 cal a bp) palaeoecological record from Hooker's Point, Falkland Islands (Islas Malvinas), South Atlantic. This period spans the Pleistocene-Holocene transition, providing insight into biological responses to abrupt climate change. Pollen and plant macrofossil records appear insensitive to climatic cooling during the Late-glacial, but undergo rapid turnover in response to regional warming. The absence of trees throughout the Late-glacial-early Holocene enables the recognition of far-travelled pollen from southern South America. The first occurrence of Nothofagus (southern beech) may reflect changes in the strength and/or position of the Southern Westerly Wind Belt during the Late-glacial period. Peat inception and accumulation at Hooker's Point is likely to be promoted by the recalcitrant litter of wind-adapted flora. This recalcitrant litter helps to explain widespread peatland development in a comparatively dry environment, and suggests that wind-adapted peatlands can remain carbon sinks even under low precipitation regimes.</t>
  </si>
  <si>
    <t>[Scaife, Robert G.; Monteath, Alistair J.; Hughes, Paul D. M.] Univ Southampton, Geog &amp; Environm, Southampton, Hants, England; [Long, Antony J.; Bentley, Michael J.] Univ Durham, Dept Geog, Durham, England; [Stone, Philip] British Geol Survey, Lyell Ctr Edinburgh, Edinburgh, Midlothian, Scotland; [Stone, Philip] Falkland Isl Dept Mineral Resources, Stanley, Falkland Island</t>
  </si>
  <si>
    <t>University of Southampton; Durham University; UK Research &amp; Innovation (UKRI); Natural Environment Research Council (NERC); NERC British Geological Survey</t>
  </si>
  <si>
    <t>Monteath, AJ (corresponding author), Univ Southampton, Geog &amp; Environm, Southampton, Hants, England.</t>
  </si>
  <si>
    <t>Ali.monteath@soton.ac.uk</t>
  </si>
  <si>
    <t>Bentley, Michael J/F-7386-2011</t>
  </si>
  <si>
    <t>Bentley, Michael J/0000-0002-2048-0019; Long, Antony/0000-0002-7605-1205; Hughes, Paul/0000-0002-8447-382X</t>
  </si>
  <si>
    <t>10.1002/jqs.3150</t>
  </si>
  <si>
    <t>Green Accepted, hybrid, Green Published</t>
  </si>
  <si>
    <t>WOS:000505489200003</t>
  </si>
  <si>
    <t>Alekseeva, T; Tikhonov, V; Frolov, S; Repina, I; Raev, M; Sokolova, J; Sharkov, E; Afanasieva, E; Serovetnikov, S</t>
  </si>
  <si>
    <t>Alekseeva, Tatiana; Tikhonov, Vasiliy; Frolov, Sergei; Repina, Irina; Raev, Mikhael; Sokolova, Julia; Sharkov, Evgeniy; Afanasieva, Ekaterina; Serovetnikov, Sergei</t>
  </si>
  <si>
    <t>Comparison of Arctic Sea Ice Concentrations from the NASA Team, ASI, and VASIA2 Algorithms with Summer and Winter Ship Data</t>
  </si>
  <si>
    <t>Arctic; satellite microwave radiometry; algorithms; ship-based visual observations; sea ice concentration; ice melt</t>
  </si>
  <si>
    <t>SATELLITE PASSIVE MICROWAVE; MELT POND FRACTION; IN-SITU; ALBEDO RETRIEVAL; POLAR-REGIONS; MERIS DATA; COVER; SSM/I; RADIOMETRY; PARAMETERS</t>
  </si>
  <si>
    <t>The paper presents a comparison of sea ice concentration (SIC) derived from satellite microwave radiometry data and dedicated ship observations. For the purpose, the NASA Team (NT), Arctic Radiation and Turbulence Interaction Study (ARTIST) Sea Ice (ASI), and Variation Arctic/Antarctic Sea Ice Algorithm 2 (VASIA2) algorithms were used as well as the database of visual ice observations accumulated in the course of 15 Arctic expeditions. The comparison was performed in line with the SIC gradation (in tenths) into very open (1-3), open (4-6), close (7-8), very close and compact (9-10,10) ice, separately for summer and winter seasons. On average, in summer NT underestimates SIC by 0.4 tenth as compared to ship observations, while ASI and VASIA2 by 0.3 tenth. All three algorithms overestimate total SIC in regions of very open ice and underestimate it in regions of close, very close, and compact ice. The maximum average errors are typical of open ice regions that are most common in marginal ice zones. In winter, NT and ASI also underestimate SIC on average by 0.4 and 0.8 tenths, respectively, while VASIA2, on the contrary, overestimates by 0.2 tenth against the ship data, however, for open and close ice the average errors are significantly higher than in summer. In the paper, we also estimate the impact of ice melt stage and presence of new ice and nilas on SIC derived from NT, ASI, and VASIA2.</t>
  </si>
  <si>
    <t>[Alekseeva, Tatiana; Frolov, Sergei; Sokolova, Julia; Afanasieva, Ekaterina; Serovetnikov, Sergei] Arctic &amp; Antarct Res Inst, Bering Str 38, St Petersburg 199397, Russia; [Alekseeva, Tatiana; Repina, Irina; Sokolova, Julia] Russian Acad Sci, AM Obukhov Inst Atmospher Phys, Pyzhevsky Per 3, Moscow 119017, Russia; [Tikhonov, Vasiliy; Raev, Mikhael; Sharkov, Evgeniy] Russian Acad Sci, Space Res Inst, 84-32 Profsoyuznaya Str, Moscow 117997, Russia; [Tikhonov, Vasiliy] Moscow Inst Phys &amp; Technol, 9 Inst Skiy Per, Dolgoprudnyi 141701, Moscow Region, Russia; [Repina, Irina] Lomonosov Moscow State Univ, GSP-1,1 Leninskiye Gory, Moscow 119991, Russia</t>
  </si>
  <si>
    <t>Russian Academy of Sciences; Obukhov Institute of Atmospheric Physics of Russian Academy of Sciences; Russian Academy of Sciences; Space Research Institute of the Russian Academy of Sciences; Moscow Institute of Physics &amp; Technology; Lomonosov Moscow State University</t>
  </si>
  <si>
    <t>Alekseeva, T (corresponding author), Arctic &amp; Antarct Res Inst, Bering Str 38, St Petersburg 199397, Russia.;Alekseeva, T (corresponding author), Russian Acad Sci, AM Obukhov Inst Atmospher Phys, Pyzhevsky Per 3, Moscow 119017, Russia.</t>
  </si>
  <si>
    <t>taa@aari.ru; vtikhonov@asp.iki.rssi.ru; svf@aari.ru; iar.ifaran@gmail.com; mraev@iki.rssi.ru; j.sokolova@aari.ru; e.sharkov@mail.ru; afanasieva@aari.ru; sssu@aari.ru</t>
  </si>
  <si>
    <t>Tikhonov, Vasiliy/R-9093-2017; Sokolova, Julia/K-5222-2016; Afanasyeva, Ekaterina/ABI-2167-2020; Alekseeva, Tatiana/K-5879-2015</t>
  </si>
  <si>
    <t>Tikhonov, Vasiliy/0000-0003-3656-1734; Sokolova, Julia/0000-0002-5744-7204; Afanasyeva, Ekaterina/0000-0002-3005-4961; Alekseeva, Tatiana/0000-0002-1575-8784</t>
  </si>
  <si>
    <t>Ministry of Science and Higher Education of the Russian Federation [14.616.21.0078, (RFMEFI61617X0078)]</t>
  </si>
  <si>
    <t>The present study was supported by the Ministry of Science and Higher Education of the Russian Federation, project QUARCCS (agreement #14.616.21.0078 (RFMEFI61617X0078)).</t>
  </si>
  <si>
    <t>10.3390/rs11212481</t>
  </si>
  <si>
    <t>JY9HH</t>
  </si>
  <si>
    <t>WOS:000504716700022</t>
  </si>
  <si>
    <t>Aulicino, G; Wadhams, P; Parmiggiani, F</t>
  </si>
  <si>
    <t>Aulicino, Giuseppe; Wadhams, Peter; Parmiggiani, Flavio</t>
  </si>
  <si>
    <t>SAR Pancake Ice Thickness Retrieval in the Terra Nova Bay (Antarctica) during the PIPERS Expedition in Winter 2017</t>
  </si>
  <si>
    <t>pancake ice; ice thickness; SAR; Terra Nova Bay polynya; PIPERS cruise</t>
  </si>
  <si>
    <t>OCEAN WAVE SPECTRA; SEA-ICE; VARIABILITY; DISPERSION; ALGORITHM; POLYNYA; FRAZIL</t>
  </si>
  <si>
    <t>Pancake and frazil ice represent an important component of the Arctic and Antarctic cryosphere, especially in marginal ice zones. The retrieval of their thickness by remote sensing is, in general, a difficult task. A processing system was developed and refined by the present authors in the framework of the EU SPICES project; it is meant for routinely deriving ice thickness in frazil-pancake regions using the spectral changes in wave spectra from imagery provided by space-borne Synthetic Aperture Radar (SAR) systems. This methodology was successfully tested in the Beaufort Sea through comparison with ground truth collected during the cruise of the Sikuliaq in the fall of 2015. In the present study, this technique has been adapted and applied to Antarctic frazil/pancake icefields using COSMO-SkyMed satellite images. Our retrievals were analyzed and validated through a comparison with co-located in situ observations collected during the 2017 PIPERS cruise in Terra Nova Bay polynya. A broad agreement was found between measured thicknesses and those retrieved from the SAR analysis. Results and statistics presented and discussed in detail in this study represent a step towards the autonomous measurement of pancake icefields in remote areas such as Antarctic coastal polynyas and marginal ice zones.</t>
  </si>
  <si>
    <t>[Aulicino, Giuseppe; Wadhams, Peter] Univ Politecn Marche, Dept Life &amp; Environm Sci DiSVA, Via Brecce Bianche, I-60131 Ancona, Italy; [Aulicino, Giuseppe] Univ Napoli Parthenope, Dept Sci &amp; Technol DiST, Ctr Direzionale Is C4, I-80143 Naples, Italy; [Parmiggiani, Flavio] ISAC CNR, Dept Satellite Meteorol, Via Piero Gobetti 101, I-40129 Bologna, Italy</t>
  </si>
  <si>
    <t>Marche Polytechnic University; Parthenope University Naples; Consiglio Nazionale delle Ricerche (CNR); Istituto di Scienze dell'Atmosfera e del Clima (ISAC-CNR)</t>
  </si>
  <si>
    <t>Aulicino, G (corresponding author), Univ Politecn Marche, Dept Life &amp; Environm Sci DiSVA, Via Brecce Bianche, I-60131 Ancona, Italy.;Aulicino, G (corresponding author), Univ Napoli Parthenope, Dept Sci &amp; Technol DiST, Ctr Direzionale Is C4, I-80143 Naples, Italy.</t>
  </si>
  <si>
    <t>g.aulicino@staff.univpm.it; pw11@cam.ac.uk; f.parmiggiani@isac.cnr.it</t>
  </si>
  <si>
    <t>PARMIGGIANI, FLAVIO/0000-0001-7090-1291; Aulicino, Giuseppe/0000-0001-6406-8715</t>
  </si>
  <si>
    <t>Universita Politecnica delle Marche under Progetti europei: Premialita e Compensi Incentivanti 2017</t>
  </si>
  <si>
    <t>This work was carried out under the framework of the Sea Ice-Wave Interaction Monitoring for Marginal Ice NaviGation (SWIMMING) project of the Italian PNRA. P.W. also thanks the financial support from Universita Politecnica delle Marche under Progetti europei: Premialita e Compensi Incentivanti 2017.</t>
  </si>
  <si>
    <t>10.3390/rs11212510</t>
  </si>
  <si>
    <t>WOS:000504716700051</t>
  </si>
  <si>
    <t>Baumhoer, CA; Dietz, AJ; Kneisel, C; Kuenzer, C</t>
  </si>
  <si>
    <t>Baumhoer, Celia A.; Dietz, Andreas J.; Kneisel, C.; Kuenzer, C.</t>
  </si>
  <si>
    <t>Automated Extraction of Antarctic Glacier and Ice Shelf Fronts from Sentinel-1 Imagery Using Deep Learning</t>
  </si>
  <si>
    <t>Antarctica; coastline; deep learning; semantic segmentation; Getz Ice Shelf; calving front; glacier front; U-Net; convolutional neural network; glacier terminus</t>
  </si>
  <si>
    <t>MARIE BYRD LAND; ERS-1 SAR; COASTAL-CHANGE; EDGE-DETECTION; COASTLINE; BAND</t>
  </si>
  <si>
    <t>Sea level rise contribution from the Antarctic ice sheet is influenced by changes in glacier and ice shelf front position. Still, little is known about seasonal glacier and ice shelf front fluctuations as the manual delineation of calving fronts from remote sensing imagery is very time-consuming. The major challenge of automatic calving front extraction is the low contrast between floating glacier and ice shelf fronts and the surrounding sea ice. Additionally, in previous decades, remote sensing imagery over the often cloud-covered Antarctic coastline was limited. Nowadays, an abundance of Sentinel-1 imagery over the Antarctic coastline exists and could be used for tracking glacier and ice shelf front movement. To exploit the available Sentinel-1 data, we developed a processing chain allowing automatic extraction of the Antarctic coastline from Seninel-1 imagery and the creation of dense time series to assess calving front change. The core of the proposed workflow is a modified version of the deep learning architecture U-Net. This convolutional neural network (CNN) performs a semantic segmentation on dual-pol Sentinel-1 data and the Antarctic TanDEM-X digital elevation model (DEM). The proposed method is tested for four training and test areas along the Antarctic coastline. The automatically extracted fronts deviate on average 78 m in training and 108 m test areas. Spatial and temporal transferability is demonstrated on an automatically extracted 15-month time series along the Getz Ice Shelf. Between May 2017 and July 2018, the fronts along the Getz Ice Shelf show mostly an advancing tendency with the fastest moving front of DeVicq Glacier with 726 +/- 20 m/yr.</t>
  </si>
  <si>
    <t>[Baumhoer, Celia A.; Dietz, Andreas J.; Kuenzer, C.] German Aerosp Ctr DLR, German Remote Sensing Data Ctr DFD, Muenchener Str 20, D-82234 Wessling, Germany; [Kneisel, C.; Kuenzer, C.] Univ Wurzburg, Inst Geog &amp; Geol, Hubland, D-97074 Wurzburg, Germany</t>
  </si>
  <si>
    <t>Helmholtz Association; German Aerospace Centre (DLR); University of Wurzburg</t>
  </si>
  <si>
    <t>Baumhoer, CA (corresponding author), German Aerosp Ctr DLR, German Remote Sensing Data Ctr DFD, Muenchener Str 20, D-82234 Wessling, Germany.</t>
  </si>
  <si>
    <t>celia.baumhoer@dlr.de; andreas.dietz@dlr.de; claudia.kuenzer@dlr.de; kneisel@uni-wuerzburg.de</t>
  </si>
  <si>
    <t>Baumhoer, Celia/ABA-6148-2021</t>
  </si>
  <si>
    <t>Baumhoer, Celia/0000-0003-1339-2288; Dietz, Andreas/0000-0002-5733-7136</t>
  </si>
  <si>
    <t>DLR VO-R Young Investigator Group Antarctic Research</t>
  </si>
  <si>
    <t>This research was funded by the DLR VO-R Young Investigator Group Antarctic Research.</t>
  </si>
  <si>
    <t>10.3390/rs11212529</t>
  </si>
  <si>
    <t>WOS:000504716700070</t>
  </si>
  <si>
    <t>Dunlop, RA</t>
  </si>
  <si>
    <t>Dunlop, Rebecca A.</t>
  </si>
  <si>
    <t>The effects of vessel noise on the communication network of humpback whales</t>
  </si>
  <si>
    <t>ROYAL SOCIETY OPEN SCIENCE</t>
  </si>
  <si>
    <t>masking; humpback whale; anthropogenic noise; acoustic communication; active space</t>
  </si>
  <si>
    <t>ESTIMATED ACTIVE SPACE; ACOUSTIC COMMUNICATION; MEGAPTERA-NOVAEANGLIAE; SURFACE BEHAVIOR; SOCIAL SOUNDS; SONG; AMBIENT; INFORMATION</t>
  </si>
  <si>
    <t>Humpback whales rely on acoustic communication to mediate social interactions. The distance to which these social signals propagate from the signaller defines its communication space, and therefore communication network (number of potential receivers). As humpback whales migrate along populated coastlines, they are likely to encounter noise from vessel traffic which will mask their social signals. Since no empirical data exist on baleen whale hearing, the consequences of this are usually assumed, being the modelled reduction in their communication space. Here, the communication space and network of migrating humpback whales was compared in increasing wind-dominated and vessel-dominated noise. Behavioural data on their social interactions were then used to inform these models. In typical wind noise, a signaller's communication space was estimated to extend to 4 km, which agreed with the maximum separation distance between groups that socially interacted. An increase in vessel noise reduced the modelled communication area, along with a significant reduction in group social interactions, probably due to a reduction in their communication network. However, signal masking did not fully explain this change in social behaviour, implying there was also an additional effect of the physical presence of the vessel on signaller and receiver behaviour. Though these observed changes in communication space and social behaviour were likely to be short term and localized, an increase in vessel activity due to tourism and coastal population growth may cause more sustained changes along the humpback whale migration paths.</t>
  </si>
  <si>
    <t>[Dunlop, Rebecca A.] Univ Queensland, Cetacean Ecol &amp; Acoust Lab, Sch Vet Sci, Gatton Campus, Gatton, Qld 4343, Australia</t>
  </si>
  <si>
    <t>University of Queensland</t>
  </si>
  <si>
    <t>Dunlop, RA (corresponding author), Univ Queensland, Cetacean Ecol &amp; Acoust Lab, Sch Vet Sci, Gatton Campus, Gatton, Qld 4343, Australia.</t>
  </si>
  <si>
    <t>r.dunlop@uq.edu.au</t>
  </si>
  <si>
    <t>US Office of Naval Research; Australian Antarctic Division</t>
  </si>
  <si>
    <t>US Office of Naval Research(Office of Naval Research); Australian Antarctic Division</t>
  </si>
  <si>
    <t>The author would like to thank everyone involved in the Humpback Acoustic Research Collaboration (HARC; funded by the US Office of Naval Research and the Australian Antarctic Division), in particular the numerous volunteers who donated their time and energy to this project. I also thank David Paton for his invaluable field expertise and Eric Kniest for his continued support in the development of Cyclopes. The author would particularly like to acknowledge Associate Professor Michael Noad for leading the HARC work (without which, this study would not have been possible) and Dr Douglas Cato for his continued support and mentorship.</t>
  </si>
  <si>
    <t>2054-5703</t>
  </si>
  <si>
    <t>ROY SOC OPEN SCI</t>
  </si>
  <si>
    <t>R. Soc. Open Sci.</t>
  </si>
  <si>
    <t>10.1098/rsos.190967</t>
  </si>
  <si>
    <t>JX8VP</t>
  </si>
  <si>
    <t>WOS:000504006900027</t>
  </si>
  <si>
    <t>Linse, K; Copley, JT; Connelly, DP; Larter, RD; Pearce, DA; Polunin, NVC; Rogers, AD; Chen, C; Clarke, A; Glover, AG; Graham, AGC; Huvenne, VAI; Marsh, L; Reid, WDK; Roterman, CN; Sweeting, CJ; Zwirglmaier, K; Tyler, PA</t>
  </si>
  <si>
    <t>Linse, Katrin; Copley, Jonathan T.; Connelly, Douglas P.; Larter, Robert D.; Pearce, David A.; Polunin, Nick V. C.; Rogers, Alex D.; Chen, Chong; Clarke, Andrew; Glover, Adrian G.; Graham, Alastair G. C.; Huvenne, Veerle A., I; Marsh, Leigh; Reid, William D. K.; Roterman, C. Nicolai; Sweeting, Christopher J.; Zwirglmaier, Katrin; Tyler, Paul A.</t>
  </si>
  <si>
    <t>Fauna of the Kemp Caldera and its upper bathyal hydrothermal vents (South Sandwich Arc, Antarctica)</t>
  </si>
  <si>
    <t>hydrothermal vents; chemosynthetic ecosystem; resurgent cone; stable isotopes; Gammaproteobacteria; biogeography</t>
  </si>
  <si>
    <t>EAST SCOTIA RIDGE; DE-FUCA RIDGE; BRANSFIELD STRAIT; WEDDELL SEA; ZOOPLANKTON BIOMASS; OXIDIZING BACTERIA; DECEPTION ISLAND; CARBON FIXATION; ENDEAVOR RIDGE; WATER-COLUMN</t>
  </si>
  <si>
    <t>Faunal assemblages at hydrothermal vents associated with island-arc volcanism are less well known than those at vents on mid-ocean ridges and back-arc spreading centres. This study characterizes chemosynthetic biotopes at active hydrothermal vents discovered at the Kemp Caldera in the South Sandwich Arc. The caldera hosts sulfur and anhydrite vent chimneys in 1375-1487 m depth, which emit sulfide-rich fluids with temperatures up to 212 degrees C, and the microbial community of water samples in the buoyant plume rising from the vents was dominated by sulfur-oxidizing Gammaproteobacteria. A total of 12 macro- and megafaunal taxa depending on hydrothermal activity were collected in these biotopes, of which seven species were known from the East Scotia Ridge (ESR) vents and three species from vents outside the Southern Ocean. Faunal assemblages were dominated by large vesicomyid clams, actinostolid anemones, Sericosura sea spiders and lepetodrilid and cocculinid limpets, but several taxa abundant at nearby ESR hydrothermal vents were rare such as the stalked barnacle Neolepas scotiaensis. Multivariate analysis of fauna at Kemp Caldera and vents in neighbouring areas indicated that the Kemp Caldera is most similar to vent fields in the previously established Southern Ocean vent biogeographic province, showing that the species composition at island-arc hydrothermal vents can be distinct from nearby seafloor-spreading systems. delta C-13 and delta N-15 isotope values of megafaunal species analysed from the Kemp Caldera were similar to those of the same or related species at other vent fields, but none of the fauna sampled at Kemp Caldera had delta C-13 values, indicating nutritional dependence on Epsilonproteobacteria, unlike fauna at other island-arc hydrothermal vents.</t>
  </si>
  <si>
    <t>[Linse, Katrin; Larter, Robert D.; Pearce, David A.; Clarke, Andrew; Graham, Alastair G. C.; Zwirglmaier, Katrin] British Antarctic Survey, Madingley Rd, Cambridge CB3 0ET, England; [Copley, Jonathan T.; Marsh, Leigh; Tyler, Paul A.] Univ Southampton, Ocean &amp; Earth Sci, Waterfront Campus, Southampton SO14 3ZH, Hants, England; [Connelly, Douglas P.; Huvenne, Veerle A., I] Natl Oceanog Ctr, European Way, Southampton SO14 3ZH, Hants, England; [Polunin, Nick V. C.; Reid, William D. K.; Sweeting, Christopher J.] Newcastle Univ, Sch Nat &amp; Environm Sci, Ridley Bldg, Newcastle Upon Tyne NE1 7RU, Tyne &amp; Wear, England; [Rogers, Alex D.; Roterman, C. Nicolai] Univ Oxford, Dept Zool, South Parks Rd, Oxford OX1 3PS, England; [Chen, Chong] Japan Agcy Marine Earth Sci &amp; Technol JAMSTE, X STAR, 2-15 Natsushima Cho, Yokosuka, Kanagawa 2370061, Japan; [Glover, Adrian G.] Nat Hist Museum, Life Sci Dept, Cromwell Rd, London SW7 5BD, England; [Linse, Katrin] British Antarctic Survey, Biodivers Evolut &amp; Adaptat, Madingley Rd, Cambridge CB3 0ET, England; [Pearce, David A.] Univ Northumbria, Dept Appl Sci, Fac Hlth &amp; Life Sci, Ellison Bldg, Newcastle Upon Tyne NE1 8ST, Tyne &amp; Wear, England; [Rogers, Alex D.] REV Ocean, Oksenoyveien 10, N-1366 Lysaker, Norway; [Graham, Alastair G. C.] Univ S Florida, Coll Marine Sci, 140 7th Ave South, St Petersburg, FL 33701 USA; [Zwirglmaier, Katrin] Bundeswehr Inst Microbiol, Neuherbergstr 11, D-80937 Munich, Germany</t>
  </si>
  <si>
    <t>UK Research &amp; Innovation (UKRI); Natural Environment Research Council (NERC); NERC British Antarctic Survey; University of Southampton; University of Southampton; NERC National Oceanography Centre; Newcastle University - UK; University of Oxford; Natural History Museum London; UK Research &amp; Innovation (UKRI); Natural Environment Research Council (NERC); NERC British Antarctic Survey; Northumbria University; State University System of Florida; University of South Florida; Bundeswehr Institute of Microbiology (IMB)</t>
  </si>
  <si>
    <t>Linse, K (corresponding author), British Antarctic Survey, Madingley Rd, Cambridge CB3 0ET, England.;Linse, K (corresponding author), British Antarctic Survey, Biodivers Evolut &amp; Adaptat, Madingley Rd, Cambridge CB3 0ET, England.</t>
  </si>
  <si>
    <t>Copley, Jon/I-7076-2012; Marsh, Leigh/AAT-5597-2020; Roterman, Christopher Nicolai/AAX-4395-2021; Zwirglmaier, Katrin/H-9799-2014; Chen, Chong/F-7489-2019; Reid, William/J-8528-2013</t>
  </si>
  <si>
    <t>Copley, Jon/0000-0003-3333-4325; Marsh, Leigh/0000-0002-4613-1538; Roterman, Christopher Nicolai/0000-0002-6636-6078; Polunin, Nick/0000-0002-1480-8794; Zwirglmaier, Katrin/0000-0001-8598-9572; Linse, Katrin/0000-0003-3477-3047; Pearce, David/0000-0001-5292-4596; Chen, Chong/0000-0002-5035-4021; Larter, Robert/0000-0002-8414-7389; Reid, William/0000-0003-0190-0425; Rogers, Alex David/0000-0002-4864-2980</t>
  </si>
  <si>
    <t>UK's Natural Environmental Research Council [NE/DO1249X/1, NE/D01429X/1, NE/F010664/1]; Sloan Foundation (Census of Marine Life); NERC [bas0100036, bas010011, noc010011, NE/D010470/2, bas0100030] Funding Source: UKRI</t>
  </si>
  <si>
    <t>UK's Natural Environmental Research Council(UK Research &amp; Innovation (UKRI)Natural Environment Research Council (NERC)); Sloan Foundation (Census of Marine Life); NERC(UK Research &amp; Innovation (UKRI)Natural Environment Research Council (NERC))</t>
  </si>
  <si>
    <t>Financial support came from UK's Natural Environmental Research Council (Consortium grant no. NE/DO1249X/1, PhD studentships NE/D01429X/1, NE/F010664/1) and the Sloan Foundation (Census of Marine Life).</t>
  </si>
  <si>
    <t>10.1098/rsos.191501</t>
  </si>
  <si>
    <t>WOS:000504006900061</t>
  </si>
  <si>
    <t>Van de Vijver, B; Ector, L</t>
  </si>
  <si>
    <t>Van de Vijver, Bart; Ector, Luc</t>
  </si>
  <si>
    <t>Microcostatus elisabethianus, a new, limnoterrestrial diatom species (Bacillariophyta) from the sub-Antarctic region</t>
  </si>
  <si>
    <t>PLANT ECOLOGY AND EVOLUTION</t>
  </si>
  <si>
    <t>Diatoms; sub-Antarctic region; Crozet archipelago; Microcostatus; new species; morphology</t>
  </si>
  <si>
    <t>LA-POSSESSION CROZET; SP-NOV; GENUS; COMMUNITIES; ILE; ARCHIPELAGO; ISLANDS</t>
  </si>
  <si>
    <t>Background and aims - During a survey of the soil diatom flora of the sub-Antaretic islands in the southern Indian Ocean, an unknown small-celled naviculoid taxon was discovered living in small cracks in cliffs bordering the ocean. The taxon showed a set of morphological features only found in the genus Microcostatus. However, the unknown taxon could not be identified using the currently available literature. Methods - Using both light microscopical and scanning electron microscopical techniques, the morphology of the unknown Microcostatus taxon was documented. The new taxon is described, illustrated and compared with all other similar Microcostatus taxa worldwide. Key results - Microcostatus elisabethianus possesses a unique combination of morphological features that excludes conspecificity with all other members of the genus. It is characterized by a lanceolate valve outline with protracted, elongate apices, a very large, porous conopeum reaching the valve margins and uniseriate striae composed of only one macroareola and mantle areolae restricted to the valve apices. The morphological features of the genus Microcostatus are evaluated and discussed. Notes on the occurrence and ecology of the new taxon are added.</t>
  </si>
  <si>
    <t>[Van de Vijver, Bart] Meise Bot Garden, Res Dept, Nieuwelaan 38, B-1860 Meise, Belgium; [Van de Vijver, Bart] Univ Antwerp, Dept Biol ECOBE, Univ Pl 1, B-2610 Antwerp, Belgium; [Ector, Luc] Luxembourg Inst Sci &amp; Technol, Environm Res &amp; Innovat ERIN Dept, L-4422 Belvaux, Luxembourg</t>
  </si>
  <si>
    <t>University of Antwerp; Luxembourg Institute of Science &amp; Technology</t>
  </si>
  <si>
    <t>Van de Vijver, B (corresponding author), Meise Bot Garden, Res Dept, Nieuwelaan 38, B-1860 Meise, Belgium.;Van de Vijver, B (corresponding author), Univ Antwerp, Dept Biol ECOBE, Univ Pl 1, B-2610 Antwerp, Belgium.</t>
  </si>
  <si>
    <t>Institut Polaire Francais - Paul-Emile Victor (IPEV)</t>
  </si>
  <si>
    <t>The authors wish to thank Mr. P. Ledeganck for his help with collecting the soil samples in 1999. Sampling on Iles Crozet was made possible with the logistic and financial support of the Institut Polaire Francais - Paul-Emile Victor (IPEV) in the frame of the Terrestrial Ecology program 136 (Yves Frenot &amp; Marc Lebouvier). This study was further supported by the BELSPO MICROBIAN project to visit the National History Museum in London, UK. Alex Ball and the staff of the IAC laboratory at the Natural History Museum are thanked for their help with the scanning electron microscopy.</t>
  </si>
  <si>
    <t>SOC ROYAL BOTAN BELGIQUE</t>
  </si>
  <si>
    <t>MEISE</t>
  </si>
  <si>
    <t>NIEUWELAAN 38, B-1860 MEISE, BELGIUM</t>
  </si>
  <si>
    <t>2032-3913</t>
  </si>
  <si>
    <t>2032-3921</t>
  </si>
  <si>
    <t>PLANT ECOL EVOL</t>
  </si>
  <si>
    <t>Plant Ecol. Evol.</t>
  </si>
  <si>
    <t>10.5091/plecevo.2019.1600</t>
  </si>
  <si>
    <t>JX8MI</t>
  </si>
  <si>
    <t>WOS:000503982300011</t>
  </si>
  <si>
    <t>Allen-Sader, C; Thurston, W; Meyer, M; Nure, E; Bacha, N; Alemayehu, Y; Stutt, ROJH; Safka, D; Craig, AP; Derso, E; Burgin, LE; Millington, SC; Hort, MC; Hodson, DP; Gilligan, CA</t>
  </si>
  <si>
    <t>Allen-Sader, Clare; Thurston, William; Meyer, Marcel; Nure, Elias; Bacha, Netsanet; Alemayehu, Yoseph; Stutt, Richard O. J. H.; Safka, Daniel; Craig, Andrew P.; Derso, Eshetu; Burgin, Laura E.; Millington, Sarah C.; Hort, Matthew C.; Hodson, David P.; Gilligan, Christopher A.</t>
  </si>
  <si>
    <t>An early warning system to predict and mitigate wheat rust diseases in Ethiopia</t>
  </si>
  <si>
    <t>agricultural science; atmospheric transport; crops; epidemic modelling; food security; weather; wheat</t>
  </si>
  <si>
    <t>STEM RUST; PROSPECTS; MODEL</t>
  </si>
  <si>
    <t>Wheat rust diseases pose one of the greatest threats to global food security, including subsistence farmers in Ethiopia. The fungal spores transmitting wheat rust are dispersed by wind and can remain infectious after dispersal over long distances. The emergence of new strains of wheat rust has exacerbated the risks of severe crop loss. We describe the construction and deployment of a near real-time early warning system (EWS) for two major wind-dispersed diseases of wheat crops in Ethiopia that combines existing environmental research infrastructures, newly developed tools and scientific expertise across multiple organisations in Ethiopia and the UK. The EWS encompasses a sophisticated framework that integrates field and mobile phone surveillance data, spore dispersal and disease environmental suitability forecasting, as well as communication to policy-makers, advisors and smallholder farmers. The system involves daily automated data flow between two continents during the wheat season in Ethiopia. The framework utilises expertise and environmental research infrastructures from within the cross-disciplinary spectrum of biology, agronomy, meteorology, computer science and telecommunications. The EWS successfully provided timely information to assist policy makers formulate decisions about allocation of limited stock of fungicide during the 2017 and 2018 wheat seasons. Wheat rust alerts and advisories were sent by short message service and reports to 10 000 development agents and approximately 275 000 smallholder farmers in Ethiopia who rely on wheat for subsistence and livelihood security. The framework represents one of the first advanced crop disease EWSs implemented in a developing country. It provides policy-makers, extension agents and farmers with timely, actionable information on priority diseases affecting a staple food crop. The framework together with the underpinning technologies are transferable to forecast wheat rusts in other regions and can be readily adapted for other wind-dispersed pests and disease of major agricultural crops.</t>
  </si>
  <si>
    <t>[Allen-Sader, Clare; Meyer, Marcel; Stutt, Richard O. J. H.; Safka, Daniel; Gilligan, Christopher A.] Univ Cambridge, Dept Plant Sci, Cambridge, England; [Thurston, William; Burgin, Laura E.; Millington, Sarah C.; Hort, Matthew C.] Met Off, Exeter, Devon, England; [Nure, Elias] Ethiopian Agr Transformat Agcy ATA, Addis Ababa, Ethiopia; [Bacha, Netsanet; Derso, Eshetu] Ethiopian Inst Agr Res EIAR, Addis Ababa, Ethiopia; [Alemayehu, Yoseph] CIMMYT Ethiopia, Addis Ababa, Ethiopia; [Hodson, David P.] CIMMYT, Socioecon Program, Mexico City, DF, Mexico; [Allen-Sader, Clare; Craig, Andrew P.] British Antarctic Survey, Cambridge, England</t>
  </si>
  <si>
    <t>University of Cambridge; Met Office - UK; Ethiopian Institute of Agricultural Research (EIAR); CGIAR; International Maize &amp; Wheat Improvement Center (CIMMYT); UK Research &amp; Innovation (UKRI); Natural Environment Research Council (NERC); NERC British Antarctic Survey</t>
  </si>
  <si>
    <t>Allen-Sader, C (corresponding author), Univ Cambridge, Dept Plant Sci, Cambridge, England.</t>
  </si>
  <si>
    <t>cag1@cam.ac.uk</t>
  </si>
  <si>
    <t>Burgin, Laura E/I-4724-2012; Gilligan, Christopher A/L-3747-2013; Thurston, William/N-8139-2017</t>
  </si>
  <si>
    <t>Meyer, Marcel/0000-0002-8457-9608; Millington, Sarah/0000-0002-6628-2237; Thurston, William/0000-0003-4157-517X</t>
  </si>
  <si>
    <t>BBSRC GCRF Foundation; Bill &amp; Melinda Gates Foundation; UK Department for International Development (DFID); BBSRC [BB/P023193/1] Funding Source: UKRI; NERC [bas0100030] Funding Source: UKRI; Biotechnology and Biological Sciences Research Council [BB/P023193/1] Funding Source: researchfish</t>
  </si>
  <si>
    <t>BBSRC GCRF Foundation(UK Research &amp; Innovation (UKRI)Biotechnology and Biological Sciences Research Council (BBSRC)); Bill &amp; Melinda Gates Foundation(Bill &amp; Melinda Gates FoundationBill &amp; Melinda Gates Foundation Grand Challenges Explorations InitiativeCGIAR); UK Department for International Development (DFID); BBSRC(UK Research &amp; Innovation (UKRI)Biotechnology and Biological Sciences Research Council (BBSRC)); NERC(UK Research &amp; Innovation (UKRI)Natural Environment Research Council (NERC)); Biotechnology and Biological Sciences Research Council(UK Research &amp; Innovation (UKRI)Biotechnology and Biological Sciences Research Council (BBSRC))</t>
  </si>
  <si>
    <t>We greatly acknowledge the support of partnering institutions and financial support particularly from the BBSRC GCRF Foundation Awards for Global Agriculture and Food Systems Research and the Delivering Genetic Gains in Wheat (DGGW) Project managed by Cornell University and funded by the Bill &amp; Melinda Gates Foundation and the UK Department for International Development (DFID). We also wish to thank Sally Hames for administrative support, Mark Calleja and Lorenzo Milazzo for computing support. We also wish to thank two anonymous reviewers whose comments were very valuable for improving the paper.</t>
  </si>
  <si>
    <t>10.1088/1748-9326/ab4034</t>
  </si>
  <si>
    <t>JX6LK</t>
  </si>
  <si>
    <t>WOS:000503843800001</t>
  </si>
  <si>
    <t>Cízková, K; Láska, K; Metelka, L; Stanek, M</t>
  </si>
  <si>
    <t>Cizkova, Klara; Laska, Kamil; Metelka, Ladislav; Stanek, Martin</t>
  </si>
  <si>
    <t>Intercomparison of Ground- and Satellite-Based Total Ozone Data Products at Marambio Base, Antarctic Peninsula Region</t>
  </si>
  <si>
    <t>total ozone column; stratosphere; satellite; spectrophotometer; intercomparison; Antarctica</t>
  </si>
  <si>
    <t>DOBSON SPECTROPHOTOMETERS; ULTRAVIOLET-RADIATION; BREWER; DEPLETION; VALIDATION; COLUMN; GOME; OMI; INSTRUMENT; GOME/ERS-2</t>
  </si>
  <si>
    <t>This study aims to compare the ground-based Brewer spectrophotometer total ozone column measurements with the Dobson spectrophotometer and various satellite overpass data available at Marambio Base during the period 2011-2013. This station provides a unique opportunity to study ozone variability near the edge of the southern polar vortex; therefore, many institutions, such as the National Meteorological Service of Argentina, the Finnish Meteorological Institute and the Czech Hydrometeorological Institute, have been carrying out various scientific activities there. The intercomparison was performed using total ozone column data sets retrieved from the ground-based instruments and from Ozone Monitoring Instrument (OMI)-Total Ozone Mapping Spectrometer (TOMS), OMI-Differential Optical Absorption Spectroscopy (DOAS), Global Ozone Monitoring Experiment 2 (GOME2), and Scanning Imaging Absorption Spectrophotometer for Atmospheric Cartography (SCIAMACHY) satellite observations. To assess the quality of the selected data products, comparisons with reference to the Brewer spectrophotometer single observations were made. The performance of the satellite observational techniques was assessed against the solar zenith angle and effective temperature, as well as against the actual shape of the vertical ozone profiles, which represent an important input parameter for the satellite ozone retrievals. The ground-based Dobson observations showed the best agreement with the Brewer data set (R-2 = 1.00, RMSE = 1.5%); however, significant solar zenith angle (SZA) dependency was found. The satellite overpass data confirmed good agreement with the Brewer observations but were, however, overestimated in all cases except for the OMI(TOMS), when the mean bias differed from -0.7 DU in the case of the OMI(TOMS) to 6.4 DU for the SCIAMACHY. The differences in satellite observational techniques were further evaluated using statistical analyses adapted for depleted and non-depleted conditions over the ozone hole period.</t>
  </si>
  <si>
    <t>[Cizkova, Klara; Laska, Kamil] Masaryk Univ, Fac Sci, Dept Geog, CS-61137 Brno, Czech Republic; [Cizkova, Klara; Metelka, Ladislav; Stanek, Martin] Czech Hydrometeorol Inst, Solar &amp; Ozone Observ, Hradec Kralove 50008, Czech Republic</t>
  </si>
  <si>
    <t>Masaryk University Brno; Czech Hydrometeorological Institute</t>
  </si>
  <si>
    <t>Cízková, K (corresponding author), Masaryk Univ, Fac Sci, Dept Geog, CS-61137 Brno, Czech Republic.;Cízková, K (corresponding author), Czech Hydrometeorol Inst, Solar &amp; Ozone Observ, Hradec Kralove 50008, Czech Republic.</t>
  </si>
  <si>
    <t>cizkova.klara@mail.muni.cz; laska@sci.muni.cz; ladislay.metelka@chmi.cz; martin.stanek@chmi.cz</t>
  </si>
  <si>
    <t>Laska, Kamil/L-7875-2013</t>
  </si>
  <si>
    <t>Laska, Kamil/0000-0002-5199-9737; Cizkova, Klara/0000-0003-3543-6456</t>
  </si>
  <si>
    <t>State Environmental Fund of the Czech Republic [03461022]; Masaryk University [MUNI/A/1576/2018]; Ministry of Education, Youth and Sports of the Czech Republic [LM2015078, CZ.02.1.01/0.0/0.0/16_013/0001708]</t>
  </si>
  <si>
    <t>State Environmental Fund of the Czech Republic; Masaryk University; Ministry of Education, Youth and Sports of the Czech Republic(Ministry of Education, Youth &amp; Sports - Czech Republic)</t>
  </si>
  <si>
    <t>This research was funded by the State Environmental Fund of the Czech Republic, project of CHMI no. 03461022 'Monitoring of the ozone layer and UV radiation in Antarctica', by the Masaryk University (projects MUNI/A/1576/2018), and by the Ministry of Education, Youth and Sports of the Czech Republic (projects LM2015078 and CZ.02.1.01/0.0/0.0/16_013/0001708).</t>
  </si>
  <si>
    <t>10.3390/atmos10110721</t>
  </si>
  <si>
    <t>JV3NC</t>
  </si>
  <si>
    <t>WOS:000502272000083</t>
  </si>
  <si>
    <t>Schmale, J; Baccarini, A; Thurnherr, I; Henning, S; Efraim, A; Regayre, L; Bolas, C; Hartmann, M; Welti, A; Lehtipalo, K; Aemisegger, F; Tatzelt, C; Landwehr, S; Modini, RL; Tummon, F; Johnson, JS; Harris, N; Schnaiter, M; Toffoli, A; Derkani, M; Bukowiecki, N; Stratmann, F; Dommen, J; Baltensperger, U; Wernli, H; Rosenfeld, D; Gysel-Beer, M; Carslaw, KS</t>
  </si>
  <si>
    <t>Schmale, Julia; Baccarini, Andrea; Thurnherr, Iris; Henning, Silvia; Efraim, Avichay; Regayre, Leighton; Bolas, Conor; Hartmann, Markus; Welti, Andre; Lehtipalo, Katrianne; Aemisegger, Franziska; Tatzelt, Christian; Landwehr, Sebastian; Modini, Robin L.; Tummon, Fiona; Johnson, Jill S.; Harris, Neil; Schnaiter, Martin; Toffoli, Alessandro; Derkani, Marzieh; Bukowiecki, Nicolas; Stratmann, Frank; Dommen, Josef; Baltensperger, Urs; Wernli, Heinz; Rosenfeld, Daniel; Gysel-Beer, Martin; Carslaw, Ken S.</t>
  </si>
  <si>
    <t>Overview of the Antarctic Circumnavigation Expedition: Study of Preindustrial-like Aerosols and Their Climate Effects (ACE-SPACE)</t>
  </si>
  <si>
    <t>CLOUD CONDENSATION NUCLEI; WAVE RADIATIVE STRUCTURE; SOUTHERN-OCEAN; PARTICLE NUMBER; SEA-ICE; SIZE DISTRIBUTIONS; EXTRATROPICAL CYCLONES; STRATOCUMULUS CLOUDS; CHEMICAL-COMPOSITION; BOUNDARY-LAYER</t>
  </si>
  <si>
    <t>Uncertainty in radiative forcing caused by aerosol-cloud interactions is about twice as large as for CO2 and remains the least well understood anthropogenic contribution to climate change. A major cause of uncertainty is the poorly quantified state of aerosols in the pristine preindustrial atmosphere, which defines the baseline against which anthropogenic effects are calculated. The Southern Ocean is one of the few remaining near-pristine aerosol environments on Earth, but there are very few measurements to help evaluate models. The Antarctic Circumnavigation Expedition: Study of Preindustrial-like Aerosols and their Climate Effects (ACE-SPACE) took place between December 2016 and March 2017 and covered the entire Southern Ocean region (Indian, Pacific, and Atlantic Oceans; length of ship track &gt;33,000 km) including previously unexplored areas. In situ measurements covered aerosol characteristics [e.g., chemical composition, size distributions, and cloud condensation nuclei (CCN) number concentrations], trace gases, and meteorological variables. Remote sensing observations of cloud properties, the physical and microbial ocean state, and back trajectory analyses are used to interpret the in situ data. The contribution of sea spray to CCN in the westerly wind belt can be larger than 50%. The abundance of methanesulfonic acid indicates local and regional microbial influence on CCN abundance in Antarctic coastal waters and in the open ocean. We use the in situ data to evaluate simulated CCN concentrations from a global aerosol model. The extensive, available ACE-SPACE dataset () provides an unprecedented opportunity to evaluate models and to reduce the uncertainty in radiative forcing associated with the natural processes of aerosol emission, formation, transport, and processing occurring over the pristine Southern Ocean.</t>
  </si>
  <si>
    <t>[Schmale, Julia; Baccarini, Andrea; Lehtipalo, Katrianne; Landwehr, Sebastian; Modini, Robin L.; Bukowiecki, Nicolas; Dommen, Josef; Baltensperger, Urs; Gysel-Beer, Martin] Paul Scherrer Inst, Lab Atmospher Chem, Villigen, Switzerland; [Thurnherr, Iris; Aemisegger, Franziska; Tummon, Fiona; Wernli, Heinz] Swiss Fed Inst Technol, Inst Atmospher &amp; Climate Sci, Zurich, Switzerland; [Henning, Silvia; Hartmann, Markus; Welti, Andre; Tatzelt, Christian; Stratmann, Frank] Leibniz Inst Tropospher Res, Leipzig, Germany; [Efraim, Avichay; Rosenfeld, Daniel] Hebrew Univ Jerusalem, Jerusalem, Israel; [Regayre, Leighton; Johnson, Jill S.; Carslaw, Ken S.] Univ Leeds, Inst Climate &amp; Atmospher Sci, Sch Earth &amp; Environm, Leeds, W Yorkshire, England; [Bolas, Conor] Univ Cambridge, Cambridge, England; [Lehtipalo, Katrianne] Univ Helsinki, Finnish Meteorol Inst, Fac Sci, Helsinki, Finland; [Lehtipalo, Katrianne] Univ Helsinki, Inst Atmospher &amp; Earth Syst Res, Fac Sci, Helsinki, Finland; [Lehtipalo, Katrianne] Univ Helsinki, Dept Phys, Fac Sci, Helsinki, Finland; [Tummon, Fiona] MeteoSwiss, Payerne, Switzerland; [Harris, Neil] Cranfield Univ, Ctr Environm &amp; Agr Informat, Cranfield, Beds, England; [Schnaiter, Martin] Karlsruhe Inst Technol, Inst Meteorol &amp; Climate Res, Karlsruhe, Germany; [Toffoli, Alessandro; Derkani, Marzieh] Univ Melbourne, Dept Infrastruct Engn, Melbourne, Vic, Australia; [Bukowiecki, Nicolas] Univ Basel, Atmospher Sci, Dept Environm Sci, Basel, Switzerland; [Tummon, Fiona] MeteoSwiss, Swiss Fed Off Meteorol &amp; Climatol, Payerne, Switzerland; [Welti, Andre] Finnish Meteorol Inst, Helsinki, Finland</t>
  </si>
  <si>
    <t>Swiss Federal Institutes of Technology Domain; Paul Scherrer Institute; Swiss Federal Institutes of Technology Domain; ETH Zurich; Leibniz Institut fur Tropospharenforschung (TROPOS); Hebrew University of Jerusalem; University of Leeds; University of Cambridge; Finnish Meteorological Institute; University of Helsinki; University of Helsinki; University of Helsinki; Cranfield University; Helmholtz Association; Karlsruhe Institute of Technology; University of Melbourne; Melbourne Genomics Health Alliance; University of Basel; Federal Office of Meteorology &amp; Climatology (MeteoSwiss); Finnish Meteorological Institute</t>
  </si>
  <si>
    <t>Schmale, J (corresponding author), Paul Scherrer Inst, Lab Atmospher Chem, Villigen, Switzerland.</t>
  </si>
  <si>
    <t>julia.schmale@psi.ch</t>
  </si>
  <si>
    <t>Schnaiter, Martin/A-2370-2013; Rosenfeld, Daniel/F-6077-2016; baccarini, andrea/R-7251-2018; Henning, Silvia/C-1114-2014; Gysel-Beer, Martin/C-3843-2008; Bukowiecki, Nicolas/D-1941-2009; Aemisegger, Franziska/G-5340-2018; Schmale, Julia Yvonne/Q-3942-2019; Carslaw, Ken S/C-8514-2009; Rosenfeld, Daniel/AAJ-4617-2021; Johnson, Jill/AAU-2740-2020; Modini, Rob/AAF-6036-2019; Wernli, Heini/F-1099-2016; Welti, Andre/J-8425-2013</t>
  </si>
  <si>
    <t>Schnaiter, Martin/0000-0002-9560-8072; Rosenfeld, Daniel/0000-0002-0784-7656; baccarini, andrea/0000-0003-4614-247X; Henning, Silvia/0000-0001-9267-7825; Gysel-Beer, Martin/0000-0002-7453-1264; Aemisegger, Franziska/0000-0002-4022-9825; Schmale, Julia Yvonne/0000-0002-1048-7962; Carslaw, Ken S/0000-0002-6800-154X; Rosenfeld, Daniel/0000-0002-0784-7656; Modini, Rob/0000-0002-2982-1369; Tatzelt, Christian/0000-0001-7795-5372; Johnson, Jill/0000-0002-4587-6722; Toffoli, Alessandro/0000-0003-3112-6856; Regayre, Leighton/0000-0003-2699-929X; Tummon, Fiona/0000-0002-6459-339X; H. Derkani, Marzieh/0000-0001-7989-2192; Lehtipalo, Katrianne/0000-0002-1660-2706; Wernli, Heini/0000-0001-9674-4837; Welti, Andre/0000-0002-3549-1212; Harris, Neil/0000-0003-1256-3006</t>
  </si>
  <si>
    <t>EPFL; Ferring Pharmaceuticals; European FP7 project BACCHUS [49603445]; Swiss Data Science Center project [c17-02]; Swiss National Science Foundation [20F121_138017, 200021_169090]; U.K. Natural Environment Research Council [NE/K016377/1]; DFG [SPP 1158, STR 453/121]; Swiss Polar Institute; NERC under Grant AEROS [NE/G006172/1, NE/I020059/1, NE/J024252/1, NE/P013406/1]; NERC under Grant ACID-PRUF [NE/G006172/1, NE/I020059/1, NE/J024252/1, NE/P013406/1]; NERC under Grant GASSP [NE/G006172/1, NE/I020059/1, NE/J024252/1, NE/P013406/1]; NERC under Grant A-CURE [NE/G006172/1, NE/I020059/1, NE/J024252/1, NE/P013406/1]; U.K.-China Research and Innovation Partnership Fund through the Met Office Climate Science for Service Partnership China; European Commission's Horizon 2020 programme (MSCA-IF project Nano-CAVa) [656994]; ERC [ERC-CoG-615922-BLACARAT]; NERC [NE/K016377/1, NE/P013406/1, NE/K016369/1, NE/K016253/1, NE/J024252/1, NE/M017508/1, NE/G006172/1] Funding Source: UKRI; Marie Curie Actions (MSCA) [656994] Funding Source: Marie Curie Actions (MSCA)</t>
  </si>
  <si>
    <t>EPFL; Ferring Pharmaceuticals(Ferring Pharmaceuticals); European FP7 project BACCHUS; Swiss Data Science Center project; Swiss National Science Foundation(Swiss National Science Foundation (SNSF)); U.K. Natural Environment Research Council(UK Research &amp; Innovation (UKRI)Natural Environment Research Council (NERC)); DFG(German Research Foundation (DFG)); Swiss Polar Institute; NERC under Grant AEROS(UK Research &amp; Innovation (UKRI)Natural Environment Research Council (NERC)); NERC under Grant ACID-PRUF(UK Research &amp; Innovation (UKRI)Natural Environment Research Council (NERC)); NERC under Grant GASSP(UK Research &amp; Innovation (UKRI)Natural Environment Research Council (NERC)); NERC under Grant A-CURE(UK Research &amp; Innovation (UKRI)Natural Environment Research Council (NERC)); U.K.-China Research and Innovation Partnership Fund through the Met Office Climate Science for Service Partnership China; European Commission's Horizon 2020 programme (MSCA-IF project Nano-CAVa); ERC(European Research Council (ERC)); NERC(UK Research &amp; Innovation (UKRI)Natural Environment Research Council (NERC)); Marie Curie Actions (MSCA)(Marie Curie Actions)</t>
  </si>
  <si>
    <t>ACE-SPACE, JS, IT, AT, SH, and MD received funding from EPFL, the Swiss Polar Institute, and Ferring Pharmaceuticals. ACE-SPACE was carried out with additional support from the European FP7 project BACCHUS (Grant Agreement 49603445). SL received funding from the Swiss Data Science Center project c17-02. AB received funding from the Swiss National Science Foundation (Grant 200021_169090). FT was supported by the Swiss National Science Foundation (Grant 20F121_138017). The U.K. Natural Environment Research Council sponsored the iDirac development (NE/K016377/1) and the Doctoral Training Partnership for CB. CT received funding from DFG within the SPP 1158 (Grant STR 453/121). KC is currently a Royal Society Wolfson Merit Award holder. LR, JSJ, and KC acknowledge funding from NERC under Grants AEROS, ACID-PRUF, GASSP, and A-CURE (NE/G006172/1, NE/I020059/1, NE/J024252/1, and NE/P013406/1), and were also supported by the U.K.-China Research and Innovation Partnership Fund through the Met Office Climate Science for Service Partnership China as part of the Newton Fund. This work used the ARCHER U.K. National Supercomputing Service, www.archer.ac.uk) and JASMIN super-data-cluster (https://doi.org/10.1109/BigData.2013.6691556), via the Center for Environmental Data Analysis. ARCHER project allocation n02-FREEPPE and the Leadership Project allocation n02-CCPPE were used to create the perturbed parameter ensemble. KL was funded by the European Commission's Horizon 2020 programme (MSCA-IF project Nano-CAVa, 656994). MG received funding from the ERC under Grant ERC-CoG-615922-BLACARAT. We thank MeteoSwiss for providing access to operational ECMWF data.</t>
  </si>
  <si>
    <t>10.1175/BAMS-D-18-0187.1</t>
  </si>
  <si>
    <t>JU6ZT</t>
  </si>
  <si>
    <t>WOS:000501823300009</t>
  </si>
  <si>
    <t>McGlone, MS; Wilmshurst, JM; Richardson, SJ; Turney, CSM; Wood, JR</t>
  </si>
  <si>
    <t>McGlone, Matt S.; Wilmshurst, Janet M.; Richardson, Sarah J.; Turney, Chris S. M.; Wood, Jamie R.</t>
  </si>
  <si>
    <t>Temperature, Wind, Cloud, and the Postglacial Tree Line History of Sub-Antarctic Campbell Island</t>
  </si>
  <si>
    <t>FORESTS</t>
  </si>
  <si>
    <t>tree line; sub-Antarctic; westerly winds; postglacial; Holocene; Southern Ocean; climate change; palynology; cloud; peat</t>
  </si>
  <si>
    <t>TIERRA-DEL-FUEGO; HOLOCENE PALEOENVIRONMENTAL CHANGE; NEW-ZEALAND; AUCKLAND ISLANDS; VEGETATION HISTORY; MULTIPROXY RECORD; CLIMATE HISTORY; POLLEN DIAGRAMS; WESTERLY WINDS; PATAGONIA</t>
  </si>
  <si>
    <t>Campbell Island, which is 600 km south of New Zealand, has the southernmost tree line in this ocean sector. Directly under the maximum of the westerlies, the island is sensitive to changes in wind strength and direction. Pollen records from three peat cores spanning the tree line ecotone provide a 17,000-year history of vegetation change, temperature, and site moisture. With postglacial warming, tundra was replaced by tussock grassland 12,500 years ago. A subsequent increase of shrubland was reversed at 10,500 years ago and wetland-grassland communities became dominant. Around 9000 years ago, trees spread, with maximum tree line elevation reached around 6500 to 3000 years ago. This sequence is out of step with Southern Ocean sea surface temperatures, which were warmer than 12,500 to 9000 years ago, and, subsequently, cooled. Campbell Island tree lines were decoupled from temperature trends in the adjacent ocean by weaker westerlies from 12,500 to 9000 years ago, which leads to the intrusion of warmer, cloudier northern airmasses. This reduced solar radiation and evapotranspiration while increasing atmospheric humidity and substrate wetness, which suppressed tree growth. Cooler, stronger westerlies in the Holocene brought clearer skies, drier air, increased evapotranspiration, and rising tree lines. Future global warming will not necessarily lead to rising tree lines in oceanic regions.</t>
  </si>
  <si>
    <t>[McGlone, Matt S.; Wilmshurst, Janet M.; Richardson, Sarah J.; Wood, Jamie R.] Manaaki Whenua Landcare Res, Lincoln 7640, New Zealand; [Wilmshurst, Janet M.] Univ Auckland, Sch Environm, Auckland 1142, New Zealand; [Turney, Chris S. M.] Univ New South Wales, Palaeontol Geobiol &amp; Earth Archives Res Ctr, Sch Biol Earth &amp; Environm Sci, Sydney, NSW 2052, Australia; [Turney, Chris S. M.] Univ New South Wales, ARC Ctr Excellence Australian Biodivers &amp; Heritag, Sch Biol Earth &amp; Environm Sci, Sydney, NSW 2052, Australia</t>
  </si>
  <si>
    <t>Landcare Research - New Zealand; University of Auckland; University of New South Wales Sydney; University of New South Wales Sydney</t>
  </si>
  <si>
    <t>McGlone, MS (corresponding author), Manaaki Whenua Landcare Res, Lincoln 7640, New Zealand.</t>
  </si>
  <si>
    <t>mcglonem@landcareresearch.co.nz; janet.wilmshurst@auckland.ac.nz; richardsons@landcareresearch.co.nz; c.turney@unsw.edu.au; woodj@landcareresearch.co.nz</t>
  </si>
  <si>
    <t>Wood, Jamie/AAU-5530-2021; Wilmshurst, Janet M/C-2209-2009; Richardson, Sarah J/D-3353-2015; Wood, Jamie/A-9393-2008; Turney, Chris/P-8701-2018</t>
  </si>
  <si>
    <t>Wood, Jamie/0000-0001-8008-6083; Turney, Chris/0000-0001-6733-0993</t>
  </si>
  <si>
    <t>Strategic Science Investment funding for Crown Research Institutes from the New Zealand Ministry of Business, Innovation and Employment's Science and Innovation Group</t>
  </si>
  <si>
    <t>Strategic Science Investment funding for Crown Research Institutes from the New Zealand Ministry of Business, Innovation and Employment's Science and Innovation Group(New Zealand Ministry of Business, Innovation and Employment (MBIE))</t>
  </si>
  <si>
    <t>We thank the New Zealand Department of Conservation for permission to take samples from Campbell Island and for logistical support and Alison Watkins for technical support. This research was supported by Strategic Science Investment funding for Crown Research Institutes from the New Zealand Ministry of Business, Innovation and Employment's Science and Innovation Group.</t>
  </si>
  <si>
    <t>1999-4907</t>
  </si>
  <si>
    <t>Forests</t>
  </si>
  <si>
    <t>10.3390/f10110998</t>
  </si>
  <si>
    <t>Forestry</t>
  </si>
  <si>
    <t>JV3JO</t>
  </si>
  <si>
    <t>WOS:000502262700064</t>
  </si>
  <si>
    <t>Romaniuk, K; Styczynski, M; Decewicz, P; Buraczewska, O; Uhrynowski, W; Fondi, M; Wolosiewicz, M; Szuplewska, M; Dziewit, L</t>
  </si>
  <si>
    <t>Romaniuk, Krzysztof; Styczynski, Michal; Decewicz, Przemyslaw; Buraczewska, Oliwia; Uhrynowski, Witold; Fondi, Marco; Wolosiewicz, Marcin; Szuplewska, Magdalena; Dziewit, Lukasz</t>
  </si>
  <si>
    <t>Diversity and Horizontal Transfer of Antarctic Pseudomonas spp. Plasmids</t>
  </si>
  <si>
    <t>Antarctica; biofilm; horizontal gene transfer; plasmid; Pseudomonas; transposable element</t>
  </si>
  <si>
    <t>TELLURITE-RESISTANT; BIOFILM FORMATION; GENE-TRANSFER; SEQUENCE; BACTERIA; IDENTIFICATION; DNA; ELEMENTS; CLASSIFICATION; TRANSFORMATION</t>
  </si>
  <si>
    <t>Pseudomonas spp. are widely distributed in various environments around the world. They are also common in the Antarctic regions. To date, almost 200 plasmids of Pseudomonas spp. have been sequenced, but only 12 of them were isolated from psychrotolerant strains. In this study, 15 novel plasmids of cold-active Pseudomonas spp. originating from the King George Island (Antarctica) were characterized using a combined, structural and functional approach, including thorough genomic analyses, functional analyses of selected genetic modules, and identification of active transposable elements localized within the plasmids and comparative genomics. The analyses performed in this study increased the understanding of the horizontal transfer of plasmids found within Pseudomonas populations inhabiting Antarctic soils. It was shown that the majority of the studied plasmids are narrow-host-range replicons, whose transfer across taxonomic boundaries may be limited. Moreover, structural and functional analyses enabled identification and characterization of various accessory genetic modules, including genes encoding major pilin protein (PilA), that enhance biofilm formation, as well as active transposable elements. Furthermore, comparative genomic analyses revealed that the studied plasmids of Antarctic Pseudomonas spp. are unique, as they are highly dissimilar to the other known plasmids of Pseudomonas spp.</t>
  </si>
  <si>
    <t>[Romaniuk, Krzysztof; Styczynski, Michal; Decewicz, Przemyslaw; Buraczewska, Oliwia; Uhrynowski, Witold; Wolosiewicz, Marcin; Szuplewska, Magdalena; Dziewit, Lukasz] Univ Warsaw, Fac Biol, Inst Microbiol, Dept Bacterial Genet, Miecznikowa 1, PL-02096 Warsaw, Poland; [Fondi, Marco] Univ Florence, Dept Biol, Via Madonna Piano 6, I-50019 Florence, Italy</t>
  </si>
  <si>
    <t>University of Warsaw; University of Florence</t>
  </si>
  <si>
    <t>Dziewit, L (corresponding author), Univ Warsaw, Fac Biol, Inst Microbiol, Dept Bacterial Genet, Miecznikowa 1, PL-02096 Warsaw, Poland.</t>
  </si>
  <si>
    <t>romaniuk@biol.uw.edu.pl; mstyczynski@biol.uw.edu.pl; decewicz@biol.uw.edu.pl; oliwia.buraczewska@gmail.com; w.uhrynowski@biol.uw.edu.pl; marco.fondi@unifi.it; marcin.wolosiewicz@gmail.com; mszuplewska@biol.uw.edu.pl; ldziewit@biol.uw.edu.pl</t>
  </si>
  <si>
    <t>Decewicz, Przemyslaw/ABE-4554-2020; Dziewit, Lukasz/L-1131-2016</t>
  </si>
  <si>
    <t>Decewicz, Przemyslaw/0000-0002-5621-7124; Dziewit, Lukasz/0000-0002-5057-2811; Wolosiewicz, Marcin/0000-0002-2753-1739; Szuplewska, Magdalena/0000-0003-1900-4995; Fondi, Marco/0000-0001-9291-5467</t>
  </si>
  <si>
    <t>National Science Centre, Poland [2013/09/D/NZ8/03046]; University of Warsaw (Poland)</t>
  </si>
  <si>
    <t>National Science Centre, Poland(National Science Centre, Poland); University of Warsaw (Poland)</t>
  </si>
  <si>
    <t>This research was funded by National Science Centre, Poland, grant number 2013/09/D/NZ8/03046. The APC was funded by University of Warsaw (Poland).</t>
  </si>
  <si>
    <t>2073-4425</t>
  </si>
  <si>
    <t>GENES-BASEL</t>
  </si>
  <si>
    <t>Genes</t>
  </si>
  <si>
    <t>10.3390/genes10110850</t>
  </si>
  <si>
    <t>Genetics &amp; Heredity</t>
  </si>
  <si>
    <t>JV3WG</t>
  </si>
  <si>
    <t>WOS:000502296000016</t>
  </si>
  <si>
    <t>Zang, L; Wang, ZM; Zhu, B; Zhang, Y</t>
  </si>
  <si>
    <t>Zang, Lin; Wang, Zemin; Zhu, Bo; Zhang, Yu</t>
  </si>
  <si>
    <t>Roles of Relative Humidity in Aerosol Pollution Aggravation over Central China during Wintertime</t>
  </si>
  <si>
    <t>INTERNATIONAL JOURNAL OF ENVIRONMENTAL RESEARCH AND PUBLIC HEALTH</t>
  </si>
  <si>
    <t>aerosol pollution; hygroscopicity; relative humidity; secondary formation</t>
  </si>
  <si>
    <t>SCATTERING ENHANCEMENT FACTOR; HYGROSCOPIC GROWTH; RADIATIVE RESPONSE; OPTICAL-PROPERTIES; HAZE POLLUTION; AIR-POLLUTION; REGIONAL HAZE; RAMAN LIDAR; IMPACT; VARIABILITY</t>
  </si>
  <si>
    <t>Aerosol pollution elicits considerable public concern due to the adverse influence on air quality, climate change, and human health. Outside of emissions, haze formation is closely related to meteorological conditions, especially relative humidity (RH). Partly due to insufficient investigations on the aerosol hygroscopicity, the accuracy of pollution prediction in Central China is limited. In this study, taking Wuhan as a sample city, we investigated the response of aerosol pollution to RH during wintertime based on in-situ measurements. The results show that, aerosol pollution in Wuhan is dominated by PM2.5 (aerodynamic particle size not larger than 2.5 mu m) on wet days (RH &gt;= 60%), with the averaged mass fraction of 0.62 for PM10. Based on the RH dependence of aerosol light scattering (f (RH)), aerosol hygroscopicity was evaluated and shows the high dependence on the particle size distribution and chemical compositions. f (RH = 80%) in Wuhan was 2.18 (+/- 0.73), which is comparable to that measured in the Pearl River Delta and Yangtze River Delta regions for urban aerosols, and generally greater than values in Beijing. Ammonium (NH4+), sulfate (SO42-), and nitrate (NO3-) were enhanced by approximately 2.5-, 2-, and 1.5-fold respectively under wet conditions, and the ammonia-rich conditions in wintertime efficiently promoted the formation of SO42- and NO3-, especially at high RH. These secondary ions play an important role in aggravating the pollution level and aerosol light scattering. This study has important implications for understanding the roles of RH in aerosol pollution aggravation over Central China, and the fitted equation between f (RH) and RH may be helpful for pollution forecasting in this region.</t>
  </si>
  <si>
    <t>[Zang, Lin; Wang, Zemin] Wuhan Univ, Chinese Antarctic Ctr Surveying &amp; Mapping, Wuhan 430079, Hubei, Peoples R China; [Zhu, Bo] Hubei Environm Monitoring Ctr, Wuhan 430079, Hubei, Peoples R China; [Zhang, Yu] Wuhan Univ, Sch Remote Sensing &amp; Informat Engn, Wuhan 430079, Hubei, Peoples R China</t>
  </si>
  <si>
    <t>Wang, ZM (corresponding author), Wuhan Univ, Chinese Antarctic Ctr Surveying &amp; Mapping, Wuhan 430079, Hubei, Peoples R China.</t>
  </si>
  <si>
    <t>zanglin2018@whu.edu.cn; zmwang@whu.edu.cn; zhubo125@whu.edu.cn; zhangyu543@whu.edu.cn</t>
  </si>
  <si>
    <t>Zhang, Yufeng/GSD-5532-2022; ZeMin, Wang/AAU-3422-2020</t>
  </si>
  <si>
    <t>Zhang, Yufeng/0000-0003-3610-5229;</t>
  </si>
  <si>
    <t>National Key Research and Development Program of China [2017YFC0212600, 2016YFC0200900]; National Natural Science Foundation of China [41701381, 41627804]</t>
  </si>
  <si>
    <t>This research was funded by the National Key Research and Development Program of China (2017YFC0212600 and 2016YFC0200900) and the National Natural Science Foundation of China (41701381 and 41627804). We are grateful to the Hubei Environmental Monitoring Centre and the ECMWF for providing the datasets used in this study.</t>
  </si>
  <si>
    <t>1660-4601</t>
  </si>
  <si>
    <t>INT J ENV RES PUB HE</t>
  </si>
  <si>
    <t>Int. J. Environ. Res. Public Health</t>
  </si>
  <si>
    <t>10.3390/ijerph16224422</t>
  </si>
  <si>
    <t>Environmental Sciences; Public, Environmental &amp; Occupational Health</t>
  </si>
  <si>
    <t>Environmental Sciences &amp; Ecology; Public, Environmental &amp; Occupational Health</t>
  </si>
  <si>
    <t>JV0KZ</t>
  </si>
  <si>
    <t>WOS:000502057400119</t>
  </si>
  <si>
    <t>Li, SY; Zhu, XJ; Xing, MX</t>
  </si>
  <si>
    <t>Li, Shangyong; Zhu, Xiangjie; Xing, Mengxin</t>
  </si>
  <si>
    <t>A New β-Galactosidase from the Antarctic Bacterium Alteromonas sp. ANT48 and Its Potential in Formation of Prebiotic Galacto-Oligosaccharides</t>
  </si>
  <si>
    <t>beta-galactosidase; galactooligosaccharides; daily industry</t>
  </si>
  <si>
    <t>LACTOSE-INTOLERANCE; LACTOBACILLUS-PLANTARUM; PURIFICATION; EXPRESSION; HYDROLYSIS; CLONING</t>
  </si>
  <si>
    <t>As an important medical enzyme, beta-galactosidases catalyze transgalactosylation to form prebiotic Galacto-Oligosaccharides (GOS) that assist in improving the effect of intestinal flora on human health. In this study, a new glycoside hydrolase family 2 (GH2) beta-galactosidase-encoding gene, galA, was cloned from the Antarctic bacterium Alteromonas sp. ANT48 and expressed in Escherichia coli. The recombinant beta-galactosidase GalA was optimal at pH 7.0 and stable at pH 6.6-7.0, which are conditions suitable for the dairy environment. Meanwhile, GalA showed most activity at 50 degrees C and retained more than 80% of its initial activity below 40 degrees C, which makes this enzyme stable in normal conditions. Molecular docking with lactose suggested that GalA could efficiently recognize and catalyze lactose substrates. Furthermore, GalA efficiently catalyzed lactose degradation and transgalactosylation of GOS in milk. A total of 90.6% of the lactose in milk could be hydrolyzed within 15 min at 40 degrees C, and the GOS yield reached 30.9%. These properties make GalA a good candidate for further applications.</t>
  </si>
  <si>
    <t>[Li, Shangyong] Qingdao Univ, Sch Basic Med, Dept Pharmacol, Qingdao 266071, Shandong, Peoples R China; [Zhu, Xiangjie; Xing, Mengxin] Chinese Acad Fishery Sci, Yellow Sea Fisheries Res Inst, Qingdao 266071, Shandong, Peoples R China</t>
  </si>
  <si>
    <t>Qingdao University; Chinese Academy of Fishery Sciences; Yellow Sea Fisheries Research Institute, CAFS</t>
  </si>
  <si>
    <t>Xing, MX (corresponding author), Chinese Acad Fishery Sci, Yellow Sea Fisheries Res Inst, Qingdao 266071, Shandong, Peoples R China.</t>
  </si>
  <si>
    <t>lisy@qdu.edu.cn; zhuxiangjie1204@163.com; 15865506157@126.com</t>
  </si>
  <si>
    <t>National Nature Science Foundation of China [31900031, 41506218]; Shandong Provencal Nature Science Foundation [ZR2019BD027]; Korea Research Fellowship Program [2019H1D3A1A01102881]</t>
  </si>
  <si>
    <t>National Nature Science Foundation of China(National Natural Science Foundation of China (NSFC)); Shandong Provencal Nature Science Foundation; Korea Research Fellowship Program</t>
  </si>
  <si>
    <t>This research was funded by National Nature Science Foundation of China, grant number 31900031 and 41506218; Shandong Provencal Nature Science Foundation, grant number ZR2019BD027; Korea Research Fellowship Program, grant number 2019H1D3A1A01102881.</t>
  </si>
  <si>
    <t>10.3390/md17110599</t>
  </si>
  <si>
    <t>JV3JJ</t>
  </si>
  <si>
    <t>WOS:000502262200026</t>
  </si>
  <si>
    <t>Sommers, P; Fontenele, RS; Kringen, T; Kraberger, S; Porazinska, DL; Darcy, JL; Schmidt, SK; Varsani, A</t>
  </si>
  <si>
    <t>Sommers, Pacifica; Fontenele, Rafaela S.; Kringen, Tayele; Kraberger, Simona; Porazinska, Dorota L.; Darcy, John L.; Schmidt, Steven K.; Varsani, Arvind</t>
  </si>
  <si>
    <t>Single-Stranded DNA Viruses in Antarctic Cryoconite Holes</t>
  </si>
  <si>
    <t>microvirus; CRESS DNA virus; cryoconite; glacier; viral metagenomics; Antarctica</t>
  </si>
  <si>
    <t>MCMURDO DRY VALLEYS; MAXIMUM-LIKELIHOOD; TAYLOR VALLEY; BIODIVERSITY; DIVERSITY; GLACIERS; SEQUENCE; GENOMES; MODELS; BIOGEOCHEMISTRY</t>
  </si>
  <si>
    <t>Antarctic cryoconite holes, or small melt-holes in the surfaces of glaciers, create habitable oases for isolated microbial communities with tightly linked microbial population structures. Viruses may influence the dynamics of polar microbial communities, but the viromes of the Antarctic cryoconite holes have yet to be characterized. We characterize single-stranded DNA (ssDNA) viruses from three cryoconite holes in the Taylor Valley, Antarctica, using metagenomics. Half of the assembled metagenomes cluster with those in the viral family Microviridae (n = 7), and the rest with unclassified circular replication associated protein (Rep)-encoding single-stranded (CRESS) DNA viruses (n = 7). An additional 18 virus-like circular molecules encoding either a Rep, a capsid protein gene, or other unidentified but viral-like open reading frames were identified. The samples from which the genomes were identified show a strong gradient in microbial diversity and abundances, and the number of viral genomes detected in each sample mirror that gradient. Additionally, one of the CRESS genomes assembled here shares similar to 90% genome-wide pairwise identity with a virus identified from a freshwater pond on the McMurdo Ice Shelf (Antarctica). Otherwise, the similarity of these viruses to those previously identified is relatively low. Together, these patterns are consistent with the presence of a unique regional virome present in fresh water host populations of the McMurdo Dry Valley region.</t>
  </si>
  <si>
    <t>[Sommers, Pacifica; Schmidt, Steven K.] Univ Colorado, Ecol &amp; Evolutionary Biol, Boulder, CO 80309 USA; [Fontenele, Rafaela S.; Kringen, Tayele; Kraberger, Simona; Varsani, Arvind] Arizona State Univ, Sch Life Sci, Ctr Evolut &amp; Med, Biodesign Ctr Fundamental &amp; Appl Microbi, Tempe, AZ 85287 USA; [Porazinska, Dorota L.] Univ Florida, Entomol &amp; Nematol Dept, Gainesville, FL 32611 USA; [Darcy, John L.] Univ Colorado, Div Biomed Informat &amp; Personalized Med, Anschutz Med Campus, Aurora, CO 80045 USA; [Varsani, Arvind] Univ Cape Town, Dept Integrat Biomed Sci, Struct Biol Res Unit, ZA-7701 Cape Town, South Africa</t>
  </si>
  <si>
    <t>University of Colorado System; University of Colorado Boulder; Arizona State University; Arizona State University-Tempe; State University System of Florida; University of Florida; University of Colorado System; University of Colorado Anschutz Medical Campus; University of Cape Town</t>
  </si>
  <si>
    <t>Sommers, P (corresponding author), Univ Colorado, Ecol &amp; Evolutionary Biol, Boulder, CO 80309 USA.;Varsani, A (corresponding author), Arizona State Univ, Sch Life Sci, Ctr Evolut &amp; Med, Biodesign Ctr Fundamental &amp; Appl Microbi, Tempe, AZ 85287 USA.;Varsani, A (corresponding author), Univ Cape Town, Dept Integrat Biomed Sci, Struct Biol Res Unit, ZA-7701 Cape Town, South Africa.</t>
  </si>
  <si>
    <t>Pacifica.Sommers@Colorado.edu; rafasfontenele@asu.edu; tkringen@asu.edu; simona.kraberger@asu.edu; dorotalp@ufl.edu; darcyj@colorado.edu; steve.schmidt@colorado.edu; arvind.varsani@asu.edu</t>
  </si>
  <si>
    <t>Varsani, Arvind/JOZ-5299-2023; SCHMIDT, STEVEN K/G-2771-2010</t>
  </si>
  <si>
    <t>Varsani, Arvind/0000-0003-4111-2415; Kraberger, Simona/0000-0002-7037-9242; PORAZINSKA, DOROTA/0000-0002-0493-9926; SCHMIDT, STEVEN K/0000-0002-9175-2085; Sommers, Pacifica/0000-0002-7797-7341</t>
  </si>
  <si>
    <t>United States National Science Foundation Polar Programs Award [1443578]; Arizona State University; Office of Polar Programs (OPP); Directorate For Geosciences [1443578] Funding Source: National Science Foundation</t>
  </si>
  <si>
    <t>United States National Science Foundation Polar Programs Award; Arizona State University; Office of Polar Programs (OPP); Directorate For Geosciences(National Science Foundation (NSF)NSF - Directorate for Geosciences (GEO))</t>
  </si>
  <si>
    <t>This work was funded by the United States National Science Foundation Polar Programs Award 1443578 awarded to S.K.S. The molecular work described in this manuscript was funded by a startup grant from Arizona State University awarded to A.V.</t>
  </si>
  <si>
    <t>10.3390/v11111022</t>
  </si>
  <si>
    <t>JV3UX</t>
  </si>
  <si>
    <t>WOS:000502292300050</t>
  </si>
  <si>
    <t>Wójcik, KA; Bialik, RJ; Osinska, M; Figielski, M</t>
  </si>
  <si>
    <t>Wojcik, Kornelia Anna; Bialik, Robert Jozef; Osinska, Maria; Figielski, Marek</t>
  </si>
  <si>
    <t>Investigation of Sediment-Rich Glacial Meltwater Plumes Using a High-Resolution Multispectral Sensor Mounted on an Unmanned Aerial Vehicle</t>
  </si>
  <si>
    <t>water reflectance; turbidity; unmanned aerial vehicle; glacier</t>
  </si>
  <si>
    <t>KING-GEORGE-ISLAND; SUSPENDED SEDIMENT; ANTARCTIC PENINSULA; TIDEWATER GLACIER; CLIMATE-CHANGE; TURBIDITY; COASTAL; WATER; SVALBARD; REFLECTANCE</t>
  </si>
  <si>
    <t>A Parrot Sequoia+ multispectral camera on a Parrot Bluegrass drone registered in four spectral bands (green, red, red edge (RE), and near-infrared (NIR)) to identify glacial outflow zones and determined the meltwater turbidity values in waters in front of the following Antarctic glaciers: Ecology, Dera Icefall, Zalewski, and Krak on King George Island, Southern Shetlands was used. This process was supported by a Red-Green-Blue (RGB) colour model from a Zenmuse X5 camera on an Inspire 2 quadcopter drone. Additional surface water turbidity measurements were carried out using a Yellow Springs Instruments (YSI) sonde EXO2. From this research, it was apparent that for mapping low-turbidity and medium-turbidity waters (&lt;70 formazinenephelometricunits (FNU)), a red spectral band should be used, since it is insensitive to possible surface ice phenomena and registers the presence of both red and white sediments. High-turbidity plumes with elevated FNU values should be identified through the NIR band. Strong correlation coefficients between the reflectance at particular bands and FNU readings (R-Green = 0.85, R-Red = 0.85, R-Edge = 0.84, and R-NIR = 0.83) are shown that multispectral mapping using Unmanned Aerial Vehicles (UAVs) can be successfully usedeven in the unfavourable weather conditions and harsh climate of Antarctica. Lastly, the movement of water masses in Admiralty Bay is briefly discussed and supported by the results from EXO2 measurements.</t>
  </si>
  <si>
    <t>[Wojcik, Kornelia Anna; Bialik, Robert Jozef; Osinska, Maria; Figielski, Marek] Polish Acad Sci, Inst Biochem &amp; Biophys, Pawinskiego 5a, PL-02106 Warsaw, Poland</t>
  </si>
  <si>
    <t>Polish Academy of Sciences; Institute of Biochemistry &amp; Biophysics - Polish Academy of Sciences</t>
  </si>
  <si>
    <t>Bialik, RJ (corresponding author), Polish Acad Sci, Inst Biochem &amp; Biophys, Pawinskiego 5a, PL-02106 Warsaw, Poland.</t>
  </si>
  <si>
    <t>kwojcik@ibb.waw.pl; rbialik@ibb.waw.pl; maria.osinska@ibb.waw.pl; marek@vanilla.pl</t>
  </si>
  <si>
    <t>Osinska, Maria/JDC-5266-2023; Wójcik-Długoborska, Kornelia/JGE-0708-2023</t>
  </si>
  <si>
    <t>Osinska, Maria/0000-0003-0882-3573; Wojcik-Dlugoborska, Kornelia/0000-0002-1868-424X; Bialik, Robert/0000-0002-0254-6352</t>
  </si>
  <si>
    <t>National Science Centre, Poland [UMO-2017/25/B/ST10/02092]</t>
  </si>
  <si>
    <t>The National Science Centre, Poland, grant no. UMO-2017/25/B/ST10/02092 'Quantitative Assessment of Sediment Transport from Glaciers of South Shetland Islands On The Basis Of Selected Remote Sensing Methods' supported this work.</t>
  </si>
  <si>
    <t>10.3390/w11112405</t>
  </si>
  <si>
    <t>JV3KG</t>
  </si>
  <si>
    <t>WOS:000502264500207</t>
  </si>
  <si>
    <t>van Putten, I; Boschetti, F; Ling, S; Richards, SA</t>
  </si>
  <si>
    <t>van Putten, Ingrid; Boschetti, Fabio; Ling, Scott; Richards, Shane A.</t>
  </si>
  <si>
    <t>Perceptions of system-identity and regime shift for marine ecosystems</t>
  </si>
  <si>
    <t>evidence-based decision making; marine systems; Alternative stable states; regime shifts; system identity</t>
  </si>
  <si>
    <t>ALTERNATIVE STABLE STATES; SLIDING BASE-LINES; CORAL-REEFS; ECOLOGICAL-SYSTEMS; TIPPING POINTS; CLIMATE-CHANGE; MANAGEMENT; FISHERIES; RESILIENCE; INDICATORS</t>
  </si>
  <si>
    <t>There is growing empirical evidence around the world demonstrating regime shifts of marine ecosystems. But generalizable criteria to detect and define regime shifts are elusive because of: (i) an incomplete scientific understanding of processes underlying regime shifts; (ii) because the baseline state and conditions are ill defined, and; (iii) due to an inherent ambiguity in the concept of system identity. We surveyed marine scientists in Tasmania, Australia, and determined the effect of changing conditions (including type of climate impact, species loss, species composition, spatio-temporal extent, and human intervention) on their perception of marine regime shift. We find, there is an objective difficulty in detecting regime shifts that goes beyond scientific uncertainty and there is disagreement on which configurations of change indeed constitute a regime shift. Furthermore, this difference of opinion was not related to the degree of confidence that scientists indicated when identifying regime shifts. This lack of consensus and seemingly unrelated scientific confidence, may be attributable to value ambiguity around people s attitudes, cognitive biases, and baseline shift. When applying evidenced-based reference points in well-reasoned Ecosystem Based Management, there should be scientific consensus on the manifestation and extent of specific regime shifts, and recognition of value ambiguities influencing scientific perceptions.</t>
  </si>
  <si>
    <t>[van Putten, Ingrid; Richards, Shane A.] Commonwealth Sci &amp; Ind Res Org, Oceans &amp; Atmosphere, Hobart, Tas 7000, Australia; [van Putten, Ingrid] Univ Tasmania, Ctr Marine Socioecol, Hobart, Tas 7004, Australia; [Boschetti, Fabio] Commonwealth Sci &amp; Ind Res Org, Oceans &amp; Atmosphere, Crawley, WA 6009, Australia; [Ling, Scott] Univ Tasmania, Inst Marine &amp; Antarctic Studies, Hobart, Tas 7004, Australia; [Richards, Shane A.] Univ Tasmania, Sch Nat Sci, Hobart, Tas, Australia</t>
  </si>
  <si>
    <t>Commonwealth Scientific &amp; Industrial Research Organisation (CSIRO); University of Tasmania; Commonwealth Scientific &amp; Industrial Research Organisation (CSIRO); University of Tasmania; University of Tasmania</t>
  </si>
  <si>
    <t>van Putten, I (corresponding author), Commonwealth Sci &amp; Ind Res Org, Oceans &amp; Atmosphere, Hobart, Tas 7000, Australia.;van Putten, I (corresponding author), Univ Tasmania, Ctr Marine Socioecol, Hobart, Tas 7004, Australia.</t>
  </si>
  <si>
    <t>ingrid.vanputten@csiro.au</t>
  </si>
  <si>
    <t>Boschetti, Fabio/A-1607-2015; van putten, ingrid/AAV-1301-2021; Ling, Scott/J-7161-2014; Link, Jason/HOF-3606-2023</t>
  </si>
  <si>
    <t>Boschetti, Fabio/0000-0001-8999-6913; van putten, ingrid/0000-0001-8397-9768; Ling, Scott/0000-0002-5544-8174; Link, Jason/0000-0003-2740-7161; Richards, Shane/0000-0002-9638-5827</t>
  </si>
  <si>
    <t>Centre for Marine Socioecology; Australian Research Council</t>
  </si>
  <si>
    <t>Centre for Marine Socioecology; Australian Research Council(Australian Research Council)</t>
  </si>
  <si>
    <t>This study was supported by the Centre for Marine Socioecology. The Australian Research Council supported SL. The idea was first conceptualized at an IMBeR-IMBIZO conference-marine regime shift workshop (Trieste, Italy in 2015). We value the detailed comments and suggestions provided by the three anonymous reviewers.</t>
  </si>
  <si>
    <t>10.1093/icesjms/fsz058</t>
  </si>
  <si>
    <t>JU5RA</t>
  </si>
  <si>
    <t>WOS:000501732500031</t>
  </si>
  <si>
    <t>Hamilton, S; Baker, GB</t>
  </si>
  <si>
    <t>Hamilton, Sheryl; Baker, G. Barry</t>
  </si>
  <si>
    <t>Population growth of an endangered pinniped-the New Zealand sea lion (Phocarctos hookeri)-is limited more by high pup mortality than fisheries bycatch</t>
  </si>
  <si>
    <t>bycatch; bycatch mitigation; fisheries management; pinniped; population assessment; population modelling; pup mortality</t>
  </si>
  <si>
    <t>PHOCARCTOS-HOOKERI; AUCKLAND ISLANDS; INCIDENTAL MORTALITY; EXCLUSION DEVICES; VIABILITY ANALYSIS; SITE FIDELITY; ASSESSMENTS; ABUNDANCE; EFFICACY; MANAGEMENT</t>
  </si>
  <si>
    <t>The endangered New Zealand sea lion, Phocarctos hookeri is killed as incidental bycatch in a trawl fishery operating near their second largest population on Campbell Island in New Zealand's sub-Antarctic. Using the Potential Biological Removal (PBR) procedure to assess the sustainability of this bycatch for the sea lion population on Campbell Island indicated that annual bycatch estimates, particularly following the implementation of bycatch mitigation measures, are below the PBR threshold of 25 (derived using a precautionary approach). Preliminary Population Viability Analysis (PVA) modelling supported the finding that current bycatch levels, especially given a strong male bias (98%) in bycatch, are sustainable for this population. Models showed that reducing pup mortality through management actions, such as installing ramps in wallows where large numbers of pups drown, would lead to increased population growth. While obtaining more accurate data on population status and demographic parameters for the Campbell Island population should be a priority, this will take many years of research. The PBR and PVA tools demonstrate that contemporary conservation management should continue to focus on increasing pup survival while maintaining mitigation approaches that have reduced bycatch to low levels, together with high observer coverage to sustain confidence in annual bycatch estimates.</t>
  </si>
  <si>
    <t>[Hamilton, Sheryl; Baker, G. Barry] Univ Tasmania, Inst Marine &amp; Antarctic Studies, Hobart, Tas 7001, Australia; [Hamilton, Sheryl] Univ Tasmania, Ctr Marine Socioecol, Hobart, Tas 7001, Australia; [Hamilton, Sheryl; Baker, G. Barry] Latitude 42 Environm Consultants Pty Ltd, Kettering, Tas 7155, Australia</t>
  </si>
  <si>
    <t>University of Tasmania; University of Tasmania</t>
  </si>
  <si>
    <t>Hamilton, S (corresponding author), Univ Tasmania, Inst Marine &amp; Antarctic Studies, Hobart, Tas 7001, Australia.;Hamilton, S (corresponding author), Univ Tasmania, Ctr Marine Socioecol, Hobart, Tas 7001, Australia.;Hamilton, S (corresponding author), Latitude 42 Environm Consultants Pty Ltd, Kettering, Tas 7155, Australia.</t>
  </si>
  <si>
    <t>sheryl.hamilton@utas.edu.au</t>
  </si>
  <si>
    <t>Baker, G. Barry/0000-0003-4766-8182</t>
  </si>
  <si>
    <t>Deepwater Group, NZ</t>
  </si>
  <si>
    <t>The authors received funding from the Deepwater Group, NZ to undertake preliminary assessment of the impact of fisheries on the Campbell Island NZ sea lion population as part of a Marine Stewardship Council certification process in 2012/2013.</t>
  </si>
  <si>
    <t>10.1093/icesjms/fsz039</t>
  </si>
  <si>
    <t>WOS:000501732500036</t>
  </si>
  <si>
    <t>Britton, D; Mundy, CN; McGraw, CM; Revill, AT; Hurd, CL</t>
  </si>
  <si>
    <t>Britton, Damon; Mundy, Craig N.; McGraw, Christina M.; Revill, Andrew T.; Hurd, Catriona L.</t>
  </si>
  <si>
    <t>Responses of seaweeds that use CO2 as their sole inorganic carbon source to ocean acidification: differential effects of fluctuating pH but little benefit of CO2 enrichment</t>
  </si>
  <si>
    <t>carbon dioxide concentrating mechanisms (CCM); dissolved inorganic carbon; macroalgae; non-CCM; ocean acidification (OA); pH variability; physiology; seaweed</t>
  </si>
  <si>
    <t>KELP MACROCYSTIS-PYRIFERA; COASTAL CALCIFIERS; DIURNAL-VARIATION; INTRACELLULAR PH; LOWERED PH; SEAWATER; CALCIFICATION; MACROALGAE; CHEMISTRY; ALGAE</t>
  </si>
  <si>
    <t>Laboratory studies that test the responses of coastal organisms to ocean acidification (OA) typically use constant pH regimes which do not reflect coastal systems, such as seaweed beds, where pH fluctuates on diel cycles. Seaweeds that use CO2 as their sole inorganic carbon source (non-carbon dioxide concentrating mechanism species) are predicted to benefit from OA as concentrations of dissolved CO2 increase, yet this prediction has rarely been tested, and no studies have tested the effect of pH fluctuations on non-CCM seaweeds. We conducted a laboratory experiment in which two ecologically dominant non-CCM red seaweeds (Callophyllis lambertii and Plocamium dilatatum) were exposed to four pH treatments: two static, pH(T) 8.0 and 7.7 and two fluctuating, pH(T) 8.0 +/- 0.3 and 7.7 +/- 0.3. Fluctuating pH reduced growth and net photosynthesis in C. lambertii, while P. dilatatum was unaffected. OA did not benefit P. dilatatum, while C. lambertii displayed elevated net photosynthetic rates. We provide evidence that carbon uptake strategy alone cannot be used as a predictor of seaweed responses to OA and highlight the importance of species-specific sensitivity to [H+]. We also emphasize the importance of including realistic pH fluctuations in experimental studies on coastal organisms.</t>
  </si>
  <si>
    <t>[Britton, Damon; Mundy, Craig N.; Hurd, Catriona L.] Univ Tasmania, Inst Marine &amp; Antarctic Studies, 20 Castray Esplanade, Hobart, Tas 7004, Australia; [McGraw, Christina M.] Univ Otago, Dept Chem, NIWA, Res Ctr Oceanog, Dunedin 9016, New Zealand; [Revill, Andrew T.] CSIRO Oceans &amp; Atmosphere, Hobart, Tas 7000, Australia</t>
  </si>
  <si>
    <t>University of Tasmania; University of Otago; Commonwealth Scientific &amp; Industrial Research Organisation (CSIRO)</t>
  </si>
  <si>
    <t>Britton, D (corresponding author), Univ Tasmania, Inst Marine &amp; Antarctic Studies, 20 Castray Esplanade, Hobart, Tas 7004, Australia.</t>
  </si>
  <si>
    <t>damon.britton@utas.edu.au</t>
  </si>
  <si>
    <t>Mundy, Craig/G-3390-2014; Hurd, Catriona/J-2411-2013; Revill, Andrew/B-8733-2011</t>
  </si>
  <si>
    <t>Mundy, Craig/0000-0002-1945-3750; Britton, Damon/0000-0002-9029-7527; Hurd, Catriona/0000-0001-9965-4917; McGraw, Christina/0000-0001-5841-0748; Revill, Andrew/0000-0003-2486-5976</t>
  </si>
  <si>
    <t>University of Tasmania, Australian Postgraduate Award</t>
  </si>
  <si>
    <t>D.B. was supported by a University of Tasmania, Australian Postgraduate Award.</t>
  </si>
  <si>
    <t>10.1093/icesjms/fsz070</t>
  </si>
  <si>
    <t>WOS:000501732500042</t>
  </si>
  <si>
    <t>Smirnov, VG; Bychkova, IA; Zakhvatkina, NY; Mironov, EU; Klyachkin, SV</t>
  </si>
  <si>
    <t>Smirnov, V. G.; Bychkova, I. A.; Zakhvatkina, N. Yu; Mironov, E. U.; Klyachkin, S., V</t>
  </si>
  <si>
    <t>Monitoring of Dangerous Ice Phenomena Using Satellite Imagery and Model Simulation</t>
  </si>
  <si>
    <t>RUSSIAN METEOROLOGY AND HYDROLOGY</t>
  </si>
  <si>
    <t>Dangerous ice phenomena; ice cover; model simulations; Arctic seas; satellite monitoring; optical spectral range; synthetic-aperture radar</t>
  </si>
  <si>
    <t>CLASSIFICATION</t>
  </si>
  <si>
    <t>A possibility of monitoring some dangerous ice phenomena using satellite data of various spectral ranges is considered. The comparison of the results obtained by satellite methods and model simulations is presented. The advantages and disadvantages of these approaches are discussed. The proposals for the further development of the presented monitoring methods are given.</t>
  </si>
  <si>
    <t>[Smirnov, V. G.; Bychkova, I. A.; Zakhvatkina, N. Yu; Mironov, E. U.; Klyachkin, S., V] Arctic &amp; Antarctic Res Inst, Ul Beringa 38, St Petersburg 199397, Russia; [Smirnov, V. G.; Bychkova, I. A.] Russian State Hydrometeorol Univ, Malookhtinskii Pr 98, St Petersburg 195196, Russia; [Zakhvatkina, N. Yu] Nansen Int Environm &amp; Remote Sensing Ctr, Chetyrnadtsataya Liniya 7, St Petersburg 199034, Russia</t>
  </si>
  <si>
    <t>Arctic &amp; Antarctic Research Institute; Russian State Hydrometeorological University; Nansen Environmental &amp; Remote Sensing Center (NERSC)</t>
  </si>
  <si>
    <t>Smirnov, VG (corresponding author), Arctic &amp; Antarctic Res Inst, Ul Beringa 38, St Petersburg 199397, Russia.;Smirnov, VG (corresponding author), Russian State Hydrometeorol Univ, Malookhtinskii Pr 98, St Petersburg 195196, Russia.</t>
  </si>
  <si>
    <t>vgs@aari.ru</t>
  </si>
  <si>
    <t>Mironov, Yevgeny Uarovich/ADV-4713-2022</t>
  </si>
  <si>
    <t>Mironov, Yevgeny Uarovich/0000-0001-8390-8011</t>
  </si>
  <si>
    <t>Russian Science Foundation [17-77-30019]; Russian State Hydrometeorological University; Russian Foundation for Basic Research [18-05-60109]</t>
  </si>
  <si>
    <t>Russian Science Foundation(Russian Science Foundation (RSF)); Russian State Hydrometeorological University; Russian Foundation for Basic Research(Russian Foundation for Basic Research (RFBR)Spanish Government)</t>
  </si>
  <si>
    <t>The research was supported by the Russian Science Foundation (grant 17-77-30019, Russian State Hydrometeorological University, the monitoring of hummocks and multiyear ice) and Russian Foundation for Basic Research (grant 18-05-60109, the compu tation of ice cover compression).</t>
  </si>
  <si>
    <t>1068-3739</t>
  </si>
  <si>
    <t>1934-8096</t>
  </si>
  <si>
    <t>RUSS METEOROL HYDRO+</t>
  </si>
  <si>
    <t>Russ. Meteorol. Hydrol.</t>
  </si>
  <si>
    <t>10.3103/S1068373919110049</t>
  </si>
  <si>
    <t>JT6BW</t>
  </si>
  <si>
    <t>WOS:000501073900004</t>
  </si>
  <si>
    <t>Brand, U; Bitner, MA; Logan, A; Azmy, K; Crippa, G; Angiolini, L; Colin, P; Griesshaber, E; Harper, EM; Ruggiero, ET; Häussermann, V</t>
  </si>
  <si>
    <t>Brand, Uwe; Bitner, M. Aleksandra; Logan, Alan; Azmy, Karem; Crippa, Gaia; Angiolini, Lucia; Colin, Patrick; Griesshaber, Erika; Harper, Elizabeth M.; Ruggiero, Emma Taddei; Haussermann, Vreni</t>
  </si>
  <si>
    <t>BRACHIOPOD-BASED OXYGEN-ISOTOPE THERMOMETER: UPDATE AND REVIEW</t>
  </si>
  <si>
    <t>RIVISTA ITALIANA DI PALEONTOLOGIA E STRATIGRAFIA</t>
  </si>
  <si>
    <t>8th International Brachiopod Congress on Brachiopods in a Changing Planet - From the Past to the Future</t>
  </si>
  <si>
    <t>SEP 10-14, 2018</t>
  </si>
  <si>
    <t>Univ Milano, Milano, ITALY</t>
  </si>
  <si>
    <t>Univ Milano</t>
  </si>
  <si>
    <t>Articulated brachiopods; oxygen isotopes; paleotemperature; seawater temperature archives</t>
  </si>
  <si>
    <t>CARBON-ISOTOPE; FOSSIL BRACHIOPODS; PLANKTONIC-FORAMINIFERA; ARTICULATE BRACHIOPOD; DEVILS HOLE; SHELL; EQUILIBRIUM; CALCITE; TEMPERATURE; DELTA-O-18</t>
  </si>
  <si>
    <t>In the early 1950's, McCrea and Epstein and co-workers laid the foundation for the oxygen isotope-based thermometers. Many variations of the thermometer have been since formulated based on synthetic and biogenic carbonates. Overall, the use and application of oxygen isotope thermometers must consider and be specific as to the mineralogy, and whether it is synthetic, abiogenic or biogenic carbonate. Here, we propose an updated and refined oxygen-isotope thermometer based on a large database of articulated brachiopods from high to low latitudes, cold to warm and shallow to deep-water regimes. In general, brachiopodbased oxygen isotopes are offset from abiogenic calcite precipitated in thermodynamic equilibrium by about -1 parts per thousand. They maintain this offset and that allows for the determination of robust ambient water temperatures over the full marine spectrum. Thus, the specific brachiopod-based oxygen-isotope thermometer applies, with few exceptions, to most modern articulated brachiopods, and potentially their ancient counterparts, and it is as follows: T degrees C = 17.3750 - 4.2535 (delta c-delta w) + 0.1473 (delta c-delta w)(2) (N = 578, r(2) = 0.980) Furthermore, it is imperative that mineralogy and taxa be considered for their appropriateness in the application of oxygen isotope thermometers on synthetic, abiogenic and biogenic marine carbonates. Articulated brachiopods are ideal recorders of oceanographic parameters due to their sessile nature, widespread distribution, high abundance in the Paleozoic and Mesozoic, high resilience to most environmental stresses (e.g., climate change - global warming, ocean acidification), and the resistance of the calcite shell - the archive - to post-depositional diagenetic alteration.</t>
  </si>
  <si>
    <t>[Brand, Uwe] Brock Univ, Dept Earth Sci, 1812 Sir Isaac Brock Way, St Catharines, ON L2S 3A1, Canada; [Bitner, M. Aleksandra] Polish Acad Sci, Inst Paleobiol, Twarda 51-55, PL-00818 Warsaw, Poland; [Logan, Alan] Univ New Brunswick, Ctr Coastal Studies, St John, NB E2L 4L5, Canada; [Azmy, Karem] Mem Univ Newfoundland, Dept Earth Sci, St John, NF A1B 3X5, Canada; [Crippa, Gaia; Angiolini, Lucia] Univ Milan, Dipartimento Sci Terra A Desio, Via Mangiagalli 34, I-20133 Milan, Italy; [Colin, Patrick] Coral Reef Res Fdn, POB 1765, Koror 96940, Palau; [Griesshaber, Erika] Ludwig Maximilians Univ Munchen, Dept Earth &amp; Environm Sci, Theresienstr 41, D-80333 Munich, Germany; [Harper, Elizabeth M.] Univ Cambridge, Dept Earth Sci, Cambridge, England; [Ruggiero, Emma Taddei] Univ Napoli Federico II, Dipartimento Sci Terra, I-801380 Naples, Italy; [Haussermann, Vreni] Pontificia Univ Catolica Valparaiso, Fac Recursos Nat, Escuela Ciencias Mar, Ave Brasil, Valparaiso 2950, Chile; [Haussermann, Vreni] Huinay Sci Field Stn, Puerto Montt, Chile</t>
  </si>
  <si>
    <t>Brock University; Polish Academy of Sciences; Institute of Paleobiology of the Polish Academy of Sciences; University of New Brunswick; Memorial University Newfoundland; University of Milan; University of Munich; University of Cambridge; University of Naples Federico II; Pontificia Universidad Catolica de Valparaiso</t>
  </si>
  <si>
    <t>Brand, U (corresponding author), Brock Univ, Dept Earth Sci, 1812 Sir Isaac Brock Way, St Catharines, ON L2S 3A1, Canada.</t>
  </si>
  <si>
    <t>ubrand@brocku.ca</t>
  </si>
  <si>
    <t>Harper, Elizabeth M/B-3890-2008; Angiolini, Lucia/L-7389-2017; Bitner, Maria/ABF-5623-2020</t>
  </si>
  <si>
    <t>Bitner, Maria/0000-0002-2864-2967; Haussermann, Verena Susanne/0000-0001-9630-7477; Wang, yonghui/0000-0001-8120-2584</t>
  </si>
  <si>
    <t>Natural Science &amp; Engineering Research Council of Canada [2015-05282]</t>
  </si>
  <si>
    <t>Natural Science &amp; Engineering Research Council of Canada(Natural Sciences and Engineering Research Council of Canada (NSERC))</t>
  </si>
  <si>
    <t>First, we must thank the editor and reviewers for their input on this manuscript. Also, we thank the organizers of the 8th International Brachiopod Congress for furthering our understanding of brachiopods in the geologic world with this special issue. We thank A. Brearley, M. Miller, L. Peck (British Antarctic Survey) and D. Henckel (GEOMAR) for providing us with brachiopods and seawater, and we acknowledge A. Rubinson (Brock University) and A. Davis (Brock) for laboratory assistance, M. Lozon (Brock) for drafting the figures, and E. Ferrari (Universita di Milano) for technical support with stable isotope analyses. This study was supported by grants to U. Brand (Discovery grant 2015-05282) from the Natural Science &amp; Engineering Research Council of Canada. Samples were collected, in part, with permits issued by the Bureau of Marine Resources, Republic of Palau, the Department of Fisheries and Oceans, Canada, and the Office of Subsecretaria de Pesca (#1742), Chile. This is publication Nr. 169 of the Huinay Scientific Field Station.</t>
  </si>
  <si>
    <t>UNIV STUDI MILANO</t>
  </si>
  <si>
    <t>MILANO</t>
  </si>
  <si>
    <t>C/O RIVISTA ITALIANA PALEONTOLOGIA STRATIGRAFIA, VIA MANGIAGALLI, 34, 20133 MILANO, ITALY</t>
  </si>
  <si>
    <t>0035-6883</t>
  </si>
  <si>
    <t>2039-4942</t>
  </si>
  <si>
    <t>RIV ITAL PALEONTOL S</t>
  </si>
  <si>
    <t>Riv. Ital. Paleontol. Stratigr.</t>
  </si>
  <si>
    <t>10.13130/2039-4942/12226</t>
  </si>
  <si>
    <t>Geology; Paleontology</t>
  </si>
  <si>
    <t>JT0WB</t>
  </si>
  <si>
    <t>WOS:000500719400015</t>
  </si>
  <si>
    <t>Fernando, AM; Bernath, PE; Boone, CD</t>
  </si>
  <si>
    <t>Fernando, Anton M.; Bernath, Peter E.; Boone, Christopher D.</t>
  </si>
  <si>
    <t>Ozone isotopologue measurements from the Atmospheric Chemistry Experiment (ACE)</t>
  </si>
  <si>
    <t>JOURNAL OF QUANTITATIVE SPECTROSCOPY &amp; RADIATIVE TRANSFER</t>
  </si>
  <si>
    <t>Ozone isotopologues; Fourier transform spectroscopy; Satellite remote sensing</t>
  </si>
  <si>
    <t>ISOTOPIC FRACTIONATION; STRATOSPHERIC OZONE; HEAVY OZONE; PHOTOLYSIS; OXYGEN; O-3</t>
  </si>
  <si>
    <t>Near global ozone isotopologue distributions have been determined from infrared solar occultation measurements of the Atmospheric Chemistry Experiment (ACE) satellite mission. ACE measurements are made with a high resolution Fourier transform spectrometer. Annual and seasonal latitudinal fractionation (delta value) distributions of the ozone isotopologues (OOO)-O-16-O-16-O-18, (OOO)-O-16-O-18-O-16 and (OOO)-O-16-O-17-O-16 were obtained. Asymmetric ozone ((OOO)-O-16-O-1-O-6-O-18) shows higher fractionation compared to symmetric ozone ((OOO)-O-16-O-18-O-16). The maximum ozone fractionation occurs in the tropical stratosphere as expected from the contribution of photolysis to the enrichment of heavy isotopologues. An enhancement of the heavy ozone isotopologues is also seen in the upper stratosphere of the Antarctic polar vortex. (C) 2019 Elsevier Ltd. All rights reserved.</t>
  </si>
  <si>
    <t>[Fernando, Anton M.; Bernath, Peter E.] Old Dominion Univ, Dept Phys, Norfolk, VA 23529 USA; [Bernath, Peter E.] Old Dominion Univ, Dept Chem &amp; Biochem, Norfolk, VA 23529 USA; [Boone, Christopher D.] Univ Waterloo, Dept Chem, Waterloo, ON, Canada</t>
  </si>
  <si>
    <t>Old Dominion University; Old Dominion University; University of Waterloo</t>
  </si>
  <si>
    <t>Fernando, AM (corresponding author), Old Dominion Univ, Dept Phys, Norfolk, VA 23529 USA.</t>
  </si>
  <si>
    <t>afern018@odu.edu</t>
  </si>
  <si>
    <t>Bernath, Peter F/B-6567-2012</t>
  </si>
  <si>
    <t>Bernath, Peter F/0000-0002-1255-396X</t>
  </si>
  <si>
    <t>Canadian Space Agency (CSA) [9F045-180032/001/MTB SCISAT]</t>
  </si>
  <si>
    <t>Canadian Space Agency (CSA)(Canadian Space Agency)</t>
  </si>
  <si>
    <t>The ACE mission is funded primarily by the Canadian Space Agency (CSA; 9F045-180032/001/MTB SCISAT).</t>
  </si>
  <si>
    <t>0022-4073</t>
  </si>
  <si>
    <t>1879-1352</t>
  </si>
  <si>
    <t>J QUANT SPECTROSC RA</t>
  </si>
  <si>
    <t>J. Quant. Spectrosc. Radiat. Transf.</t>
  </si>
  <si>
    <t>10.1016/j.jqsrt.2019.06.026</t>
  </si>
  <si>
    <t>Optics; Spectroscopy</t>
  </si>
  <si>
    <t>JR6YG</t>
  </si>
  <si>
    <t>WOS:000499767800007</t>
  </si>
  <si>
    <t>Pérez, LF; Hernández-Molina, FJ; Lodolo, E; Bohoyo, F; Galindo-Zaldívar, J; Maldonado, A</t>
  </si>
  <si>
    <t>Perez, Lara F.; Hernandez-Molina, F. Javier; Lodolo, Emanuele; Bohoyo, Fernando; Galindo-Zaldivar, Jesus; Maldonado, Andres</t>
  </si>
  <si>
    <t>Oceanographic and climatic consequences of the tectonic evolution of the southern scotia sea basins, Antarctica</t>
  </si>
  <si>
    <t>EARTH-SCIENCE REVIEWS</t>
  </si>
  <si>
    <t>Isolated oceanic basins; Seismic stratigraphy; Passive margins; Paleoceanography; Drake Passage and Scotia Sea; Antarctica</t>
  </si>
  <si>
    <t>DEEP-WATER CIRCULATION; CONTOURITE DEPOSITIONAL SYSTEM; SHACKLETON FRACTURE-ZONE; PLATE BOUNDARY; DRAKE PASSAGE; CONTINENTAL MARGINS; TRENCH COLLISION; PASSIVE MARGINS; OCEANIC-CRUST; ICE VOLUME</t>
  </si>
  <si>
    <t>The Scotia Sea is a complex geological area located in the Southern Ocean which evolution is closely linked to the opening of the Drake Passage. Structural highs of continental nature derived from the former continental bridge between South America and the Antarctic Peninsula surround the abyssal plains of the Scotia Sea, restricting small isolated sedimentary basins along its southern margin. Morpho-structural and seismo-strati-graphic analyses of multichannel seismic reflection profiles, and additional geophysical data available in the region, have been conducted, decoding regional and global implications of the basins' evolution. The main aim of this work is to describe the stratigraphic evolution of the southern Scotia Sea basins, from their opening in the back-arc tectonic context of the Scotia Sea, to the last oceanographic changes which have carried on global climatic implications. The evolution of the south Scotia Sea occurred through two major tectonic stages registered in the sedimentary record of the region: 1) the end of the subduction in the northwest part of the Weddell Sea during the early Miocene, which shortened the back-arc subduction trench generating a major change in the regional tectonic field that determined the evolution of the southern basins towards two different types of passive margins: magma-poor and magma-rich; and 2) the full development of the southern Scotia Sea basins during the middle Miocene, that led to the opening of deep oceanic gateways along the South Scotia Ridge. Interplay among tectonics, oceanography and climate is proposed to control the regional sedimentary stacking pattern, with coeval changes globally identified.</t>
  </si>
  <si>
    <t>[Perez, Lara F.] British Antarctic Survey, Madingley Rd, Cambridge CB3 0ET, England; [Hernandez-Molina, F. Javier] Royal Holloway Univ London, Dept Earth Sci, Egham Hill, Egham TW20 0EX, Surrey, England; [Lodolo, Emanuele] Ist Nazl Oceanog &amp; Geofis Sperimentales, Borgo Grotta Gigante 42-C, I-34010 Trieste, Italy; [Bohoyo, Fernando] Inst Geol &amp; Minero Espana, Rio Rosas 23, Madrid 28003, Spain; [Galindo-Zaldivar, Jesus; Maldonado, Andres] Inst Andaluz Ciencias Tierra, Avd Palmeras 4, Granada 18100, Spain; [Galindo-Zaldivar, Jesus] Granada Univ, Dept Geodinam, Avd Fuentenueva S-N, Granada 18002, Spain</t>
  </si>
  <si>
    <t>UK Research &amp; Innovation (UKRI); Natural Environment Research Council (NERC); NERC British Antarctic Survey; University of London; Royal Holloway University London; Consejo Superior de Investigaciones Cientificas (CSIC); CSIC - Instituto Andaluz de Ciencias de la Tierra (IACT); University of Granada</t>
  </si>
  <si>
    <t>Pérez, LF (corresponding author), British Antarctic Survey, Madingley Rd, Cambridge CB3 0ET, England.</t>
  </si>
  <si>
    <t>larrez@bas.ac.uk</t>
  </si>
  <si>
    <t>Pérez, Lara F./H-3572-2015; Bohoyo, Fernando/AAZ-5990-2021; Bohoyo, Fernando/C-1062-2011; Galindo-Zaldivar, Jesus/K-3640-2012</t>
  </si>
  <si>
    <t>Pérez, Lara F./0000-0002-6229-4564; Bohoyo, Fernando/0000-0002-1044-8816; Bohoyo, Fernando/0000-0002-1044-8816; Galindo-Zaldivar, Jesus/0000-0002-3493-2637; LODOLO, Emanuele/0000-0002-4706-2095</t>
  </si>
  <si>
    <t>Marie Sklodowska-Curie Action (MSCA) Global Fellowship H2020-MSCA-IF-GF-2017 [792773]; Spanish National Research Program [CTM2011-30241-C01/02ANT, CTM2014-60451-C2-1/2, CTM2011-13970-E, CTM2012-39599-C03]; COMPASS consortium; Continental Margins Research Group (CMRG); Drifters Research Group at Royal Holloway University of London (UK); Marie Curie Actions (MSCA) [792773] Funding Source: Marie Curie Actions (MSCA); NERC [bas0100030] Funding Source: UKRI</t>
  </si>
  <si>
    <t>Marie Sklodowska-Curie Action (MSCA) Global Fellowship H2020-MSCA-IF-GF-2017; Spanish National Research Program(Spanish Government); COMPASS consortium; Continental Margins Research Group (CMRG); Drifters Research Group at Royal Holloway University of London (UK); Marie Curie Actions (MSCA)(Marie Curie Actions); NERC(UK Research &amp; Innovation (UKRI)Natural Environment Research Council (NERC))</t>
  </si>
  <si>
    <t>The first author of this manuscript benefices of the Marie Sklodowska-Curie Action (MSCA) Global Fellowship H2020-MSCA-IF-GF-2017 no.: 792773 WAMSISE. This work was funded through the Spanish National Research Program projects CTM2011-30241-C01/02ANT and CTM2014-60451-C2-1/2, the special action CTM2011-13970-E, and is related to the project CTM2012-39599-C03. This work was also partially supported by the COMPASS consortium and performed in collaboration with the Continental Margins Research Group (CMRG) and The Drifters Research Group at Royal Holloway University of London (UK). We thank the Antarctic Seismic Data Library System for access to some of the data interpreted in this study. Our acknowledge to Dr. Gerhard Kuhn (Alfred-Wegener-Institut) and the anonymous reviewer that highly improve the initial version of this manuscript.</t>
  </si>
  <si>
    <t>0012-8252</t>
  </si>
  <si>
    <t>1872-6828</t>
  </si>
  <si>
    <t>EARTH-SCI REV</t>
  </si>
  <si>
    <t>Earth-Sci. Rev.</t>
  </si>
  <si>
    <t>10.1016/j.earscirev.2019.102922</t>
  </si>
  <si>
    <t>JQ1ZZ</t>
  </si>
  <si>
    <t>WOS:000498752600005</t>
  </si>
  <si>
    <t>Fu, Q; Solomon, S; Pahlavan, HA; Lin, P</t>
  </si>
  <si>
    <t>Fu, Qiang; Solomon, Susan; Pahlavan, Hamid A.; Lin, Pu</t>
  </si>
  <si>
    <t>Observed changes in Brewer?Dobson circulation for 1980?2018</t>
  </si>
  <si>
    <t>Brewer?Dobson circulation; ozone depletion and healing; MSU; AMSU</t>
  </si>
  <si>
    <t>HEMISPHERE HIGH-LATITUDES; DOBSON CIRCULATION; STRATOSPHERIC AIR; CLIMATE-CHANGE; MEAN AGE; RESIDUAL CIRCULATION; VARIABILITY; TRENDS; OZONE; ATMOSPHERE</t>
  </si>
  <si>
    <t>Previous work has examined the Brewer?Dobson circulation (BDC) changes for 1980?2009 based on satellite Microwave Sounding Unit (MSU/AMSU) lower-stratospheric temperature (T-LS) observations and ERA-Interim reanalysis data. Here we examine the BDC changes for the longer period now available (1980?2018), which also allows analysis of both the ozone depletion (1980?1999) and ozone healing (2000?2018) periods. We provide observational evidence that the annual mean BDC accelerated for 1980?1999 but decelerated for 2000?2018, with the changes largely driven by the Southern Hemisphere (SH), which might be partly contributed by the effects of ozone depletion and healing. We also show that the annual mean BDC has accelerated in the last 40 years (at the 90% confidence level) with a relative strengthening of ?1.7% per decade. This overall acceleration was driven by both Northern Hemisphere (40%) and SH (60%) cells. Significant SH radiative warming is also identified in September for 2000?2018 after excluding the year 2002 when a very rare SH stratospheric sudden warming occurred, supporting the view that healing of the Antarctic ozone layer has now begun to occur during the month of September.</t>
  </si>
  <si>
    <t>[Fu, Qiang; Pahlavan, Hamid A.] Univ Washington, Dept Atmospher Sci, Seattle, WA 98195 USA; [Solomon, Susan] MIT, Dept Earth Atmospher &amp; Planetary Sci, Cambridge, MA USA; [Lin, Pu] Princeton Univ, Geophys Fluid Dynam Lab, NOAA, Princeton, NJ 08544 USA</t>
  </si>
  <si>
    <t>University of Washington; University of Washington Seattle; Massachusetts Institute of Technology (MIT); National Oceanic Atmospheric Admin (NOAA) - USA; Princeton University</t>
  </si>
  <si>
    <t>Fu, Q (corresponding author), Univ Washington, Dept Atmospher Sci, Seattle, WA 98195 USA.</t>
  </si>
  <si>
    <t>qfu@atmos.washington.edu</t>
  </si>
  <si>
    <t>Lin, Pu/D-4393-2014; Pahlavan, Hamid A./AAU-7547-2020; Fu, Qiang/W-5836-2019</t>
  </si>
  <si>
    <t>Pahlavan, Hamid A./0000-0003-3964-6223;</t>
  </si>
  <si>
    <t>NASA [80NSSC18K1031]; NSF [AGS-1821437, AGS-1848863]; NOAA [NA18OAR4310423]</t>
  </si>
  <si>
    <t>NASA(National Aeronautics &amp; Space Administration (NASA)); NSF(National Science Foundation (NSF)); NOAA(National Oceanic Atmospheric Admin (NOAA) - USA)</t>
  </si>
  <si>
    <t>This research was supported by NASA grant 80NSSC18K1031, NSF grants AGS-1821437 and AGS-1848863, and NOAA Grant NA18OAR4310423. QF thanks the International Space Science Institute (ISSI) Tropical Width and its Impacts on the STratosphere (TWIST) project that partly stimulated this project.</t>
  </si>
  <si>
    <t>10.1088/1748-9326/ab4de7</t>
  </si>
  <si>
    <t>JR9UF</t>
  </si>
  <si>
    <t>WOS:000499960600001</t>
  </si>
  <si>
    <t>Scussolini, P; Bakker, P; Guo, CC; Stepanek, C; Zhang, Q; Braconnot, P; Cao, J; Guarino, MV; Coumou, D; Prange, M; Ward, PJ; Renssen, H; Kageyama, M; Otto-Bliesner, B; Aerts, JCJH</t>
  </si>
  <si>
    <t>Scussolini, Paolo; Bakker, Pepijn; Guo, Chuncheng; Stepanek, Christian; Zhang, Qiong; Braconnot, Pascale; Cao, Jian; Guarino, Maria-Vittoria; Coumou, Dim; Prange, Matthias; Ward, Philip J.; Renssen, Hans; Kageyama, Masa; Otto-Bliesner, Bette; Aerts, Jeroen C. J. H.</t>
  </si>
  <si>
    <t>Agreement between reconstructed and modeled boreal precipitation of the Last Interglacial</t>
  </si>
  <si>
    <t>EXPERIMENTAL-DESIGN; PMIP4 CONTRIBUTION; ASIAN MONSOON; TEMPERATURES; SENSITIVITY; PRECESSION; HOLOCENE; PERIODS; VERSION</t>
  </si>
  <si>
    <t>The last extended time period when climate may have been warmer than today was during the Last Interglacial (LIG; ca. 129 to 120 thousand years ago). However, a global view of LIG precipitation is lacking. Here, seven new LIG climate models are compared to the first global database of proxies for LIG precipitation. In this way, models are assessed in their ability to capture important hydroclimatic processes during a different climate. The models can reproduce the proxy-based positive precipitation anomalies from the preindustrial period over much of the boreal continents. Over the Southern Hemisphere, proxy-model agreement is partial. In models, LIG boreal monsoons have 42% wider area than in the preindustrial and produce 55% more precipitation and 50% more extreme precipitation. Austral monsoons are weaker. The mechanisms behind these changes are consistent with stronger summer radiative forcing over boreal high latitudes and with the associated higher temperatures during the LIG.</t>
  </si>
  <si>
    <t>[Scussolini, Paolo; Coumou, Dim; Ward, Philip J.; Aerts, Jeroen C. J. H.] Vrije Univ Amsterdam, Inst Environm Studies, Amsterdam, Netherlands; [Bakker, Pepijn; Prange, Matthias] MARUM, Bremen, Germany; [Bakker, Pepijn] Vrije Univ Amsterdam, Dept Earth Sci, Amsterdam, Netherlands; [Guo, Chuncheng] Bjerknes Ctr Climate Res, NORCE Norwegian Res Ctr, Bergen, Norway; [Stepanek, Christian] Helmholtz Ctr Polar &amp; Marine Res, Alfred Wegener Inst, Bremerhaven, Germany; [Zhang, Qiong] Stockholm Univ, Dept Phys Geog, Stockholm, Sweden; [Braconnot, Pascale; Kageyama, Masa] Univ Paris Saclay, Lab Sci Climat &amp; Environm, Gif Sur Yvette, France; [Cao, Jian] Nanjing Univ Informat Sci &amp; Technol, Earth Syst Modeling Ctr, Nanjing, Jiangsu, Peoples R China; [Guarino, Maria-Vittoria] British Antarctic Survey, Cambridge, England; [Coumou, Dim] Potsdam Inst Climate Impact Res, Potsdam, Germany; [Renssen, Hans] Univ South Eastern Norway, Bo, Norway; [Otto-Bliesner, Bette] Natl Ctr Atmospher Res, POB 3000, Boulder, CO 80307 USA</t>
  </si>
  <si>
    <t>Vrije Universiteit Amsterdam; University of Bremen; Vrije Universiteit Amsterdam; Bjerknes Centre for Climate Research; Norwegian Research Centre (NORCE); Helmholtz Association; Alfred Wegener Institute, Helmholtz Centre for Polar &amp; Marine Research; Stockholm University; Universite Paris Cite; CEA; Centre National de la Recherche Scientifique (CNRS); Universite Paris Saclay; Nanjing University of Information Science &amp; Technology; UK Research &amp; Innovation (UKRI); Natural Environment Research Council (NERC); NERC British Antarctic Survey; Potsdam Institut fur Klimafolgenforschung; National Center Atmospheric Research (NCAR) - USA</t>
  </si>
  <si>
    <t>Scussolini, P (corresponding author), Vrije Univ Amsterdam, Inst Environm Studies, Amsterdam, Netherlands.</t>
  </si>
  <si>
    <t>paolo.scussolini@vu.nl</t>
  </si>
  <si>
    <t>Scussolini, Paolo/ABB-5247-2021; Stepanek, Christian/ABA-9210-2021; Scussolini, Paolo/AAA-8133-2019; Ward, Philip/E-6208-2010; KAGEYAMA, Masa/F-2389-2010; Otto-Bliesner, Bette/AAY-7691-2020; Aerts, Jeroen Cjh/M-8431-2013; Coumou, Dim/ABE-6666-2020; Guo, Chuncheng/G-3654-2019</t>
  </si>
  <si>
    <t>Scussolini, Paolo/0000-0001-6208-2169; Scussolini, Paolo/0000-0001-6208-2169; Coumou, Dim/0000-0003-2155-8495; Ward, Philip/0000-0001-7702-7859; Guo, Chuncheng/0000-0001-6276-6499; Stepanek, Christian/0000-0002-3912-6271; Aerts, Jeroen/0000-0002-2162-5814; Guarino, Maria Vittoria/0000-0002-7531-4560; Prange, Matthias/0000-0001-5874-756X</t>
  </si>
  <si>
    <t>NWO (Nederlandse Organisatie voor Wetenschappelijk Onderzoek) [ALWOP.164]; Swedish Research Council VR [2013-06476, 2017-04232]; Helmholtz Climate Initiative REKLIM; Alfred Wegener Institute's research program Marine, Coastal and Polar Systems; Max Planck Institute for Meteorology in Hamburg; German climate modeling initiative PalMod (BMBF); NERC [NE/P013279/1]; European Research Council under the European Community [610055]; National Science Foundation; National Center for Atmospheric Research - National Science Foundation [1852977]; CNRS; Sorbonne Universite; Ecole Polytechnique; CNES; Labex L-IPSL [ANR 10-LABX-0018]; Swedish Research Council [2013-06476, 2017-04232] Funding Source: Swedish Research Council; NERC [bas0100034, NE/P013279/1] Funding Source: UKRI</t>
  </si>
  <si>
    <t>NWO (Nederlandse Organisatie voor Wetenschappelijk Onderzoek)(Netherlands Organization for Scientific Research (NWO)); Swedish Research Council VR(Swedish Research Council); Helmholtz Climate Initiative REKLIM; Alfred Wegener Institute's research program Marine, Coastal and Polar Systems; Max Planck Institute for Meteorology in Hamburg; German climate modeling initiative PalMod (BMBF)(Federal Ministry of Education &amp; Research (BMBF)); NERC(UK Research &amp; Innovation (UKRI)Natural Environment Research Council (NERC)); European Research Council under the European Community(European Research Council (ERC)); National Science Foundation(National Science Foundation (NSF)); National Center for Atmospheric Research - National Science Foundation; CNRS(Centre National de la Recherche Scientifique (CNRS)); Sorbonne Universite; Ecole Polytechnique; CNES(Centre National D'etudes Spatiales); Labex L-IPSL; Swedish Research Council(Swedish Research Council); NERC(UK Research &amp; Innovation (UKRI)Natural Environment Research Council (NERC))</t>
  </si>
  <si>
    <t>P.S. acknowledges funding from the NWO (Nederlandse Organisatie voor Wetenschappelijk Onderzoek) under grant ALWOP.164. Q.Z. acknowledges funding from Swedish Research Council VR (2013-06476 and 2017-04232). C.S. acknowledges funding by the Helmholtz Climate Initiative REKLIM and the Alfred Wegener Institute's research program Marine, Coastal and Polar Systems and provision and support for the MPI-ESM suite by the Max Planck Institute for Meteorology in Hamburg. P.Ba. and M.P. acknowledge support from the German climate modeling initiative PalMod (BMBF). M.-V.G. acknowledges the financial support of the NERC research grant NE/P013279/1. NorESM1-F simulations received funding from the European Research Council under the European Community's Seventh Framework Program (FP7/2007-2013)/ERC grant agreement 610055, ice2ice project. B.O.-B. acknowledges the support of the National Science Foundation; this material is based on work supported by the National Center for Atmospheric Research, which is a major facility sponsored by the National Science Foundation under Cooperative Agreement no. 1852977. We thank the multiple funding agencies that support CMIP6 and ESGF. This study benefited from the ESPRI computing and data center (https://mesocentre.ipsl.fr), which is supported by the CNRS, Sorbonne Universite, Ecole Polytechnique, and CNES, as well as through national and international grants, particularly Labex L-IPSL (ANR 10-LABX-0018).</t>
  </si>
  <si>
    <t>eaax7047</t>
  </si>
  <si>
    <t>10.1126/sciadv.aax7047</t>
  </si>
  <si>
    <t>JR6MC</t>
  </si>
  <si>
    <t>WOS:000499736100061</t>
  </si>
  <si>
    <t>Syah, MHF; Kano, A; Iizuka, T; Kakizaki, Y</t>
  </si>
  <si>
    <t>Syah, Muhlash Hada Firman; Kano, Akihiro; Iizuka, Tsuyoshi; Kakizaki, Yoshihiro</t>
  </si>
  <si>
    <t>Depositional and diagenetic history of limestones and dolostones of the Oligo-Miocene Kujung Formation in the Northeast Java Basin, Indonesia</t>
  </si>
  <si>
    <t>ISLAND ARC</t>
  </si>
  <si>
    <t>carbonate diagenesis; carbonate sedimentology; dolomite; Microcodium; North East Java Basin; Oligocene-Miocene</t>
  </si>
  <si>
    <t>ISOTOPE STRATIGRAPHY; CLIMATE; STRONTIUM; DOLOMITE; ORIGIN; MICROCODIUM</t>
  </si>
  <si>
    <t>Lithological and geochemical features of platformal carbonates record the signatures of the global climates and the regional environmental settings and also reconstruct the diagenetic history and porosity evolution, which are essential to evaluate the potential of hydrocarbon reservoirs. This study investigates the platformal carbonates of the Oligo-Miocene Krunji Formation of North East Java Basin, which are potentially significant hydrocarbon reservoirs. The carbonate sequence in a 283 m thick section at Kranji in East Java is subdivided into three lithological units: limestone unit 1, dolostone unit 2, and limestone unit 3, in ascending order. The strontium-isotope ratios of well-preserved calcite samples indicate the depositional period from Chattian (late Oligocene) to Burdigalian (early Miocene), which is consistent with ages of the foraminifer assemblages. Unit 1 consists of low-porosity limestone, in which two horizons of subaerial exposure are recognized by the occurrence of red-colored matrix and lower delta C-13 values. Unit 2 consists of dolomitic rock and exhibits coarse-grained calcitic grains and cross-stratified structure. Considering that this unit has been subject to dolomitization, the sediment of unit 2 was initially permeable and was likely deposited in a shoal setting. The overlying unit 3 of Aquitanian-Burdigalian age is characterized by a highly granular texture. High porosity and uniformly low delta C-13 and delta O-18 values indicate that Unit 3 was subjected to more intense meteoric diagenesis than the Chattian unit 1. This was likely a consequence of the Antarctic ice-sheet expansion during the Oligocene/Miocene transition, which amplified sea level change. The unit 2 dolomite has high delta C-13 and delta O-18 values and a high Sr-87/Sr-86 ratio which resulted from the reflux of seawater into permeable the sediment body in middle-late Miocene (Burdigalian Tortonian) following the deposition of unit 3. The porosity and permeability of the Kujung Formation were initially controlled by sedimentological processes, but largely modified by later diagenetic processes.</t>
  </si>
  <si>
    <t>[Syah, Muhlash Hada Firman] Kyushu Univ, Integrated Sci Global Soc, Nishi Ku, Motooka 744, Fukuoka, Fukuoka 8190395, Japan; [Kano, Akihiro; Iizuka, Tsuyoshi; Kakizaki, Yoshihiro] Univ Tokyo, Dept Earth &amp; Planetary Sci, Bunkyo Ku, Hongo 7-3-1, Tokyo 1130033, Japan</t>
  </si>
  <si>
    <t>Kyushu University; University of Tokyo</t>
  </si>
  <si>
    <t>Kano, A (corresponding author), Univ Tokyo, Dept Earth &amp; Planetary Sci, Bunkyo Ku, Hongo 7-3-1, Tokyo 1130033, Japan.</t>
  </si>
  <si>
    <t>akano@eps.s.u-tokyo.ac.jp</t>
  </si>
  <si>
    <t>, Akihiro/AAH-1500-2019</t>
  </si>
  <si>
    <t>, Akihiro/0000-0003-3678-257X</t>
  </si>
  <si>
    <t>1038-4871</t>
  </si>
  <si>
    <t>1440-1738</t>
  </si>
  <si>
    <t>ISL ARC</t>
  </si>
  <si>
    <t>Isl. Arc.</t>
  </si>
  <si>
    <t>e12326</t>
  </si>
  <si>
    <t>10.1111/iar.12326</t>
  </si>
  <si>
    <t>JO6IH</t>
  </si>
  <si>
    <t>WOS:000497680800003</t>
  </si>
  <si>
    <t>Thiebot, JB; Ropert-Coudert, Y; Raclot, T; Poupart, T; Kato, A; Takahashi, A</t>
  </si>
  <si>
    <t>Thiebot, Jean-Baptiste; Ropert-Coudert, Yan; Raclot, Thierry; Poupart, Timothee; Kato, Akiko; Takahashi, Akinori</t>
  </si>
  <si>
    <t>Adelie penguins' extensive seasonal migration supports dynamic Marine Protected Area planning in Antarctica</t>
  </si>
  <si>
    <t>Marine spatial planning; Southern ocean; Winter; Sea ice; Geolocation (GLS); Pygoscelis adeliae</t>
  </si>
  <si>
    <t>FORAGING STRATEGIES; PYGOSCELIS-ADELIAE; SOUTHERN-OCEAN; MANAGEMENT; FISHERIES; CONSERVATION; ECOSYSTEM; SEABIRDS; REVEALS; CLIMATE</t>
  </si>
  <si>
    <t>Spatiotemporal dynamics of ecosystems can challenge the pertinence of Marine Protected Area (MPA) planning. Seasonal environmental changes are extreme in polar regions, however MPA planning in East Antarctica relies mostly on species' summer distribution only. Thirteen Adelie penguins were tracked from Ile des Petrels (Terre Adelie), and their seasonal distribution and behaviour were compared to the proposed D'Urville Sea-Mertz MPA. During the phase of high food-demand preceding moult, penguins used mostly (68.4%) this proposed area. However, following autumnal sea ice extension, penguins migrated north-westwards: overall, 73% of their locations were outside the MPA proposal, and this was up to &gt; 99% during winter (in July), the season when penguins maximized their dive depth and time (August and September, respectively). This study thus supports the proposal of implementing a krill no-take zone policy in this MPA, in line with the pre-moult foraging of these krill predators in this area. Further protection of the year-round habitats of migratory Adelie penguins could be achieved by inter-connecting the East Antarctic MPA proposals along the ice edge during winter, thereby mirroring the ecosystem's seasonal dynamics.</t>
  </si>
  <si>
    <t>[Thiebot, Jean-Baptiste; Takahashi, Akinori] Natl Inst Polar Res, 10-3 Midori Cho, Tachikawa, Tokyo 1908518, Japan; [Ropert-Coudert, Yan; Poupart, Timothee; Kato, Akiko] La Rochelle Univ, CNRS, UMR 7372, CEBC, Villiers En Bois, France; [Raclot, Thierry] Univ Strasbourg, UMR7178 IPHC DEPE, CNRS, Strasbourg, France; [Poupart, Timothee] Deakin Univ, Sch Life &amp; Environm Sci, Burwood, Vic, Australia; [Poupart, Timothee] Deakin Univ, Sch Life &amp; Environm Sci, Burwood, Vic, Australia</t>
  </si>
  <si>
    <t>Research Organization of Information &amp; Systems (ROIS); National Institute of Polar Research (NIPR) - Japan; Centre National de la Recherche Scientifique (CNRS); CNRS - Institute of Ecology &amp; Environment (INEE); Centre National de la Recherche Scientifique (CNRS); Universites de Strasbourg Etablissements Associes; Universite de Strasbourg; Deakin University; Deakin University</t>
  </si>
  <si>
    <t>Thiebot, JB (corresponding author), Natl Inst Polar Res, 10-3 Midori Cho, Tachikawa, Tokyo 1908518, Japan.</t>
  </si>
  <si>
    <t>jbthiebot@gmail.com; yan.ropert-coudert@cebc.cnrs.fr; thierry.raclot@iphc.cnrs.fr; timothee.poupart@gmail.com; akiko.kato@cebc.cnrs.fr; atak@nipr.ac.jp</t>
  </si>
  <si>
    <t>Takahashi, Akinori/0000-0002-9868-0408</t>
  </si>
  <si>
    <t>Institut Polaire Francais Paul-Emile Victor IPEV [1091]; Japan Society for the Promotion of Science (Kakenhi) [26840153]; WWF-UK; PEW Charitable Trust; CNRS (Zone Atelier Antarctique iLTER)</t>
  </si>
  <si>
    <t>Institut Polaire Francais Paul-Emile Victor IPEV; Japan Society for the Promotion of Science (Kakenhi)(Ministry of Education, Culture, Sports, Science and Technology, Japan (MEXT)Japan Society for the Promotion of ScienceGrants-in-Aid for Scientific Research (KAKENHI)); WWF-UK; PEW Charitable Trust; CNRS (Zone Atelier Antarctique iLTER)</t>
  </si>
  <si>
    <t>Authors thank Ryan Reisinger and Alexis Will for their help, and the Institut Polaire Francais Paul-Emile Victor IPEV for logistics support through programme no. 1091. Additional funding was received from the Japan Society for the Promotion of Science (Kakenhi Grant-in-Aid #26840153), WWF-UK, PEW Charitable Trust (Marine Fellowships) and the CNRS (Zone Atelier Antarctique iLTER). Experimental design was approved by the Council for Polar Science and Technology Programmes and the Terres Australes et Antarctiques Francaises. Data will be accessible on BirdLife International and ANTABIS-SCAR databases.</t>
  </si>
  <si>
    <t>10.1016/j.marpol.2019.103692</t>
  </si>
  <si>
    <t>JO5BA</t>
  </si>
  <si>
    <t>WOS:000497592800014</t>
  </si>
  <si>
    <t>Odeyemi, OA; Sani, NA</t>
  </si>
  <si>
    <t>Odeyemi, O. A.; Sani, N. Abdullah</t>
  </si>
  <si>
    <t>Antibiotic resistance, putative virulence factors and curli fimbrination among Cronobacter species</t>
  </si>
  <si>
    <t>Virulence factor; Biofilm formation; Antibiotic resistance; Cronobacter sakazakii</t>
  </si>
  <si>
    <t>INFANT MILK FORMULA; ENTEROBACTER-SAKAZAKII; BIOFILM FORMATION; ENTEROTOXIN PRODUCTION; ESCHERICHIA-COLI; STAINLESS-STEEL; IDENTIFICATION; PREVALENCE; GENUS; INFECTIVITY</t>
  </si>
  <si>
    <t>This study aimed to investigate antibiotic resistance and putative virulence factors among Cronobacter sakazakii isolated from powdered infant formula and other sources. The following 9 cultures (CR1-9) were collected from our culture collection: C. sakazakii and 3 Cronobacter species: C. sakazakii ATCC (R) 29544 (TM), C. muytjensii ATCC (R) 51329'(TM), C. turicensis E866 were used in this study. Isolates were subjected to antibiotic susceptibility and the following virulence factors (protease, DNase, haemolysin, gelatinase, motility and biofilm formation) using phenotypic methods. All the bacteria were able to form biofilm on agar at 37 degrees C and were resistant to ampicillin, erythromycin, fosfomycin and sulphamethoxazole. It was observed from this study that tested strains formed weak and strong biofilm with violet dry and rough (rdar), brown dry and rough (bdar), red mucoid and smooth (rmas) colony morphotypes on Congo red agar. Rdar expresses curli and fimbriae, while bdar expresses curli. Both biofilm colony morphotypes are commonly found in Enterobacteriaceae including Salmonella species. This study also reveals a new colony morphotypes in Cronobacter species. Conclusively, there was correlation between putative virulence factors and antibiotic resistance among the tested bacteria. Further study on virulence and antibiotic resistance genes is hereby encouraged.</t>
  </si>
  <si>
    <t>[Odeyemi, O. A.] Univ Tasmania, Ecol &amp; Biodivers Ctr, Inst Marine &amp; Antarctic Studies, Aquaculture Microbiol Lab, Launceston, Tas, Australia; [Odeyemi, O. A.; Sani, N. Abdullah] Natl Univ Malaysia UKM, Fac Sci &amp; Technol, Ctr Biotechnol &amp; Funct Food, Food Safety,Secur &amp; Qual Res Grp, Bangi 43600, Selangor, Malaysia; [Odeyemi, O. A.] Univ Tasmania, Res Performance &amp; Anal Res Div, Launceston, Tas, Australia</t>
  </si>
  <si>
    <t>University of Tasmania; Universiti Kebangsaan Malaysia; University of Tasmania</t>
  </si>
  <si>
    <t>Sani, NA (corresponding author), Natl Univ Malaysia UKM, Fac Sci &amp; Technol, Ctr Biotechnol &amp; Funct Food, Food Safety,Secur &amp; Qual Res Grp, Bangi 43600, Selangor, Malaysia.</t>
  </si>
  <si>
    <t>norrasani@ukm.edu.my</t>
  </si>
  <si>
    <t>Odeyemi, Olumide A/ABE-3206-2021</t>
  </si>
  <si>
    <t>Odeyemi, Olumide A/0000-0002-6041-5027</t>
  </si>
  <si>
    <t>UKM research grant [DIP-2014-007]; Ministry of Education grant [FRGS/1/2014/STWN03/UKM/02/1]</t>
  </si>
  <si>
    <t>UKM research grant; Ministry of Education grant</t>
  </si>
  <si>
    <t>This research was supported by the UKM research grant (DIP-2014-007) and the Ministry of Education grant (FRGS/1/2014/STWN03/UKM/02/1).</t>
  </si>
  <si>
    <t>10.1016/j.micpath.2019.103665</t>
  </si>
  <si>
    <t>JP5WC</t>
  </si>
  <si>
    <t>WOS:000498333600012</t>
  </si>
  <si>
    <t>Fraser, AD; Ohshima, KI; Nihashi, S; Massoma, RA; Tamura, T; Nakata, K; Williams, GD; Carpentier, S; Willmes, S</t>
  </si>
  <si>
    <t>Fraser, Alexander D.; Ohshima, Kay I.; Nihashi, Sohey; Massoma, Robert A.; Tamura, Takeshi; Nakata, Kazuki; Williams, Guy D.; Carpentier, Scott; Willmes, Sascha</t>
  </si>
  <si>
    <t>Landfast ice controls on sea-ice production in the Cape Darnley Polynya: A case study</t>
  </si>
  <si>
    <t>REMOTE SENSING OF ENVIRONMENT</t>
  </si>
  <si>
    <t>Sea ice production; Antarctic coastal polynya; Antarctic; Landfast ice; Fast ice; Sea ice-ocean interaction</t>
  </si>
  <si>
    <t>BOTTOM-WATER FORMATION; VARIABILITY; ANTARCTICA; DYNAMICS; SHELF; BAY</t>
  </si>
  <si>
    <t>Antarctic coastal polynyas serve as crucially-important sea-ice factories and are (in certain cases) of global significance as sites of Antarctic Bottom Water (AABW) formation e.g., the Cape Darnley Polynya (CDP) in East Antarctica. As such, understanding change and variability in their behaviour, and the factors responsible, is a high priority in climate (change) science. One such important factor that is both poorly understood and quantified is their linkage with adjacent landfast sea ice (fast ice). Here, we present a first detailed analysis that identifies and quantifies key linkages between the dynamics/behaviour of the CDP and fast ice. By forming a barrier to the incursion of pack ice at the eastern boundary, fast ice immediately upstream of the CDP (associated with the distribution of grounded icebergs) plays a crucially-important role in the polynya formation, maintenance and variability. This satellite data-based study builds upon earlier conceptual work on polynya-fast ice feedback mechanisms in the Mertz Glacier region by showing that statistical estimation of the rates of sea ice production (and hence AABW formation) in the CDP is significantly improved through inclusion of two key fast-ice metrics, compared to use of atmospheric covariates alone. These two metrics are the meridional extent of fast ice upstream of the polynya and total fast ice area within the region of high sea ice production. The work highlights the importance of accurate representation of the coupled Antarctic coastal polynya-fast ice system in global climate models.</t>
  </si>
  <si>
    <t>[Fraser, Alexander D.; Massoma, Robert A.; Williams, Guy D.] Univ Tasmania, Antarctic Climate &amp; Ecosyst Cooperat Res Ctr, Private Bag 80, Hobart, Tas 7001, Australia; [Fraser, Alexander D.; Ohshima, Kay I.; Nakata, Kazuki] Hokkaido Univ, Inst Low Temp Sci, Kita Ku, Kita 19,Nishi 8, Sapporo, Hokkaido 0600819, Japan; [Fraser, Alexander D.; Williams, Guy D.] Univ Tasmania, Inst Marine &amp; Antarctic Studies, 20 Castray Esplanade, Hobart, Tas 7001, Australia; [Nihashi, Sohey] Tomakomai Coll, Natl Inst Technol, Tomakomai, Hokkaido 0591275, Japan; [Massoma, Robert A.] Australian Antarctic Div, 203 Channel Highway, Kingston, Tas 7050, Australia; [Tamura, Takeshi] Natl Inst Polar Res, 10-3 Midori Cho, Tachikawa, Tokyo 1908518, Japan; [Tamura, Takeshi] SOKENDAI Grad Univ Adv Studies, Tachikawa, Tokyo 1908518, Japan; [Nakata, Kazuki] Remote Sensing Technol Ctr Japan, Minato Ku, 3-17-1 Toranomon, Tokyo 1050001, Japan; [Carpentier, Scott] Bur Meteorol, GPO Box 727, Hobart, Tas 7001, Australia; [Willmes, Sascha] Univ Trier, Dept Environm Meteorol, D-54286 Trier, Germany</t>
  </si>
  <si>
    <t>University of Tasmania; Antarctic Climate &amp; Ecosystems Cooperative Research Centre (ACE CRC); Hokkaido University; University of Tasmania; Australian Antarctic Division; Research Organization of Information &amp; Systems (ROIS); National Institute of Polar Research (NIPR) - Japan; Graduate University for Advanced Studies - Japan; Bureau of Meteorology - Australia; Universitat Trier</t>
  </si>
  <si>
    <t>Fraser, AD (corresponding author), Univ Tasmania, Inst Marine &amp; Antarctic Studies, 20 Castray Esplanade, Hobart, Tas 7001, Australia.</t>
  </si>
  <si>
    <t>adfraser@utas.edu.au</t>
  </si>
  <si>
    <t>Willmes, Sascha/J-5796-2012; Ohshima, Kay I/D-6909-2012; Fraser, Alexander/AFO-7186-2022</t>
  </si>
  <si>
    <t>Fraser, Alexander/0000-0003-1924-0015; Massom, Robert/0000-0003-1533-5084</t>
  </si>
  <si>
    <t>Japan Society for the Promotion of Science [25.03748, 24.810030, 25.241001, 26.740007]; Canon Foundation; Australian Government's Cooperative Research Centre program through the Antarctic Climate &amp; Ecosystems Cooperative Research Centre; Australian Research Council's Special Research Initiative for Antarctic Gateway Partnership [SR140300001]; Australian Antarctic Science Project [4116]</t>
  </si>
  <si>
    <t>Japan Society for the Promotion of Science(Ministry of Education, Culture, Sports, Science and Technology, Japan (MEXT)Japan Society for the Promotion of Science); Canon Foundation(Canon Foundation); Australian Government's Cooperative Research Centre program through the Antarctic Climate &amp; Ecosystems Cooperative Research Centre(Australian GovernmentDepartment of Industry, Innovation and ScienceCooperative Research Centres (CRC) Programme); Australian Research Council's Special Research Initiative for Antarctic Gateway Partnership(Australian Research Council); Australian Antarctic Science Project</t>
  </si>
  <si>
    <t>This work was supported by the Japan Society for the Promotion of Science Grant-in-Aid for Scientific Research (KAKENHI) numbers 25.03748, 24.810030, 25.241001 and 26.740007, by the Canon Foundation, by the Australian Government's Cooperative Research Centre program through the Antarctic Climate &amp; Ecosystems Cooperative Research Centre, and by the Australian Research Council's Special Research Initiative for Antarctic Gateway Partnership (Project ID SR140300001). This work also contributes to Australian Antarctic Science Project 4116 and the World Climate Research Programme (WCRP) Climate and Cryosphere (CIiC) Project targeted activity Interactions Between Cryospheric Elements. ADF is grateful to D. Fanning for maintaining the Coyote library of IDL routines, many of which were used in this work. The MODIS-derived landfast ice dataset created as part of this work is available at http://doi.org/10.4225/15/58eedb8f99dbc.The authors thank Zhaomin Wang, Chengyan Liu and two anonymous reviewers for their highly constructive comments.</t>
  </si>
  <si>
    <t>0034-4257</t>
  </si>
  <si>
    <t>1879-0704</t>
  </si>
  <si>
    <t>REMOTE SENS ENVIRON</t>
  </si>
  <si>
    <t>Remote Sens. Environ.</t>
  </si>
  <si>
    <t>10.1016/j.rse.2019.111315</t>
  </si>
  <si>
    <t>Environmental Sciences; Remote Sensing; Imaging Science &amp; Photographic Technology</t>
  </si>
  <si>
    <t>Environmental Sciences &amp; Ecology; Remote Sensing; Imaging Science &amp; Photographic Technology</t>
  </si>
  <si>
    <t>JO5EE</t>
  </si>
  <si>
    <t>WOS:000497601000012</t>
  </si>
  <si>
    <t>Inoue, S; Yasunaga, G; Pastene, LA</t>
  </si>
  <si>
    <t>Inoue, Satoko; Yasunaga, Genta; Pastene, Luis A.</t>
  </si>
  <si>
    <t>Comparison of progesterone concentrations in blubber and plasma among female Antarctic minke whales of known reproductive status</t>
  </si>
  <si>
    <t>FISHERIES SCIENCE</t>
  </si>
  <si>
    <t>Antarctic minke whale; Progesterone; Reproduction; Blubber; Plasma</t>
  </si>
  <si>
    <t>PREGNANCY</t>
  </si>
  <si>
    <t>The utility of progesterone concentration in blubber as a means of determining reproductive status in the Antarctic minke whale Balaenoptera bonaerensis was assessed through a comparative analysis of progesterone concentration in blubber and plasma among 230 female whales of known reproductive status (immature, resting, ovulating or pregnant). Whales were sampled during the austral summer in the Antarctic Ocean. The general pattern of progesterone concentration by reproductive category was well correlated between blubber and plasma samples, validating in principle the use of progesterone concentrations in blubber to determine the reproductive status of females. However, some differences were found for resting and ovulating females, which require further consideration. For blubber, overlap of progesterone concentrations was observed between reproductive categories with the exception of immature/ovulating and immature/pregnant. This result suggests that the method of using progesterone concentration in blubber cannot distinguish between pregnant and non-pregnant mature females. However, it can be used to distinguish between immature and mature females. Although a low overlap ratio in concentration was found between immature and resting females, the method is still useful for determining sexual maturity, because resting females of the Antarctic minke whale are seldom found in the Antarctic Ocean.</t>
  </si>
  <si>
    <t>[Inoue, Satoko; Yasunaga, Genta; Pastene, Luis A.] Inst Cetacean Res, Chuo Ku, 4-5 Toyomi Cho, Tokyo 1040055, Japan</t>
  </si>
  <si>
    <t>Inoue, S (corresponding author), Inst Cetacean Res, Chuo Ku, 4-5 Toyomi Cho, Tokyo 1040055, Japan.</t>
  </si>
  <si>
    <t>inoue@cetacean.jp; yasunaga@cetacean.jp; pastene@cetacean.jp</t>
  </si>
  <si>
    <t>Yasunaga, Genta/0000-0001-5599-6851</t>
  </si>
  <si>
    <t>0919-9268</t>
  </si>
  <si>
    <t>1444-2906</t>
  </si>
  <si>
    <t>FISHERIES SCI</t>
  </si>
  <si>
    <t>Fish. Sci.</t>
  </si>
  <si>
    <t>10.1007/s12562-019-01365-5</t>
  </si>
  <si>
    <t>JN5RF</t>
  </si>
  <si>
    <t>WOS:000496954700009</t>
  </si>
  <si>
    <t>Howald, S; Cominassi, L; LeBayon, N; Claireaux, G; Mark, FC</t>
  </si>
  <si>
    <t>Howald, Sarah; Cominassi, Louise; LeBayon, Nicolas; Claireaux, Guy; Mark, Felix C.</t>
  </si>
  <si>
    <t>Future ocean warming may prove beneficial for the northern population of European seabass, but ocean acidification will not</t>
  </si>
  <si>
    <t>JOURNAL OF EXPERIMENTAL BIOLOGY</t>
  </si>
  <si>
    <t>Mitochondrial respiration; Developmental acclimation; Temperate teleost; Heart</t>
  </si>
  <si>
    <t>DICENTRARCHUS-LABRAX; ELEVATED-TEMPERATURE; ANTARCTIC ECTOTHERMS; METABOLIC-RATE; LARVAE; GROWTH; MITOCHONDRIA; SALINITY; OXYGEN; BICARBONATE</t>
  </si>
  <si>
    <t>The world's oceans are acidifying and warming as a result of increasing atmospheric CO2 concentrations. The thermal tolerance of fish greatly depends on the cardiovascular ability to supply the tissues with oxygen. The highly oxygen-dependent heart mitochondria thus might play a key role in shaping an organism's tolerance to temperature. The present study aimed to investigate the effects of acute and chronic warming on the respiratory capacity of European sea bass (Dicentrarchus labrax L.) heart mitochondria. We hypothesized that acute warming would impair mitochondrial respiratory capacity, but be compensated for by life-time conditioning. Increasing P-CO2 may additionally cause shifts in metabolic pathways by inhibiting several enzymes of the cellular energy metabolism. Among other shifts in metabolic pathways, acute warming of heart mitochondria of cold life-conditioned fish increased leak respiration rate, suggesting a lower aerobic capacity to synthesize ATP with acute warming. However, thermal conditioning increased mitochondrial functionality, e.g. higher respiratory control ratios in heart mitochondria of warm life-conditioned compared with cold life-conditioned fish. Exposure to high P-CO2 synergistically amplified the effects of acute and long-term warming, but did not result in changes by itself. This high ability to maintain mitochondrial function under ocean acidification can be explained by the fact that seabass are generally able to acclimate to a variety of environmental conditions. Improved mitochondrial energy metabolism after warm conditioning could be due to the origin of this species in the warm waters of the Mediterranean. Our results also indicate that seabass are not yet fully adapted to the colder temperatures in their northern distribution range and might benefit from warmer temperatures in these latitudes.</t>
  </si>
  <si>
    <t>[Howald, Sarah; Mark, Felix C.] Alfred Wegener Inst Helmholtz Ctr Polar &amp; Marine, Integrat Ecophysiol, D-27570 Bremerhaven, Germany; [Howald, Sarah; Cominassi, Louise] Univ Hamburg, Ctr Earth Syst Res &amp; Sustainabil CEN, Inst Marine Ecosyst &amp; Fisheries Sci, D-22767 Hamburg, Germany; [LeBayon, Nicolas; Claireaux, Guy] Ctr Ifremer Bretagne, IFREMER, LEMAR UMR 6539, Lab Adaptat &amp; Nutr Fish, F-29280 Plouzane, France; [Claireaux, Guy] Univ Bretagne Occidentale, LEMAR UMR 6539, F-29280 Plouzane, France</t>
  </si>
  <si>
    <t>Helmholtz Association; Alfred Wegener Institute, Helmholtz Centre for Polar &amp; Marine Research; University of Hamburg; Universite de Bretagne Occidentale; Institut Universitaire Europeen de la Mer (IUEM); Centre National de la Recherche Scientifique (CNRS); Ifremer; Institut de Recherche pour le Developpement (IRD); CNRS - Institute of Ecology &amp; Environment (INEE); Centre National de la Recherche Scientifique (CNRS); Ifremer; Institut de Recherche pour le Developpement (IRD); Universite de Bretagne Occidentale; Institut Universitaire Europeen de la Mer (IUEM); CNRS - Institute of Ecology &amp; Environment (INEE)</t>
  </si>
  <si>
    <t>Howald, S (corresponding author), Alfred Wegener Inst Helmholtz Ctr Polar &amp; Marine, Integrat Ecophysiol, D-27570 Bremerhaven, Germany.;Howald, S (corresponding author), Univ Hamburg, Ctr Earth Syst Res &amp; Sustainabil CEN, Inst Marine Ecosyst &amp; Fisheries Sci, D-22767 Hamburg, Germany.</t>
  </si>
  <si>
    <t>sarahhowald@gmx.de</t>
  </si>
  <si>
    <t>Mark, Felix Christopher/P-4759-2016</t>
  </si>
  <si>
    <t>Mark, Felix Christopher/0000-0002-5586-6704; Cominassi, Louise/0000-0002-2606-4753; Le Bayon, Nicolas/0000-0001-7354-9449</t>
  </si>
  <si>
    <t>German Science Foundation (Deutsche Forschungsgemeinschaft, DFG); FITNESS project (DFG) [MA 4271/3-1, PE 1157/8-1]</t>
  </si>
  <si>
    <t>German Science Foundation (Deutsche Forschungsgemeinschaft, DFG)(German Research Foundation (DFG)); FITNESS project (DFG)(German Research Foundation (DFG))</t>
  </si>
  <si>
    <t>This work was supported by the German Science Foundation (Deutsche Forschungsgemeinschaft, DFG) and part of the FITNESS project (DFG grants MA 4271/3-1 to F.C.M. and PE 1157/8-1 to M. Peck, University of Hamburg, Germany).</t>
  </si>
  <si>
    <t>COMPANY BIOLOGISTS LTD</t>
  </si>
  <si>
    <t>BIDDER BUILDING, STATION RD, HISTON, CAMBRIDGE CB24 9LF, ENGLAND</t>
  </si>
  <si>
    <t>0022-0949</t>
  </si>
  <si>
    <t>1477-9145</t>
  </si>
  <si>
    <t>J EXP BIOL</t>
  </si>
  <si>
    <t>J. Exp. Biol.</t>
  </si>
  <si>
    <t>jeb213017</t>
  </si>
  <si>
    <t>10.1242/jeb.213017</t>
  </si>
  <si>
    <t>JN5CP</t>
  </si>
  <si>
    <t>WOS:000496916700026</t>
  </si>
  <si>
    <t>Borisanova, AO; Chernyshev, AV</t>
  </si>
  <si>
    <t>Borisanova, Anastasia O.; Chernyshev, Alexei, V</t>
  </si>
  <si>
    <t>A new loxosomatid species from the Kuril-Kamchatka trench area: Loxosomella marcusorum sp. n., the first record of hadal Entoprocta</t>
  </si>
  <si>
    <t>PROGRESS IN OCEANOGRAPHY</t>
  </si>
  <si>
    <t>Entoprocta; Echiura; Kamptozoa; Kuril-Kamchatka Trench; Hadal; Epibiont; New species; Ultra-abyssal</t>
  </si>
  <si>
    <t>ANTARCTIC ENTOPROCTA</t>
  </si>
  <si>
    <t>The first hadal entoproct, Loxosomella marcusorum sp. n., is described from the Kuril-Kamchatka Trench (45 degrees 57' N, 152 degrees 53' E). It was collected from depths of 6202-6204 m during the German-Russian deep-sea expedition (KuramBio II) aboard the R/V Sonne to the Kuril-Kamchatka Trench region in August-September 2016 (cruise SO-250). The species is up to 685 mu m in length, with 10-12 tentacles, with the latero-frontal budding area located at the level of the bottom of a stomach. The stalk ends with a star-shaped plate. L. marcusorum sp. n. is an epibiont of echiurid Thalassema sp. This is the first record of an entoproct living on the body surface of echiurids. A list of all the described deep-sea loxosomatid entoprocts is provided.</t>
  </si>
  <si>
    <t>[Borisanova, Anastasia O.] Moscow MV Lomonosov State Univ, Fac Biol, Moscow 119991, Russia; [Chernyshev, Alexei, V] Russian Acad Sci, Natl Sci Ctr Marine Biol, Far Eastern Branch, Palchevskogo 17, Vladivostok 690041, Russia; [Chernyshev, Alexei, V] Far Eastern Fed Univ, Vladivostok 690600, Russia</t>
  </si>
  <si>
    <t>Lomonosov Moscow State University; Russian Academy of Sciences; National Scientific Center of Marine Biology, Far East Branch of the Russian Academy of Sciences; Far Eastern Federal University</t>
  </si>
  <si>
    <t>Borisanova, AO (corresponding author), Moscow MV Lomonosov State Univ, Fac Biol, Moscow 119991, Russia.</t>
  </si>
  <si>
    <t>borisanovaao@mail.ru</t>
  </si>
  <si>
    <t>Borisanova, Anastasia/AAG-4427-2020; Chernyshev, Alexei/A-7195-2014</t>
  </si>
  <si>
    <t>Chernyshev, Alexei/0000-0002-2203-3001; Borisanova, Anastasia/0000-0002-9700-6446</t>
  </si>
  <si>
    <t>Russian Science Foundation [18-14-00082]; Russian Science Foundation [18-14-00082] Funding Source: Russian Science Foundation</t>
  </si>
  <si>
    <t>The project was financially supported by the Russian Science Foundation (#18-14-00082).</t>
  </si>
  <si>
    <t>0079-6611</t>
  </si>
  <si>
    <t>PROG OCEANOGR</t>
  </si>
  <si>
    <t>Prog. Oceanogr.</t>
  </si>
  <si>
    <t>10.1016/j.pocean.2019.102146</t>
  </si>
  <si>
    <t>JN4IC</t>
  </si>
  <si>
    <t>WOS:000496861900010</t>
  </si>
  <si>
    <t>Isla, E; Gerdes, D</t>
  </si>
  <si>
    <t>Isla, Enrique; Gerdes, Dieter</t>
  </si>
  <si>
    <t>Ongoing ocean warming threatens the rich and diverse macrobenthic communities of the Antarctic continental shelf</t>
  </si>
  <si>
    <t>Continental shelf; Antarctica; Global warming; Tides; Climate change; Benthic ecosystem; Weddell Sea</t>
  </si>
  <si>
    <t>CIRCUMPOLAR DEEP-WATER; RONNE ICE SHELF; SOUTHERN-OCEAN; WEDDELL SEA; THERMAL TOLERANCE; LATERNULA-ELLIPTICA; TEMPERATURE; CLIMATE; CIRCULATION; PENINSULA</t>
  </si>
  <si>
    <t>Global warming is heating the Antarctic circumpolar deep water (CDW), which comes into direct contact with the diverse and abundant macrobenthic communities thriving on the continental shelf of the Weddell Sea (WS). A set of 16 current meters deployed along more than 3000 km coastline revealed that tidal currents drive CDW intrusions onto the WS continental shelf and they can increase the temperature near the seabed by similar to 2.7 degrees C. The ongoing ocean warming trend may expose macrobenthic assemblages to ambient temperatures &gt; 2 degrees C by the end of the century with dramatic consequences for communities which have evolved during millions of years in near geophysical isolation under rather constant environmental conditions with temperatures &lt; 0 degrees C. These stenothermal communities have long generation times (therefore, reduced opportunity to mutate) and require hundreds of years for adaptation. Results from 135 benthic stations along the study area showed that macrobenthic communities in the southeastern section of the WS are the most vulnerable to the increase of temperature near the seabed given their high component of sessile organisms. Besides a dramatic marine biodiversity loss, the eventual demise of these communities, which provide habitat structure for a large number of species that can build up &gt; 87 g C m(-2), will cause the liberation of thousands of tons of carbon to the environment. Macrobenthic communities colonizing the recently opened shelf in the Larsen A and B bays may not have the chance to reach the type of mature assemblage inhabiting the eastern WS shelf. The highest temperatures derived from CDW intrusions were recorded in the Filchner-Ronne region, suggesting that the consequences of the thermal impact could develop faster here than in the rest of the WS. Thus, these macrobenthic communities may show the effects of warming earlier than those thriving in other regions of the WS shelf. Global warming seriously threats the abundant and highly diverse macrobenthic communities of the Antarctic continental shelf.</t>
  </si>
  <si>
    <t>[Isla, Enrique] CSIC, Inst Ciencies Mar, Passeig Maritim Barceloneta 37-49, E-08003 Barcelona, Spain; [Gerdes, Dieter] Helmholtz Zentrum Polar &amp; Meeresforsch, Alfred Wegener Inst, Columbusstr, D-27568 Bremerhaven, Germany</t>
  </si>
  <si>
    <t>Consejo Superior de Investigaciones Cientificas (CSIC); CSIC - Centro Mediterraneo de Investigaciones Marinas y Ambientales (CMIMA); CSIC - Instituto de Ciencias del Mar (ICM); Helmholtz Association; Alfred Wegener Institute, Helmholtz Centre for Polar &amp; Marine Research</t>
  </si>
  <si>
    <t>Isla, E (corresponding author), CSIC, Inst Ciencies Mar, Passeig Maritim Barceloneta 37-49, E-08003 Barcelona, Spain.</t>
  </si>
  <si>
    <t>isla@icm.csic.es; Dieter.Gerdes@awi.de</t>
  </si>
  <si>
    <t>Isla, Enrique/0000-0003-4959-6936</t>
  </si>
  <si>
    <t>Spanish Ministry of Education and Science [POL2006-06399/CGL]; Spanish Ministry of Economy and Competitiveness [CTM2012-39350-C02-01]</t>
  </si>
  <si>
    <t>Spanish Ministry of Education and Science(Spanish Government); Spanish Ministry of Economy and Competitiveness(Spanish Government)</t>
  </si>
  <si>
    <t>This work is based on eight RV Polarstern cruises. We are grateful to the masters and crews for their most dedicated support. This work was funded by the Spanish Ministries of Education and Science with project CLIMANT [POL2006-06399/CGL] and Economy and Competitiveness with the project ECOWED [CTM2012-39350-C02-01]. Special thanks are due to W. E. Arntz for enlightening and companionship. The authors are also grateful to H. Biebow and colleagues on board for their valuable help handling the gear and samples. The comments from D. Anastasiadi, C. Bock and G. Lannig contributed to improve this work. The original manuscript benefited from the comments of three Reviewers and the Editor.</t>
  </si>
  <si>
    <t>10.1016/j.pocean.2019.102180</t>
  </si>
  <si>
    <t>WOS:000496861900021</t>
  </si>
  <si>
    <t>Krishnapriya, PP; Minu, M; Hershey, NR; Nandan, SB; Krishnan, KH; Krishnan, KP</t>
  </si>
  <si>
    <t>Krishnapriya, P. P.; Minu, M.; Hershey, Regina N.; Nandan, S. Bijoy; Krishnan, Hari K.; Krishnan, K. P.</t>
  </si>
  <si>
    <t>Inter fjord variations as a key contributor in the meiobenthic faunal distribution in the Arctic Kongsfjord, Svalbard</t>
  </si>
  <si>
    <t>REGIONAL STUDIES IN MARINE SCIENCE</t>
  </si>
  <si>
    <t>Kongsfjord; Spitsbergen; Meiobenthos; Nematoda; Foraminifera</t>
  </si>
  <si>
    <t>BENTHIC FORAMINIFERA; NEMATODE ASSEMBLAGES; COMMUNITY STRUCTURE; MARINE ECOSYSTEM; MEIOFAUNA; DISTURBANCE; SEDIMENTS; ECOLOGY; PHYTODETRITUS; DEPOSITION</t>
  </si>
  <si>
    <t>The community pattern of meiobenthos in an inner and outer glacial fjord of Kongsfjord was analysed during this study. This study examined the hypothesis that there is a significant difference in the distribution of total meiofauna and the major meiofaunal groups between the inner and outer fjords and it also looked into the effect of environmental variables on their distribution. Meiofaunal abundance and diversity was higher in the inner fjord, indicating that meiofauna can be less sensitive to sediment disturbances caused by glacial activity. Average abundance and biomass of the major meiofaunal groups, namely nematodes (54%) and foraminiferans (37%) were higher in the outer region. 45 species of nematodes representing 20 families were identified during the study, in which Dorylaimopsis sp. (39.55%) and Terschellingia longicaudata (12.53%) had the highest relative abundance. Out of the 56 foraminiferan species belonging to 5 suborders, Nonionellina labradorica (18.30%) and Cassidulina teretis (8.85%) had the highest relative abundance. There are clear and significant changes (ANOSIM) in the assemblage of meiofauna with increasing distance from the glacial front which correlates to environmental variables. Species contributing to differences between inner and outer basins (SIMPER) were also determined. Among nematodes, Chromadorids and Araeolaimids had a tendency to distribute in the inner fjord while Enoplids and Monhysterids were more prevalent in the outer fjord. Sediment organic matter, silt content and pH were the best matching variables (BEST) for the distribution of both nematodes and foraminiferans. The Principal Component Analysis (PCA) revealed that environmental variations have significant patterns in the faunal distribution in Kongsfjord. From this study it can be inferred that the inner fjord has the maximum numerical abundance of meiofauna but the foraminiferans and nematodes were numerically abundant in the outer fjord and there is also significant difference in the distribution of species between the two fjords. (C) 2019 Elsevier B.V. All rights reserved.</t>
  </si>
  <si>
    <t>[Krishnapriya, P. P.; Minu, M.; Nandan, S. Bijoy] Cochin Univ Sci &amp; Technol, Sch Marine Sci, Dept Marine Biol Microbiol &amp; Biochem, Cochin 682016, Kerala, India; [Hershey, Regina N.] NSS Hindu Coll, Dept Zool Res, Changanassery 686102, India; [Krishnan, Hari K.] Rajiv Gandhi Ctr Biotechnol, Thiruvananthapuram 695014, Kerala, India; [Krishnan, K. P.] Govt India, Minist Earth Sci, Natl Ctr Polar &amp; Ocean Res, Vasco Da Gama 403804, Goa, India</t>
  </si>
  <si>
    <t>Cochin University Science &amp; Technology; Department of Biotechnology (DBT) India; Rajiv Gandhi Centre for Biotechnology (RGCB); Ministry of Earth Sciences (MoES) - India; National Centre for Polar and Ocean Research (NCPOR)</t>
  </si>
  <si>
    <t>Nandan, SB (corresponding author), Cochin Univ Sci &amp; Technol, Sch Marine Sci, Dept Marine Biol Microbiol &amp; Biochem, Cochin 682016, Kerala, India.</t>
  </si>
  <si>
    <t>bijoynandan@yahoo.co.in</t>
  </si>
  <si>
    <t>M, Minu/AAQ-1932-2021; P, Krishnan K/ABF-8783-2020</t>
  </si>
  <si>
    <t>Hershey, Regina/0000-0002-2700-8091; M, Minu/0000-0002-8707-3119</t>
  </si>
  <si>
    <t>National Centre for Antarctic and Ocean Research (NCAOR)</t>
  </si>
  <si>
    <t>The authors are thankful to, the National Centre for Antarctic and Ocean Research (NCAOR), Govt. of India and to the Head, Dept. of Marine Biology, Microbiology and Biochemistry, School of Marine Sciences, Cochin University of Science and Technology for providing the support and necessary facilities to undertake the study. A special thanks extended to Dr. Lathika Cicily, Dr. Sreelekshmi S and Dr. Jayachandran P.R, Post-Doctoral Fellows for their valuable assistance and technical support in statistical analysis.</t>
  </si>
  <si>
    <t>2352-4855</t>
  </si>
  <si>
    <t>REG STUD MAR SCI</t>
  </si>
  <si>
    <t>Reg. Stud. Mar. Sci.</t>
  </si>
  <si>
    <t>10.1016/j.rsma.2019.100817</t>
  </si>
  <si>
    <t>Ecology; Marine &amp; Freshwater Biology</t>
  </si>
  <si>
    <t>JM9SK</t>
  </si>
  <si>
    <t>WOS:000496545700002</t>
  </si>
  <si>
    <t>Macleod, C; Coughanowr, C</t>
  </si>
  <si>
    <t>Macleod, Catriona; Coughanowr, Christine</t>
  </si>
  <si>
    <t>Heavy metal pollution in the Derwent estuary: History, science and management</t>
  </si>
  <si>
    <t>Monitoring; Environmental impact assessment; Multiple use management; Community engagement</t>
  </si>
  <si>
    <t>CONTAMINATED SEDIMENTS; SURFACE SEDIMENTS; MARINE-SEDIMENTS; PORT JACKSON; TASMANIA; MERCURY; COASTAL; AUSTRALIA; RELEASE; IMPACTS</t>
  </si>
  <si>
    <t>In this review we provide an overview of the Derwent estuary, Tasmania, Australia. The Derwent flows through the centre of Hobart, a city with a population of approximately 200,000 people. It provides a mechanism for trade and transport, and plays a key role in community recreation. There is significant metal contamination throughout the estuary as a result of historic industry practices, to the extent that the Derwent has an unenvied reputation as one of the most highly metal polluted estuaries in the world. The most recent sediment survey (2012) showed zinc, copper, lead, cadmium, arsenic and mercury levels as still particularly high; with levels in the mid-estuary exceeding 14000, 550, 1800, 120, 420 and 45 ug/g respectively. Zinc is the most abundant metal contaminant in the Derwent, with water column levels in the mid-estuary ranging between 30-60 ug/L. Considerable management and research efforts over the last 50 years have been focused on addressing these legacy issues. As a result, the Derwent Estuary Program was instigated and has proven to be a highly successful body for co-ordination of both remediation and research efforts in the estuary. Whilst the legacy issues have been a key focus for management to date, like other waterbodies worldwide, the estuary is also facing contemporary issues associated with increased urbanisation, changes in catchment usage and climate change. This review provides a comprehensive summary of management initiatives and research to date, and outlines those emerging issues. (c) 2019 Published by Elsevier B.V.</t>
  </si>
  <si>
    <t>[Macleod, Catriona] Univ Tasmania, IMAS, Hobart, Tas 7001, Australia; [Macleod, Catriona] Univ Tasmania, Ctr Marine Socioecol, Hobart, Tas 7001, Australia; [Coughanowr, Christine] 33 Brinsmead Rd, Mt Nelson, Tas 7007, Australia</t>
  </si>
  <si>
    <t>Macleod, C (corresponding author), Univ Tasmania, IMAS, Hobart, Tas 7001, Australia.;Macleod, C (corresponding author), Univ Tasmania, Ctr Marine Socioecol, Hobart, Tas 7001, Australia.</t>
  </si>
  <si>
    <t>catriona.macleod@utas.edu.au</t>
  </si>
  <si>
    <t>Macleod, Catriona/J-7176-2014</t>
  </si>
  <si>
    <t>Macleod, Catriona/0000-0002-0539-6361</t>
  </si>
  <si>
    <t>University of Tasmania, Australia; Institute for Marine and Antarctic studies, Australia; CSIRO, Australia; Australian Research Council; Natural Resource Management and Caring for Our Country Program, Australia; Fisheries Research and Development Corporation, Australia; Tasmanian State Government, Australia</t>
  </si>
  <si>
    <t>University of Tasmania, Australia; Institute for Marine and Antarctic studies, Australia; CSIRO, Australia(Commonwealth Scientific &amp; Industrial Research Organisation (CSIRO)); Australian Research Council(Australian Research Council); Natural Resource Management and Caring for Our Country Program, Australia; Fisheries Research and Development Corporation, Australia(Fisheries R&amp;D Corp); Tasmanian State Government, Australia</t>
  </si>
  <si>
    <t>We would like to thank the team at the Derwent Estuary Program (DEP) in particular Ursula Taylor and Sam Whitehead. Thanks also to previous DEP staff for their contributions to the results and information summarised in this paper, especially Jason Whitehead, Luke Einoder and Graham Green. We also acknowledge the support of University of Tasmania, Australia, and the Institute for Marine and Antarctic studies, Australia. Finally, we would like to acknowledge the many organisations and funding agencies who have supported research and management activities in the Derwent over the years -key amongst these are the CSIRO, Australia; Australian Research Council; Natural Resource Management and Caring for Our Country Program, Australia; Tasmanian State Government, Australia; Fisheries Research and Development Corporation, Australia and local government and industry partners to the DEP.</t>
  </si>
  <si>
    <t>10.1016/j.rsma.2019.100866</t>
  </si>
  <si>
    <t>WOS:000496545700032</t>
  </si>
  <si>
    <t>Alhazzaa, R; Nichols, PD; Carter, CG</t>
  </si>
  <si>
    <t>Alhazzaa, Ramez; Nichols, Peter D.; Carter, Chris G.</t>
  </si>
  <si>
    <t>Sustainable alternatives to dietary fish oil in tropical fish aquaculture</t>
  </si>
  <si>
    <t>REVIEWS IN AQUACULTURE</t>
  </si>
  <si>
    <t>environment; LC-PUFA; meta-analysis; nutrition; sustainable aquaculture; tropical aquaculture</t>
  </si>
  <si>
    <t>FATTY-ACID-COMPOSITION; LARGE YELLOW CROAKER; JAPANESE SEA-BASS; SESAME LIGNANS SESAMIN; MANGROVE RED SNAPPER; SALMON SALMO-SALAR; JUVENILE BARRAMUNDI; LATES-CALCARIFER; BODY-COMPOSITION; GROWTH-PERFORMANCE</t>
  </si>
  <si>
    <t>Marine tropical carnivorous (MTC) fish are less tolerant to high dietary lipid compared with cold and temperate climate fish. However, insufficient n-3 long-chain (&gt;= C-20) polyunsaturated fatty acids (LC-PUFA) compromises MTC fish health and growth which requires attention when choosing lipid sources in aquafeed formulations. Fish oil (FO) has been the major lipid source for feeding key MTC fish. We estimated that more than 200 thousand tonnes of FO were used to feed farmed MTC fish in 2016, representing nearly 25% of global FO production. Nevertheless, recent increases in FO prices and demand, and the foreseen inability of wild fisheries to produce sufficient FO in the future, have created a need for cheaper and more sustainable alternatives. Meta-analysis showed that feeding vegetable oils (VO) to MTC fish can slightly reduce their growth, with a marked decrease in n-3 LC-PUFA content in the fish tissues corresponding with the increased replacement of FO and fishmeal in the diet. Rendered terrestrial animal fat or modulating the bioconversion of n-3 LC-PUFA precursors in VO can be utilised further in MTC fish nutrition with more research recommended on these approaches. Oils and oil-rich meals from non-food marine organisms are rich in n-3 LC-PUFA and represent an underutilised alternative to FO for tropical aquaculture. With oils rich in n-3 LC-PUFA produced from transgenic plants presently gaining regulatory approvals and becoming available as a renewable alternative to FO, aquaculture in the tropics and around the globe is ready to leap into a new phase of sustainable expansion.</t>
  </si>
  <si>
    <t>[Alhazzaa, Ramez] Food Stand Australia New Zealand, Majura Pk, ACT, Australia; [Alhazzaa, Ramez; Nichols, Peter D.; Carter, Chris G.] Univ Tasmania, Inst Marine &amp; Antarctic Studies, Hobart, Tas 7001, Australia; [Nichols, Peter D.] CSIRO Oceans &amp; Atmosphere, Hobart, Tas, Australia</t>
  </si>
  <si>
    <t>Alhazzaa, R (corresponding author), Univ Tasmania, Inst Marine &amp; Antarctic Studies, Hobart, Tas 7001, Australia.</t>
  </si>
  <si>
    <t>ramez.alhazzaa@utas.edu.au</t>
  </si>
  <si>
    <t>Carter, Chris Guy/A-3438-2008; Nichols, Peter D/C-5128-2011; Alhazzaa, Ramez/C-2307-2008</t>
  </si>
  <si>
    <t>Carter, Chris Guy/0000-0001-5210-1282; Alhazzaa, Ramez/0000-0001-9762-0377</t>
  </si>
  <si>
    <t>Australian Research Council Industrial Transformation Research Hub: Rock Lobster Commercial Systems [IH12100032]</t>
  </si>
  <si>
    <t>Australian Research Council Industrial Transformation Research Hub: Rock Lobster Commercial Systems(Australian Research Council)</t>
  </si>
  <si>
    <t>There is no conflict of interest to be disclosed. CGC is grateful for support from the Australian Research Council Industrial Transformation Research Hub, Project number IH12100032: Rock Lobster Commercial Systems. PDN acknowledges the long-term support of the CSIRO Omega-3 team.</t>
  </si>
  <si>
    <t>1753-5123</t>
  </si>
  <si>
    <t>1753-5131</t>
  </si>
  <si>
    <t>REV AQUACULT</t>
  </si>
  <si>
    <t>Rev. Aquac.</t>
  </si>
  <si>
    <t>10.1111/raq.12287</t>
  </si>
  <si>
    <t>JL2YM</t>
  </si>
  <si>
    <t>WOS:000495397700013</t>
  </si>
  <si>
    <t>Li, YC; Liu, TT; Shokr, ME; Wang, ZM; Zhang, LP</t>
  </si>
  <si>
    <t>Li, Yachao; Liu, Tingting; Shokr, Mohammed E.; Wang, Zemin; Zhang, Liangpei</t>
  </si>
  <si>
    <t>An Improved Single-Channel Polar Region Ice Surface Temperature Retrieval Algorithm Using Landsat-8 Data</t>
  </si>
  <si>
    <t>Atmospheric modeling; Remote sensing; MODIS; Artificial satellites; Earth; Mathematical model; Land surface temperature; Polar regions; surface temperature retrieval; thermal remote sensing</t>
  </si>
  <si>
    <t>SPLIT-WINDOW ALGORITHM; MASS-BALANCE; SUPRAGLACIAL LAKES; AVHRR DATA; LAND; GREENLAND; SNOW; PRODUCTS; SHEET; VARIABILITY</t>
  </si>
  <si>
    <t>Ice surface temperature (IST) is a key parameter for the study of polar ice sheets and ice shelves. In this study, an improved single-channel (ISC) algorithm based on the radiative transfer equation is proposed for IST retrieval from Landsat-8 band 10 data. The main steps in the proposed ISC algorithm include: 1) simulation of atmospheric radiative parameters by regression against the atmospheric water vapor content and the effective mean atmospheric temperature; 2) calculation of IST using Plancks equation, instead of using Taylors approximation; and 3) implementation of an iterative scheme for IST calculation. The errors from using Taylors approximation and the atmospheric radiative parameter simulation were quantitatively estimated. A sensitivity analysis of ISC to possible errors in atmospheric water vapor content, brightness temperature, and satellite observations was also conducted. The results of the sensitivity analysis showed that the proposed algorithm is robust to the atmospheric water vapor content, but is sensitive to the calibration precision of the thermal infrared sensor. Verification using a simulated approach showed better IST variability from ISC than the original SC algorithm [the root-mean-square errors (RMSEs) were 0.3252 and 0.7176 K, respectively]. When compared with near-surface air temperatures from 68 automatic weather stations data in Greenland and 25 data in the Antarctic, the bias and RMSE from the ISC algorithm were again better than those from the SC algorithm. The IST from Moderate Resolution Imaging Spectroradiometer (MODIS) was found to be underestimated with respect to the results of both the SC and ISC algorithms. Maps of the spatial distributions of IST derived from samples of Landsat-8 images are presented. The rationale of each step in the proposed ISC algorithm is also presented so that this can provide further support to the authenticity of the results.</t>
  </si>
  <si>
    <t>[Li, Yachao; Liu, Tingting; Wang, Zemin] Wuhan Univ, Chinese Antarct Ctr Surveying &amp; Mapping, Wuhan 430079, Hubei, Peoples R China; [Shokr, Mohammed E.] Meteorol Res Div, Toronto, ON M3H 5T4, Canada; [Zhang, Liangpei] Wuhan Univ, State Key Lab Informat Engn Surveying Mapping &amp; R, Wuhan 430079, Hubei, Peoples R China</t>
  </si>
  <si>
    <t>Liu, TT (corresponding author), Wuhan Univ, Chinese Antarct Ctr Surveying &amp; Mapping, Wuhan 430079, Hubei, Peoples R China.</t>
  </si>
  <si>
    <t>ttliu23@whu.edu.cn</t>
  </si>
  <si>
    <t>Liu, Tingting/HCH-2239-2022; ZeMin, Wang/AAU-3422-2020</t>
  </si>
  <si>
    <t>National Natural Science Foundation of China [41676179, 41531069]; National Key Research and Development Program of China [2018YFC1406100]; Fund of Key Laboratory of Global Change and Marine-Atmospheric Chemistry of Ministry of Natural Resources, Third Institute of Oceanography [GCMAC1806]; Applied Fundamental Research Plan of Wuhan [2017010201010112]</t>
  </si>
  <si>
    <t>National Natural Science Foundation of China(National Natural Science Foundation of China (NSFC)); National Key Research and Development Program of China; Fund of Key Laboratory of Global Change and Marine-Atmospheric Chemistry of Ministry of Natural Resources, Third Institute of Oceanography; Applied Fundamental Research Plan of Wuhan</t>
  </si>
  <si>
    <t>This work was supported in part by the National Natural Science Foundation of China under Grant 41676179 and Grant 41531069, in part by the National Key Research and Development Program of China under Grant 2018YFC1406100, in part by the Fund of Key Laboratory of Global Change and Marine-Atmospheric Chemistry of Ministry of Natural Resources, Third Institute of Oceanography under Grant GCMAC1806, and in part by the Applied Fundamental Research Plan of Wuhan under Grant 2017010201010112.</t>
  </si>
  <si>
    <t>10.1109/TGRS.2019.2921606</t>
  </si>
  <si>
    <t>JM3YY</t>
  </si>
  <si>
    <t>WOS:000496155200017</t>
  </si>
  <si>
    <t>Chapman, ASA; Beaulieu, SE; Colaco, A; Gebruk, AV; Hilario, A; Kihara, TC; Ramirez-Llodra, E; Sarrazin, J; Tunnicliffe, V; Amon, DJ; Baker, MC; Boschen-Rose, RE; Chen, C; Cooper, IJ; Copley, JT; Corbari, L; Cordes, EE; Cuvelier, D; Duperron, S; Du Preez, C; Gollner, S; Horton, T; Hourdez, S; Krylova, EM; Linse, K; LokaBharathi, PA; Marsh, L; Matabos, M; Mills, SW; Mullineaux, LS; Rapp, HT; Reid, WDK; Rybakova, E; Thomas, TRA; Southgate, SJ; Stohr, S; Turner, PJ; Watanabe, HK; Yasuhara, M; Bates, AE</t>
  </si>
  <si>
    <t>Chapman, Abbie S. A.; Beaulieu, Stace E.; Colaco, Ana; Gebruk, Andrey V.; Hilario, Ana; Kihara, Terue C.; Ramirez-Llodra, Eva; Sarrazin, Jozee; Tunnicliffe, Verena; Amon, Diva J.; Baker, Maria C.; Boschen-Rose, Rachel E.; Chen, Chong; Cooper, Isabelle J.; Copley, Jonathan T.; Corbari, Laure; Cordes, Erik E.; Cuvelier, Daphne; Duperron, Sebastien; Du Preez, Cherisse; Gollner, Sabine; Horton, Tammy; Hourdez, Stephane; Krylova, Elena M.; Linse, Katrin; LokaBharathi, P. A.; Marsh, Leigh; Matabos, Marjolaine; Mills, Susan Wier; Mullineaux, Lauren S.; Rapp, Hans Tore; Reid, William D. K.; Rybakova (Goroslavskaya), Elena; Thomas, Tresa Remya A.; Southgate, Samuel James; Stohr, Sabine; Turner, Phillip J.; Watanabe, Hiromi Kayama; Yasuhara, Moriaki; Bates, Amanda E.</t>
  </si>
  <si>
    <t>sFDvent: A global trait database for deep-sea hydrothermal-vent fauna</t>
  </si>
  <si>
    <t>GLOBAL ECOLOGY AND BIOGEOGRAPHY</t>
  </si>
  <si>
    <t>biodiversity; collaboration; conservation; cross-ecosystem; database; deep sea; functional trait; global-scale; hydrothermal vent; sFDvent</t>
  </si>
  <si>
    <t>FUNCTIONAL DIVERSITY; BIOGEOGRAPHY; HISTORY; LIFE; BIODIVERSITY; REVEALS; TOOL</t>
  </si>
  <si>
    <t>Motivation Traits are increasingly being used to quantify global biodiversity patterns, with trait databases growing in size and number, across diverse taxa. Despite growing interest in a trait-based approach to the biodiversity of the deep sea, where the impacts of human activities (including seabed mining) accelerate, there is no single repository for species traits for deep-sea chemosynthesis-based ecosystems, including hydrothermal vents. Using an international, collaborative approach, we have compiled the first global-scale trait database for deep-sea hydrothermal-vent fauna - sFDvent (sDiv-funded trait database for the Functional Diversity of vents). We formed a funded working group to select traits appropriate to: (a) capture the performance of vent species and their influence on ecosystem processes, and (b) compare trait-based diversity in different ecosystems. Forty contributors, representing expertise across most known hydrothermal-vent systems and taxa, scored species traits using online collaborative tools and shared workspaces. Here, we characterise the sFDvent database, describe our approach, and evaluate its scope. Finally, we compare the sFDvent database to similar databases from shallow-marine and terrestrial ecosystems to highlight how the sFDvent database can inform cross-ecosystem comparisons. We also make the sFDvent database publicly available online by assigning a persistent, unique DOI. Main types of variable contained Six hundred and forty-six vent species names, associated location information (33 regions), and scores for 13 traits (in categories: community structure, generalist/specialist, geographic distribution, habitat use, life history, mobility, species associations, symbiont, and trophic structure). Contributor IDs, certainty scores, and references are also provided. Spatial location and grain Global coverage (grain size: ocean basin), spanning eight ocean basins, including vents on 12 mid-ocean ridges and 6 back-arc spreading centres. Time period and grain sFDvent includes information on deep-sea vent species, and associated taxonomic updates, since they were first discovered in 1977. Time is not recorded. The database will be updated every 5 years. Major taxa and level of measurement Deep-sea hydrothermal-vent fauna with species-level identification present or in progress. Software format .csv and MS Excel (.xlsx).</t>
  </si>
  <si>
    <t>[Chapman, Abbie S. A.; Baker, Maria C.; Cooper, Isabelle J.; Copley, Jonathan T.; Marsh, Leigh; Bates, Amanda E.] Univ Southampton Waterfront Campus, Natl Oceanog Ctr, Ocean &amp; Earth Sci, European Way, Southampton SO14 3ZH, Hants, England; [Chapman, Abbie S. A.] UCL, Ctr Biodivers &amp; Environm Res, London, England; [Beaulieu, Stace E.; Mills, Susan Wier; Mullineaux, Lauren S.] Woods Hole Oceanog Inst, Woods Hole, MA 02543 USA; [Colaco, Ana] Univ Azores, Dept Oceanog &amp; Pescas, IMAR Inst Mar, Horta, Portugal; [Colaco, Ana; Cuvelier, Daphne] MARE Marine Environm Sci Ctr, Horta, Portugal; [Gebruk, Andrey V.; Krylova, Elena M.; Rybakova (Goroslavskaya), Elena] Russian Acad Sci, Shirshov Inst Oceanol, Moscow, Russia; [Hilario, Ana] Univ Aveiro, CESAM, Aveiro, Portugal; [Hilario, Ana] Univ Aveiro, Dept Biol, Aveiro, Portugal; [Kihara, Terue C.] German Ctr Marine Biodivers Res DZMB, Senckenberg Meer, Wilhelmshaven, Germany; [Ramirez-Llodra, Eva] Norwegian Inst Water Res, Oslo, Norway; [Sarrazin, Jozee; Matabos, Marjolaine] IFREMER, Ctr Bretagne, REM EEP, Lab Environm Profond, Plouzane, France; [Tunnicliffe, Verena; Boschen-Rose, Rachel E.] Univ Victoria, Dept Biol, Victoria, BC, Canada; [Tunnicliffe, Verena; Boschen-Rose, Rachel E.] Univ Victoria, Sch Earth &amp; Ocean Sci, Victoria, BC, Canada; [Amon, Diva J.] Nat Hist Museum, Life Sci Dept, London, England; [Boschen-Rose, Rachel E.] Seascape Consultants Ltd, Romsey, Hants, England; [Chen, Chong; Watanabe, Hiromi Kayama] Japan Agcy Marine Earth Sci &amp; Technol JAMSTEC, X STAR, Yokosuka, Kanagawa, Japan; [Corbari, Laure] Sorbonne Univ, EPHE, CNRS, Museum Natl Hist Nat,Inst Systemat Evolut Biodive, Paris, France; [Cordes, Erik E.] Temple Univ, Philadelphia, PA 19122 USA; [Duperron, Sebastien] MNHN, Mecanismes Commun &amp; Adaptat Microorganismes, CNRS, UMR7245, Paris, France; [Du Preez, Cherisse] Penn State Univ, Dept Biol, State Coll, PA USA; [Du Preez, Cherisse] Fisheries &amp; Oceans Canada, Inst Ocean Sci, Sidney, BC, Canada; [Gollner, Sabine] Univ Utrecht, Dept Ocean Syst, NIOZ Royal Netherlands Inst Sea Res, Den Burg, Texel, Netherlands; [Horton, Tammy] Univ Southampton Waterfront Campus, Natl Oceanog Ctr, Southampton, Hants, England; [Hourdez, Stephane] Sorbonne Univ, CNRS, UMR 7144, Stn Biol Roscoff, Pl G Teissier, Roscoff, France; [Linse, Katrin] British Antarctic Survey, High Cross, Cambridge, England; [LokaBharathi, P. A.; Thomas, Tresa Remya A.] CSIR Natl Inst Oceanog, Div Biol Oceanog, Acad Sci &amp; Innovat Res AcSIR, Panaji, Goa, India; [Rapp, Hans Tore] Univ Bergen, Dept Biol, Bergen, Norway; [Rapp, Hans Tore] Univ Bergen, KG Jebsen Ctr Deep Sea Res, Bergen, Norway; [Reid, William D. K.] Newcastle Univ, Sch Nat &amp; Environm Sci, Marine Sci, Newcastle Upon Tyne, Tyne &amp; Wear, England; [Stohr, Sabine] Swedish Museum Nat Hist, Dept Zool, Stockholm, Sweden; [Turner, Phillip J.] Duke Univ, Nicholas Sch Environm, Div Marine Sci &amp; Conservat, Beaufort, NC USA; [Yasuhara, Moriaki] Univ Hong Kong, Sch Biol Sci, Kadoorie Biol Sci Bldg, Hong Kong, Peoples R China; [Yasuhara, Moriaki] Univ Hong Kong, Swire Inst Marine Sci, Kadoorie Biol Sci Bldg, Hong Kong, Peoples R China; [Bates, Amanda E.] Mem Univ Newfoundland, St John, NF, Canada</t>
  </si>
  <si>
    <t>University of Southampton; NERC National Oceanography Centre; University of London; University College London; Woods Hole Oceanographic Institution; Universidade dos Acores; Russian Academy of Sciences; Shirshov Institute of Oceanology; Universidade de Aveiro; Universidade de Aveiro; Senckenberg Gesellschaft fur Naturforschung (SGN); Norwegian Institute for Water Research (NIVA); Universite de Bretagne Occidentale; Ifremer; University of Victoria; University of Victoria; Natural History Museum London; Japan Agency for Marine-Earth Science &amp; Technology (JAMSTEC); Sorbonne Universite; Universite PSL; Ecole Pratique des Hautes Etudes (EPHE); Centre National de la Recherche Scientifique (CNRS); Museum National d'Histoire Naturelle (MNHN); Pennsylvania Commonwealth System of Higher Education (PCSHE); Temple University; Museum National d'Histoire Naturelle (MNHN); Centre National de la Recherche Scientifique (CNRS); CNRS - Institute of Ecology &amp; Environment (INEE); Pennsylvania Commonwealth System of Higher Education (PCSHE); Pennsylvania State University; Fisheries &amp; Oceans Canada; Utrecht University; Royal Netherlands Institute for Sea Research (NIOZ); NERC National Oceanography Centre; University of Southampton; Centre National de la Recherche Scientifique (CNRS); CNRS - Institute of Ecology &amp; Environment (INEE); Sorbonne Universite; UK Research &amp; Innovation (UKRI); Natural Environment Research Council (NERC); NERC British Antarctic Survey; Council of Scientific &amp; Industrial Research (CSIR) - India; CSIR - National Institute of Oceanography (NIO); Academy of Scientific &amp; Innovative Research (AcSIR); University of Bergen; University of Bergen; Newcastle University - UK; Swedish Museum of Natural History; Duke University; University of Hong Kong; University of Hong Kong; Memorial University Newfoundland</t>
  </si>
  <si>
    <t>Chapman, ASA (corresponding author), Univ Southampton Waterfront Campus, Natl Oceanog Ctr, Ocean &amp; Earth Sci, European Way, Southampton SO14 3ZH, Hants, England.</t>
  </si>
  <si>
    <t>abbiesachapman@gmail.com</t>
  </si>
  <si>
    <t>Rybakova, Elena/AAD-1922-2019; Hilario, Ana/C-1260-2008; Horton, Tammy/G-3590-2010; Colaço, Ana/A-3862-2009; Marsh, Leigh/AAT-5597-2020; Cuvelier, Daphne/AAD-6392-2020; Bates, Amanda E./ABD-6874-2021; Duperron, Sebastien/C-4712-2011; Cordes, Erik E/B-3293-2009; Gebruk, Andrey/A-9041-2016; Cooper, Isabelle/HPB-7310-2023; Colaço, Ana/H-4572-2019; Copley, Jon/I-7076-2012; Boschen-Rose, Rachel/K-9760-2016; Chen, Chong/F-7489-2019; Reid, William/J-8528-2013; Beaulieu, Stace/C-8526-2013</t>
  </si>
  <si>
    <t>Hilario, Ana/0000-0001-8287-1528; Horton, Tammy/0000-0003-4250-1068; Colaço, Ana/0000-0002-6462-5670; Marsh, Leigh/0000-0002-4613-1538; Bates, Amanda E./0000-0002-0198-4537; Cordes, Erik E/0000-0002-6989-2348; Colaço, Ana/0000-0002-6462-5670; Copley, Jon/0000-0003-3333-4325; Boschen-Rose, Rachel/0000-0003-1579-0108; duperron, sebastien/0000-0002-6422-6821; Cooper, Isabelle/0000-0001-8876-8126; Chen, Chong/0000-0002-5035-4021; Cuvelier, Daphne/0000-0003-4042-8215; Baker, Maria/0000-0001-6977-8935; Rybakova, Elena/0000-0001-9695-149X; Du Preez, Cherisse/0000-0001-6239-2191; Chapman, Abbie/0000-0002-7812-2046; Reid, William/0000-0003-0190-0425; Beaulieu, Stace/0000-0002-2609-5453; Watanabe, Hiromi/0000-0001-5031-9018; Stohr, Sabine/0000-0002-2586-7239</t>
  </si>
  <si>
    <t>NERC [NE/F017774/1, bas0100036, NE/H012087/1] Funding Source: UKRI</t>
  </si>
  <si>
    <t>1466-822X</t>
  </si>
  <si>
    <t>1466-8238</t>
  </si>
  <si>
    <t>GLOBAL ECOL BIOGEOGR</t>
  </si>
  <si>
    <t>Glob. Ecol. Biogeogr.</t>
  </si>
  <si>
    <t>10.1111/geb.12975</t>
  </si>
  <si>
    <t>JL8HE</t>
  </si>
  <si>
    <t>WOS:000495767600001</t>
  </si>
  <si>
    <t>Ni, P; Murphy, KJ; Wyeth, RC; Bishop, CD; Li, SG; Zhan, AB</t>
  </si>
  <si>
    <t>Ni, Ping; Murphy, Kieran J.; Wyeth, Russell C.; Bishop, Cory D.; Li, Shiguo; Zhan, Aibin</t>
  </si>
  <si>
    <t>Significant population methylation divergence and local environmental influence in an invasive ascidian Ciona intestinalis at fine geographical scales</t>
  </si>
  <si>
    <t>DNA METHYLATION; NATURAL-SELECTION; GENETIC PATTERNS; EPIGENETICS; EVOLUTION; ADAPTATION; SALINITY; HABITATS; MODEL; TEMPERATURE</t>
  </si>
  <si>
    <t>Biological invasion provides a promising system for studying rapid environmental accommodation and adaptation in the wild. Mounting evidence indicates that epigenetic modifications such as DNA methylation play crucial roles in rapid local accommodation and adaptation. Thus, we hypothesize that different local environments can trigger methylation divergence among marine invasive populations at fine geographical scales. In this study, we examined population methylation patterns in the invasive ascidian, Ciona intestinalis, along the Atlantic coast of Nova Scotia, Canada, where significant temperature differences exist at defined locations along the coast. Using the methylation-sensitive amplification polymorphism (MSAP) technique, we observed a high level of intra- and inter-population diversity, as well as significant population methylation differentiation. We identified a correlation between local environments and methylation patterns, and further consistently recovered 14 temperature-related subepiloci by using multiple analyses. All these results demonstrate a substantial role of temperature in shaping population methylation patterns and an epigenetic response to environmental changes during range expansions. The complex fine-scale methylation structures among populations of C. intestinalis observed in this study suggest that multiple biotic and abiotic factors, as well as their interactions, should be further investigated to reveal epigenetic mechanisms of local accommodation and adaptation during biological invasions in marine ecosystems.</t>
  </si>
  <si>
    <t>[Ni, Ping; Li, Shiguo; Zhan, Aibin] Chinese Acad Sci, Res Ctr Ecoenvironm Sci, 18 Shuangqing Rd, Beijing 100085, Peoples R China; [Ni, Ping; Li, Shiguo; Zhan, Aibin] Chinese Acad Sci, Univ Chinese Acad Sci, 19A Yuquan Rd, Beijing 100049, Peoples R China; [Murphy, Kieran J.; Wyeth, Russell C.; Bishop, Cory D.] St Francis Xavier Univ, Dept Biol, 2320 Notre Dame Ave, Antigonish, NS, Canada; [Murphy, Kieran J.] Univ Tasmania, Inst Marine &amp; Antarctic Studies, 20 Castray Esplanade, Hobart, Tas, Australia</t>
  </si>
  <si>
    <t>Chinese Academy of Sciences; Research Center for Eco-Environmental Sciences (RCEES); Chinese Academy of Sciences; University of Chinese Academy of Sciences, CAS; Saint Francis Xavier University - Canada; University of Tasmania</t>
  </si>
  <si>
    <t>Zhan, AB (corresponding author), Chinese Acad Sci, Res Ctr Ecoenvironm Sci, 18 Shuangqing Rd, Beijing 100085, Peoples R China.;Zhan, AB (corresponding author), Chinese Acad Sci, Univ Chinese Acad Sci, 19A Yuquan Rd, Beijing 100049, Peoples R China.</t>
  </si>
  <si>
    <t>zhanaibin@hotmail.com</t>
  </si>
  <si>
    <t>Li, Shiguo/HMB-8322-2023; Murphy, Kieran/AAW-4626-2020; Wyeth, Russell/ABE-1310-2021; Zhan, Aibin/A-7240-2011</t>
  </si>
  <si>
    <t>Li, Shiguo/0000-0002-1578-8844; Murphy, Kieran/0000-0002-9697-2458;</t>
  </si>
  <si>
    <t>National Natural Science Foundation of China [31622011, 31772449]; Youth Innovation Promotion Association, Chinese Academy of Science [2018054]; Department of Fisheries and Oceans Canada Aquaculture Collaborative Research and Development Program grant [M-13-01-002]; Nova Scotia Research and Innovation Graduate Scholarship</t>
  </si>
  <si>
    <t>National Natural Science Foundation of China(National Natural Science Foundation of China (NSFC)); Youth Innovation Promotion Association, Chinese Academy of Science; Department of Fisheries and Oceans Canada Aquaculture Collaborative Research and Development Program grant; Nova Scotia Research and Innovation Graduate Scholarship</t>
  </si>
  <si>
    <t>This work was supported by the National Natural Science Foundation of China (31622011; 31772449) to AZ, Youth Innovation Promotion Association, Chinese Academy of Science (2018054) to SL, a Department of Fisheries and Oceans Canada Aquaculture Collaborative Research and Development Program grant (M-13-01-002) to RCW, CDB and Dawn Sephton, a Nova Scotia Research and Innovation Graduate Scholarship to KJM, and the Aquaculture Association of Nova Scotia and its members who kindly allowed us to work on their mussel leases.</t>
  </si>
  <si>
    <t>10.1007/s00227-019-3592-3</t>
  </si>
  <si>
    <t>JL6II</t>
  </si>
  <si>
    <t>WOS:000495633200005</t>
  </si>
  <si>
    <t>Newsham, KK; Tripathi, BM; Dong, K; Yamamoto, N; Adams, JM; Hopkins, DW</t>
  </si>
  <si>
    <t>Newsham, Kevin K.; Tripathi, Binu M.; Dong, Ke; Yamamoto, Naomichi; Adams, Jonathan M.; Hopkins, David W.</t>
  </si>
  <si>
    <t>Bacterial Community Composition and Diversity Respond to Nutrient Amendment but Not Warming in a Maritime Antarctic Soil</t>
  </si>
  <si>
    <t>Antarctica; Bacterial community composition; Climate warming; Gram-positive and gram-negative bacteria; Nutrient inputs; Proteobacteria-to-Acidobacteria ratio</t>
  </si>
  <si>
    <t>MICROBIAL COMMUNITIES; ASSEMBLY PROCESSES; ISLANDS; CARBON; DRY; SUPPLEMENTATION; TEMPERATURE; PHYLOGENIES; CONSISTENT; PENINSULA</t>
  </si>
  <si>
    <t>A resumption of climate warming in maritime Antarctica, arising from continued greenhouse gas emissions to the atmosphere, is predicted to lead to further expansions of plant populations across the region, with consequent increases in nutrient inputs to soils. Here, we test the main and interactive effects of warming, applied with open top chambers (OTCs), and nutrient amendment with tryptic soy broth (TSB), an artificial growth substrate, on bacterial community composition and diversity using Illumina sequencing of 16S rRNA genes in soil from a field experiment in the southern maritime Antarctic. Substantial effects of TSB application on bacterial communities were identified after 49 months, including reduced diversity, altered phylogenetic community assembly processes, increased Proteobacteria-to-Acidobacteria ratios and significant divergence in community composition, notably increases in the relative abundances of the gram-positive genera Arthrobacter, Paeniglutamicibacter and Planococcus. Contrary to previous observations from other maritime Antarctic field warming experiments, we recorded no effects of warming with OTCs, or interactive effects of OTCs and TSB application, on bacterial community composition or diversity. Based on these findings, we conclude that further warming of the maritime Antarctic is unlikely to influence soil bacterial community composition or diversity directly, but that increased nutrient inputs arising from enhanced plant growth across the region may affect the composition of soil bacterial communities, with possible effects on ecosystem productivity.</t>
  </si>
  <si>
    <t>[Newsham, Kevin K.] British Antarctic Survey, NERC, Madingley Rd, Cambridge CB3 0ET, England; [Tripathi, Binu M.] Korea Polar Res Inst, Incheon 21990, South Korea; [Dong, Ke] Kyonggi Univ, Coll Nat Sci, Dept Life Sci, Suwon 16227, Gyeonggi Do, South Korea; [Yamamoto, Naomichi] Seoul Natl Univ, Dept Environm Hlth Sci, 1 Gwanak Ro, Seoul 08826, South Korea; [Adams, Jonathan M.] Chinese Acad Sci, Inst Soil Sci, Nanjing, Jiangsu, Peoples R China; [Hopkins, David W.] Scotlands Rural Coll, Peter Wilson Bldg,West Mains Rd, Edinburgh EH9 3JG, Midlothian, Scotland</t>
  </si>
  <si>
    <t>UK Research &amp; Innovation (UKRI); Natural Environment Research Council (NERC); NERC British Antarctic Survey; Korea Polar Research Institute (KOPRI); Kyonggi University; Seoul National University (SNU); Chinese Academy of Sciences; Nanjing Institute of Soil Science, CAS; Scotland's Rural College</t>
  </si>
  <si>
    <t>Newsham, KK (corresponding author), British Antarctic Survey, NERC, Madingley Rd, Cambridge CB3 0ET, England.</t>
  </si>
  <si>
    <t>kne@bas.ac.uk</t>
  </si>
  <si>
    <t>Yamamoto, Naomichi/D-4099-2014; Dong, Ke/AAL-8538-2021; Tripathi, Binu/J-3075-2015</t>
  </si>
  <si>
    <t>Yamamoto, Naomichi/0000-0002-5969-5500; Tripathi, Binu/0000-0002-7848-0206; Hopkins, David/0000-0003-0953-8643</t>
  </si>
  <si>
    <t>NERC Antarctic Funding Initiative [NE/D00893X/1]; National Research Foundation of Korea Grant from the Korean Government [2018R1C1B6007755]; British Antarctic Survey's Long-Term Monitoring and Survey programme; NERC [bas0100036] Funding Source: UKRI</t>
  </si>
  <si>
    <t>NERC Antarctic Funding Initiative(UK Research &amp; Innovation (UKRI)Natural Environment Research Council (NERC)); National Research Foundation of Korea Grant from the Korean Government(National Research Foundation of Korea); British Antarctic Survey's Long-Term Monitoring and Survey programme; NERC(UK Research &amp; Innovation (UKRI)Natural Environment Research Council (NERC))</t>
  </si>
  <si>
    <t>This research was funded by the British Antarctic Survey's Long-Term Monitoring and Survey programme, the NERC Antarctic Funding Initiative (grant number NE/D00893X/1) and a National Research Foundation of Korea Grant from the Korean Government (grant number 2018R1C1B6007755).</t>
  </si>
  <si>
    <t>10.1007/s00248-019-01373-z</t>
  </si>
  <si>
    <t>JL1LN</t>
  </si>
  <si>
    <t>WOS:000495294900017</t>
  </si>
  <si>
    <t>Pittarello, L; Mckibbin, S; Yamaguchi, A; Ji, G; Schryvers, D; Debaille, V; Claeys, P</t>
  </si>
  <si>
    <t>Pittarello, Lidia; Mckibbin, Seann; Yamaguchi, Akira; Ji, Gang; Schryvers, Dominique; Debaille, Vinciane; Claeys, Philippe</t>
  </si>
  <si>
    <t>Two generations of exsolution lamellae in pyroxene from Asuka 09545: Clues to the thermal evolution of silicates in mesosiderite</t>
  </si>
  <si>
    <t>AMERICAN MINERALOGIST</t>
  </si>
  <si>
    <t>Pyroxene; exsolution; mesosiderite; thermal history; cooling rate</t>
  </si>
  <si>
    <t>COOLING RATE; PHASE-TRANSITION; HIGH-TEMPERATURE; ORDER-DISORDER; OXYGEN-ISOTOPE; HISTORY; OLIVINE; RATES; CLINOPYROXENES; FRAGMENTATION</t>
  </si>
  <si>
    <t>Mesosiderite meteorites consist of a mixture of crustal basaltic or gabbroic material and metal. Their formation process is still debated due to their unexpected combination of crust and core materials, possibly derived from the same planetesimal parent body, and lacking an intervening mantle component. Mesosiderites have experienced an extremely slow cooling rate from ca. 550 degrees C, as recorded in the metal (0.25-0.5 degrees C/Ma). Here we present a detailed investigation of exsolution features in pyroxene from the Antarctic mesosiderite Asuka (A) 09545. Geothermobarometry calculations, lattice parameters, lamellae orientation, and the presence of clinoenstatite as the host were used in an attempt to constrain the evolution of pyroxene from 1150 to 570 degrees C and the formation of two generations of exsolution lamellae. After pigeonite crystallization at ca. 1150 degrees C, the first exsolution process generated the thick augite lamellae along (100) in the temperature interval 1000-900 degrees C. By further cooling, a second order of exsolution lamellae formed within augite along (001), consisting of monoclinic low-Ca pyroxene, equilibrated in the temperature range 900-800 degrees C. The last process, occurring in the 600-500 degrees C temperature range, was likely the inversion of high to low pigeonite in the host crystal, lacking evidence for nucleation of orthopyroxene. The formation of two generations of exsolution lamellae, as well as of likely metastable pigeonite, suggest non-equilibrium conditions. Cooling was sufficiently slow to allow the formation of the lamellae, their preservation, and the transition from high to low pigeonite. In addition, the preservation of such fine-grained lamellae limits long-lasting, impact reheating to a peak temperature lower than 570 degrees C. These features, including the presence of monoclinic low-Ca pyroxene as the host, are reported in only a few mesosiderites. This suggests a possibly different origin and thermal history from most mesosiderites and that the crystallography (i.e., space group) of low-Ca pyroxene could be used as parameter to distinguish mesosiderite populations based on their cooling history.</t>
  </si>
  <si>
    <t>[Pittarello, Lidia; Mckibbin, Seann; Claeys, Philippe] Vrije Univ Brussel, Analyt Environm &amp; GeoChem AMGC, Pleinlaan 2, B-1050 Brussels, Belgium; [Yamaguchi, Akira] Antarctic Meteorite Res Ctr, Natl Inst Polar Res, 10-3 Midoricho, Tachikawa, Tokyo, Japan; [Ji, Gang; Schryvers, Dominique] Univ Antwerp, Electron Microscopy Mat Sci EMAT, Groenenborgerlaan 171, B-2020 Antwerp, Belgium; [Debaille, Vinciane] Univ Libre Bruxelles, Lab G Time Geochem Tracage Isotop Mineral &amp; Eleme, Av FD Roosevelt 50, B-1050 Brussels, Belgium; [Pittarello, Lidia] Nat Hist Museum Vienna, Dept Mineral &amp; Petrog, Burgring 7, A-1010 Vienna, Austria; [Mckibbin, Seann] Georg August Univ, Geowissensch Zentrum, Goldschmidtstr 1, D-37073 Gottingen, Germany; [Ji, Gang] Univ Lille, CNRS, UMR 8207, ENSCL,INRA,UMET, F-59000 Lille, France</t>
  </si>
  <si>
    <t>Vrije Universiteit Brussel; Research Organization of Information &amp; Systems (ROIS); National Institute of Polar Research (NIPR) - Japan; University of Antwerp; Universite Libre de Bruxelles; University of Gottingen; INRAE; Centre National de la Recherche Scientifique (CNRS); CNRS - Institute of Chemistry (INC); Universite de Lille</t>
  </si>
  <si>
    <t>Pittarello, L (corresponding author), Vrije Univ Brussel, Analyt Environm &amp; GeoChem AMGC, Pleinlaan 2, B-1050 Brussels, Belgium.;Pittarello, L (corresponding author), Nat Hist Museum Vienna, Dept Mineral &amp; Petrog, Burgring 7, A-1010 Vienna, Austria.</t>
  </si>
  <si>
    <t>lidia.pittarello@univie.ac.at</t>
  </si>
  <si>
    <t>Yamaguchi, Akinobu/E-4265-2016; (VUB), VRIJE UNIVERSITEIT BRUSSEL/B-4895-2008; JI, Gang/AAG-9877-2020; Schryvers, Nick/ABA-9708-2021</t>
  </si>
  <si>
    <t>(VUB), VRIJE UNIVERSITEIT BRUSSEL/0000-0002-4585-7687; JI, Gang/0000-0002-2415-6275; Pittarello, Lidia/0000-0002-1080-0226; Debaille, Vinciane/0000-0002-6544-4564</t>
  </si>
  <si>
    <t>BELAM project - Belgian Science Policy Office (BELSPO); Interuniversity Attraction Poles Program Planet Topers - Belgian Science Policy Office (BELSPO); Austrian Science Fund (FWF); Foundation-Flanders (FWO) [12O9515N]; FWO [G.0603.10N]</t>
  </si>
  <si>
    <t>BELAM project - Belgian Science Policy Office (BELSPO); Interuniversity Attraction Poles Program Planet Topers - Belgian Science Policy Office (BELSPO); Austrian Science Fund (FWF)(Austrian Science Fund (FWF)); Foundation-Flanders (FWO)(FWO); FWO(FWO)</t>
  </si>
  <si>
    <t>This research was funded by the BELAM project and the Interuniversity Attraction Poles Program Planet Topers, both financed by the Belgian Science Policy Office (BELSPO). L.P. is currently funded by the Austrian Science Fund (FWF). S.Mc.K. was supported by a Research Foundation-Flanders (FWO) postdoctoral fellowship (project 12O9515N) and is currently a postdoctoralfellow of the Alexander von Humboldt Foundation (project: Early Solar System Pyroxenites). G.J. was supported by the FWO project G.0603.10N.</t>
  </si>
  <si>
    <t>MINERALOGICAL SOC AMER</t>
  </si>
  <si>
    <t>CHANTILLY</t>
  </si>
  <si>
    <t>3635 CONCORDE PKWY STE 500, CHANTILLY, VA 20151-1125 USA</t>
  </si>
  <si>
    <t>0003-004X</t>
  </si>
  <si>
    <t>1945-3027</t>
  </si>
  <si>
    <t>AM MINERAL</t>
  </si>
  <si>
    <t>Am. Miner.</t>
  </si>
  <si>
    <t>10.2138/am-2019-7001</t>
  </si>
  <si>
    <t>JK2WO</t>
  </si>
  <si>
    <t>WOS:000494707400014</t>
  </si>
  <si>
    <t>Olivares, F; Tapia, R; Gálvez, C; Meza, F; Barriga, GP; Borras-Chavez, R; Mena-Vasquez, J; Medina, RA; Neira, V</t>
  </si>
  <si>
    <t>Olivares, Florencia; Tapia, Rodrigo; Galvez, Camilo; Meza, Fernanda; Barriga, Gonzalo P.; Borras-Chavez, Renato; Mena-Vasquez, Juan; Medina, Rafael A.; Neira, Victor</t>
  </si>
  <si>
    <t>Novel penguin Avian avulaviruses 17, 18 and 19 are widely distributed in the Antarctic Peninsula</t>
  </si>
  <si>
    <t>TRANSBOUNDARY AND EMERGING DISEASES</t>
  </si>
  <si>
    <t>Antarctica; Avian avulavirus; distribution; penguins; wildlife</t>
  </si>
  <si>
    <t>PYGOSCELIS-ADELIAE; NEWCASTLE-DISEASE; PARAMYXOVIRUSES; ISLAND</t>
  </si>
  <si>
    <t>Three novel Avian avulavirus species were discovered and isolated during 2017 from Gentoo penguins (Pygoscelis papua) at Kopaitic island in the Northwestern region of the Antarctic Peninsula. The viruses were officially named as Avian avulavirus 17 (AAV17), Avian avulavirus 18 (AAV18) and Avian avulavirus 19 (AAV19), collectively referred to as penguin avulaviruses (PAVs). To determine whether these viruses are capable of infecting the three species of Pygoscelis spp. penguins (Gentoo, Adelie and Chinstrap) and assess its geographical distribution, serum samples were collected from seven locations across the Antarctic Peninsula and Southern Shetland Islands. The samples were tested by Hemagglutination inhibition assay using reference viruses for AAV17, AAV18 and AAV19. A total of 498 sera were tested, and 40 were positive for antibodies against AAV17, 20 for AAV18 and 45 for AAV19. Positive sera were obtained for the penguin's species for each virus; however, antibodies against AAV18 were not identified in Adelie penguins. Positive penguins were identified in all regions studied. Positive locations include Ardley Island and Cape Shirreff at Livingston Island (Southern Shetland Region); Anvers Island, Doumer Island and Paradise Bay in the Central Western region; and Avian Island at Southwestern region of the Antarctic Peninsula. The lowest occurrence was observed at the Southwestern region at Lagotellerie Island, where all samples were negative. On the other hand, Cape Shirreff and Paradise Bay showed the highest antibody titres. Field samples did not evidence cross-reactivity between viruses, and detection was significantly higher for AAV19 and lower for AAV18. This is the first serologic study on the prevalence of the novel Avian avulaviruses including different locations in the white continent. The results indicate that these novel viruses can infect the three Pygoscelis spp. penguins, which extend across large distances of the Antarctic Peninsula.</t>
  </si>
  <si>
    <t>[Olivares, Florencia; Tapia, Rodrigo; Galvez, Camilo; Meza, Fernanda; Mena-Vasquez, Juan; Neira, Victor] Univ Chile, Fac Ciencias Vet &amp; Pecuarias, Dept Med Prevent Anim, Santiago, Chile; [Barriga, Gonzalo P.] Univ Chile, Inst Biomed Sci, Virol Program, Lab Emerging Viruses,Fac Med, Santiago, Chile; [Borras-Chavez, Renato] Inst Antartico Chileno, Punta Arenas, Chile; [Borras-Chavez, Renato] Pontificia Univ Catolica Chile, Ctr Appl Ecol &amp; Sustainability CAPES, Santiago, Chile; [Medina, Rafael A.] Pontificia Univ Catolica Chile, Escuela Med, Dept Enfermedades Infecciosas &amp; Inmunol Pediat, Santiago, Chile; [Medina, Rafael A.] Icahn Sch Med Mt Sinai, New York, NY 10029 USA; [Medina, Rafael A.] Millennium Inst Immunol &amp; Immunotherapy, Santiago, Chile</t>
  </si>
  <si>
    <t>Universidad de Chile; Universidad de Chile; Pontificia Universidad Catolica de Chile; Pontificia Universidad Catolica de Chile; Icahn School of Medicine at Mount Sinai</t>
  </si>
  <si>
    <t>Neira, V (corresponding author), Univ Chile, Fac Ciencias Vet &amp; Pecuarias, Dept Med Prevent Anim, Santiago, Chile.</t>
  </si>
  <si>
    <t>vneiraram@gmail.com</t>
  </si>
  <si>
    <t>Ramirez, Victor Manuel Neira/M-8736-2013; Medina, Rafael A./AAW-4418-2020; Tapia, Rodrigo/H-4209-2018</t>
  </si>
  <si>
    <t>Ramirez, Victor Manuel Neira/0000-0001-9062-9969; Medina, Rafael A./0000-0002-5013-6884; Mena Vasquez, Juan Eduardo/0000-0002-5272-5762; Borras-Chavez, Renato/0000-0002-6415-2121; Tapia, Rodrigo/0000-0003-4572-2026</t>
  </si>
  <si>
    <t>1865-1674</t>
  </si>
  <si>
    <t>1865-1682</t>
  </si>
  <si>
    <t>TRANSBOUND EMERG DIS</t>
  </si>
  <si>
    <t>Transbound. Emerg. Dis.</t>
  </si>
  <si>
    <t>10.1111/tbed.13309</t>
  </si>
  <si>
    <t>Infectious Diseases; Veterinary Sciences</t>
  </si>
  <si>
    <t>JK2PJ</t>
  </si>
  <si>
    <t>WOS:000494688600005</t>
  </si>
  <si>
    <t>Andrew, SM; Morell, HT; Strzepek, RF; Boyd, PW; Ellwood, MJ</t>
  </si>
  <si>
    <t>Andrew, Sarah M.; Morell, Hugh T.; Strzepek, Robert F.; Boyd, Philip W.; Ellwood, Michael J.</t>
  </si>
  <si>
    <t>Iron Availability Influences the Tolerance of Southern Ocean Phytoplankton to Warming and Elevated Irradiance</t>
  </si>
  <si>
    <t>temperature; climate change; photosynthesis; evolution; multiple stressors; carbon</t>
  </si>
  <si>
    <t>PHAEODACTYLUM-TRICORNUTUM; MARINE PRODUCTIVITY; LIGHT; TEMPERATURE; DIATOM; LIMITATION; GROWTH; PHYSIOLOGY; PHOTOSYNTHESIS; RESPONSES</t>
  </si>
  <si>
    <t>The Southern Ocean is responsible for approximately 40% of oceanic carbon uptake through biological and physical processes. In the Southern Ocean, phytoplankton growth is limited by low iron (Fe) and light supply. Climate model projections for the Southern Ocean indicate that temperature, underwater irradiance and Fe supply are likely to change simultaneously in the future due to increasing anthropogenic carbon dioxide emissions. The individual effects of these environmental properties on phytoplankton physiology have been extensively researched, and culturing studies using Southern Ocean phytoplankton have shown that temperature and Fe will play a key role on setting growth under future conditions. To explore the potential responses of Southern Ocean phytoplankton to these environmental changes, we cultured the haptophyte Phaeocystis antarctica and the diatoms Chaetoceros flexuosus, Proboscia inermis, and Thalassiosira antarctica under two light and iron combinations and over a range of temperatures. Our study revealed that the thermal response curves of key Southern Ocean phytoplankton are diverse, with the highest growth rates measured at 5 degrees C (the annual temperature range at the isolation sites is currently 1-4 degrees C). Warming had species-specific effects on the photochemical efficiency of photosystem II (PSII; F-v/F-m), the functional absorption cross-section of PSII (sigma(PSII)), carbon:nitrogen ratio and cellular Chlorophyll a concentrations. Iron availability increased species' ability to tolerate warmer conditions by increasing the upper limit for growth and subsequently increasing the thermal niche that each species inhabit.</t>
  </si>
  <si>
    <t>[Andrew, Sarah M.; Morell, Hugh T.; Ellwood, Michael J.] Australian Natl Univ, Res Sch Earth Sci, Canberra, ACT, Australia; [Strzepek, Robert F.; Boyd, Philip W.] Univ Tasmania, Antarctic Climate &amp; Ecosyst Cooperat Res Ctr, Hobart, Tas, Australia; [Boyd, Philip W.] Univ Tasmania, Inst Marine &amp; Antarctic Studies, Hobart, Tas, Australia</t>
  </si>
  <si>
    <t>Australian National University; Antarctic Climate &amp; Ecosystems Cooperative Research Centre (ACE CRC); University of Tasmania; University of Tasmania</t>
  </si>
  <si>
    <t>Andrew, SM (corresponding author), Australian Natl Univ, Res Sch Earth Sci, Canberra, ACT, Australia.</t>
  </si>
  <si>
    <t>sarah.andrew@unc.edu</t>
  </si>
  <si>
    <t>Boyd, Philip W/J-7624-2014; Strzepek, Robert Francis/GQH-8703-2022; Ellwood, Michael J/G-7390-2011; Andrew, Sarah M/AAZ-3502-2021</t>
  </si>
  <si>
    <t>Strzepek, Robert Francis/0000-0002-6442-7121; Andrew, Sarah M/0000-0002-1966-5315; Ellwood, Michael/0000-0003-4288-8530</t>
  </si>
  <si>
    <t>Australian Government Research Training Program Stipend Scholarship; Australian Research Council's Discovery Program [DP170102108, DP130100679]</t>
  </si>
  <si>
    <t>Australian Government Research Training Program Stipend Scholarship(Australian Government); Australian Research Council's Discovery Program(Australian Research Council)</t>
  </si>
  <si>
    <t>This work was supported by an Australian Government Research Training Program Stipend Scholarship (SA) and Australian Research Council's Discovery Program (DP170102108 and DP130100679).</t>
  </si>
  <si>
    <t>NOV 1</t>
  </si>
  <si>
    <t>10.3389/fmars.2019.00681</t>
  </si>
  <si>
    <t>JI8QR</t>
  </si>
  <si>
    <t>WOS:000493728800002</t>
  </si>
  <si>
    <t>Sequeira, AMM; Hays, GC; Sims, DW; Eguíluz, VM; Rodríguez, JP; Heupel, MR; Harcourt, R; Calich, H; Queiroz, N; Costa, DP; Fernández-Gracia, J; Ferreira, LC; Goldsworthy, SD; Hindell, MA; Lea, MA; Meekan, MG; Pagano, AM; Shaffer, SA; Reisser, J; Thums, M; Weise, M; Duarte, CM</t>
  </si>
  <si>
    <t>Sequeira, Ana Micaela Martins; Hays, Graeme Clive; Sims, David W.; Eguiluz, Vctor M.; Rodriguez, Jorge P.; Heupel, Michelle R.; Harcourt, Rob; Calich, Hannah; Queiroz, Nuno; Costa, Daniel Paul; Fernandez-Gracia, Juan; Ferreira, Luciana C.; Goldsworthy, Simon David; Hindell, Mark A.; Lea, Mary-Anne; Meekan, Mark G.; Pagano, Anthony M.; Shaffer, Scott A.; Reisser, Julia; Thums, Michele; Weise, Michael; Duarte, Carlos M.</t>
  </si>
  <si>
    <t>Overhauling Ocean Spatial Planning to Improve Marine Megafauna Conservation</t>
  </si>
  <si>
    <t>global ocean conservation and policy; real-time management; marine megafauna tracking data; Areas Beyond National Jurisdiction; global repository; improved data sharing; Global Ocean Observing System</t>
  </si>
  <si>
    <t>DYNAMIC OCEAN; MANAGEMENT; TRACKING; EFFICIENCY; PREDATOR; COASTAL; SHIFTS</t>
  </si>
  <si>
    <t>Tracking data have led to evidence-based conservation of marine megafauna, but a disconnect remains between the many 1000s of individual animals that have been tracked and the use of these data in conservation and management actions. Furthermore, the focus of most conservation efforts is within Exclusive Economic Zones despite the ability of these species to move 1000s of kilometers across multiple national jurisdictions. To assist the goal of the United Nations General Assembly's recent effort to negotiate a global treaty to conserve biodiversity on the high seas, we propose the development of a new frontier in dynamic marine spatial management. We argue that a global approach combining tracked movements of marine megafauna and human activities at-sea, and using existing and emerging technologies (e.g., through new tracking devices and big data approaches) can be applied to deliver near real-time diagnostics on existing risks and threats to mitigate global risks for marine megafauna. With technology developments over the next decade expected to catalyze the potential to survey marine animals and human activities in ever more detail and at global scales, the development of dynamic predictive tools based on near real-time tracking and environmental data will become crucial to address increasing risks. Such global tools for dynamic spatial and temporal management will, however, require extensive synoptic data updates and will be dependent on a shift to a culture of data sharing and open access. We propose a global mechanism to store and make such data available in near real-time, enabling a holistic view of space use by marine megafauna and humans that would significantly accelerate efforts to mitigate impacts and improve conservation and management of marine megafauna.</t>
  </si>
  <si>
    <t>[Sequeira, Ana Micaela Martins; Reisser, Julia; Duarte, Carlos M.] Univ Western Australia, Oceans Inst, Sch Biol Sci, Indian Ocean Marine Res Ctr, Perth, WA, Australia; [Hays, Graeme Clive] Deakin Univ, Sch Life &amp; Environm Sci, Geelong, Vic, Australia; [Sims, David W.; Queiroz, Nuno] Marine Biol Assoc UK, Plymouth, Devon, England; [Sims, David W.] Univ Southampton, Natl Oceanog Ctr Southampton, Ocean &amp; Earth Sci, Southampton, Hants, England; [Sims, David W.] Univ Southampton, Ctr Biol Sci, Southampton, Hants, England; [Eguiluz, Vctor M.; Rodriguez, Jorge P.; Fernandez-Gracia, Juan] UIB, CSIC, IFISC, Palma De Mallorca, Spain; [Rodriguez, Jorge P.] ISI Fdn, Turin, Italy; [Heupel, Michelle R.] Australian Inst Marine Sci, Townsville, Qld, Australia; [Harcourt, Rob] Macquarie Univ, Dept Biol Sci, Sydney, NSW, Australia; [Calich, Hannah] Univ Western Australia, Indian Ocean Marine Res Ctr, Oceans Grad Sch, Oceans Inst, Perth, WA, Australia; [Queiroz, Nuno] Univ Porto, Ctr Invest Biodiversidade &amp; Recursos Genet, CIBIO, InBIO, Vairao, Portugal; [Costa, Daniel Paul] Univ Calif Santa Cruz, Dept Ecol &amp; Evolutionary Biol, Santa Cruz, CA 95064 USA; [Ferreira, Luciana C.; Meekan, Mark G.; Reisser, Julia; Thums, Michele] Univ Western Australia, Australian Inst Marine Sci, Indian Ocean Marine Res Ctr M096, Perth, WA, Australia; [Goldsworthy, Simon David] South Australian Res &amp; Dev Inst, Henley Beach, SA, Australia; [Hindell, Mark A.; Lea, Mary-Anne] Univ Tasmania, Inst Marine &amp; Antarctic Studies, Ecol &amp; Biodivers Ctr, Hobart, Tas, Australia; [Lea, Mary-Anne] Natl Ocean &amp; Atmospher Adm Fisheries, Alaska Ecosyst Program, Natl Marine Mammal Lab, Alaska Fisheries Sci Ctr, Seattle, WA USA; [Pagano, Anthony M.] US Geol Survey, Alaska Sci Ctr, Anchorage, AK USA; [Shaffer, Scott A.] San Jose State Univ, Dept Biol Sci, San Jose, CA 95192 USA; [Reisser, Julia] Minderoo Fdn, Dalkeith, WA, Australia; [Reisser, Julia; Weise, Michael] Off Naval Res, Arlington, VA 22217 USA; [Duarte, Carlos M.] King Abdullah Univ Sci &amp; Technol, Red Sea Res Ctr, Thuwal, Saudi Arabia; [Duarte, Carlos M.] King Abdullah Univ Sci &amp; Technol, Computat Biosci Res Ctr, Thuwal, Saudi Arabia</t>
  </si>
  <si>
    <t>University of Western Australia; Deakin University; Marine Biological Association United Kingdom; NERC National Oceanography Centre; University of Southampton; University of Southampton; Consejo Superior de Investigaciones Cientificas (CSIC); Universitat de les Illes Balears; CSIC-UIB - Instituto de Fisica Interdisciplinar y Sistemas Complejos (IFISC); Australian Institute of Marine Science; Macquarie University; University of Western Australia; Universidade do Porto; University of California System; University of California Santa Cruz; Australian Institute of Marine Science; University of Western Australia; South Australian Research &amp; Development Institute (SARDI); University of Tasmania; National Oceanic Atmospheric Admin (NOAA) - USA; United States Department of the Interior; United States Geological Survey; California State University System; San Jose State University; Minderoo Foundation; United States Department of Defense; United States Navy; King Abdullah University of Science &amp; Technology; King Abdullah University of Science &amp; Technology</t>
  </si>
  <si>
    <t>Sequeira, AMM (corresponding author), Univ Western Australia, Oceans Inst, Sch Biol Sci, Indian Ocean Marine Res Ctr, Perth, WA, Australia.</t>
  </si>
  <si>
    <t>ana.sequeira@uwa.edu.au</t>
  </si>
  <si>
    <t>Duarte, Carlos M/A-7670-2013; Rodriguez, Jorge P./O-8873-2014; Thums, Michele/A-3850-2013; Hindell, Mark A/K-1131-2013; Sequeira, Ana M M/AAE-9741-2021; Eguíluz, Víctor M./B-9655-2008; Duarte Quesada, Carlos Manuel/ABD-6208-2021; Fernandez-Gracia, Juan/S-4344-2018; Lea, Mary-Anne/E-9054-2013; Shaffer, Scott/D-5015-2009; Queiroz, Nuno/G-3850-2010; Reisser, Julia/K-2065-2013</t>
  </si>
  <si>
    <t>Duarte, Carlos M/0000-0002-1213-1361; Rodriguez, Jorge P./0000-0001-6593-5032; Sequeira, Ana M M/0000-0001-6906-799X; Eguíluz, Víctor M./0000-0003-1133-1289; Calich, Hannah/0000-0001-7541-9584; Goldsworthy, Simon/0000-0003-4988-9085; Harcourt, Robert/0000-0003-4666-2934; Fernandez-Gracia, Juan/0000-0001-9728-7666; Lea, Mary-Anne/0000-0001-8318-9299; Shaffer, Scott/0000-0002-7751-5059; Queiroz, Nuno/0000-0002-3860-7356; Meekan, Mark/0000-0002-3067-9427; Cerqueira Ferreira, Luciana/0000-0001-6755-2799; Reisser, Julia/0000-0002-1785-1042</t>
  </si>
  <si>
    <t>ARC [DE170100841]; KAUST; UWA Oceans Institute through a Research Impact Grant; AIMS; UK Natural Environment Research Council [NE/R00997X/1]; Save Our Seas Foundation; FCT (Portugal); Australian Government RTP scholarship at UWA; NERC [NE/R00997X/1] Funding Source: UKRI</t>
  </si>
  <si>
    <t>ARC(Australian Research Council); KAUST(King Abdullah University of Science &amp; Technology); UWA Oceans Institute through a Research Impact Grant; AIMS; UK Natural Environment Research Council(UK Research &amp; Innovation (UKRI)Natural Environment Research Council (NERC)); Save Our Seas Foundation; FCT (Portugal)(Fundacao para a Ciencia e a Tecnologia (FCT)); Australian Government RTP scholarship at UWA(Australian Government); NERC(UK Research &amp; Innovation (UKRI)Natural Environment Research Council (NERC))</t>
  </si>
  <si>
    <t>Workshop funding and support granted by ARC Grant No. DE170100841, AIMS, KAUST, and UWA Oceans Institute through a Research Impact Grant. AS was supported by an ARC Grant No. DE170100841 and AIMS. DS was supported by the UK Natural Environment Research Council (NE/R00997X/1) and the Save Our Seas Foundation. NQ was supported by FCT (Portugal). HC was supported by an Australian Government RTP scholarship at UWA.</t>
  </si>
  <si>
    <t>10.3389/fmars.2019.00639</t>
  </si>
  <si>
    <t>JI8QD</t>
  </si>
  <si>
    <t>WOS:000493727400001</t>
  </si>
  <si>
    <t>Azharuddin, S; Govil, P; Singh, AD; Mishra, R; Shekhar, M</t>
  </si>
  <si>
    <t>Azharuddin, Syed; Govil, Pawan; Singh, Arun Deo; Mishra, Ravi; Shekhar, Mayank</t>
  </si>
  <si>
    <t>Solar insolation driven periodicities in southwest monsoon and its impact on NE Arabian Sea paleoceanography</t>
  </si>
  <si>
    <t>GEOSCIENCE FRONTIERS</t>
  </si>
  <si>
    <t>Southwest monsoon; Periodicities; Arabian sea; Spectral analysis; Foraminifera</t>
  </si>
  <si>
    <t>NORTH-ATLANTIC CLIMATE; INDIAN-OCEAN; HOLOCENE CLIMATE; VARIABILITY; CYCLE; SCALE; RECORD; MODEL; CALIBRATION; CYCLICITY</t>
  </si>
  <si>
    <t>In the northeastern (NE) Arabian Sea, the fluctuation in terrestrial and freshwater runoff directly depends on southwest monsoon (SWM) precipitation as well as the meltwater flux provided by Indus River. Therefore, analysis of multi-proxy spectral signatures was carried out to trace the high-resolution SWM periodicities and their influence on the productivity, regional sea level fluctuations and depositional processes in the NE Arabian Sea. The time series data of stable isotopes of oxygen (delta O-1(8)G.ruber), carbon (delta C-13(G.ruber) and delta C-13(org)) and nitrogen (delta N-15), Total Organic Carbon (TOC), planktic-benthic foraminiferal ratio (P/B ratio) and &gt;63 mu m coarse fraction (CF) were used from two coastal sedimentary cores located offshore Saurashtra, NE Arabian Sea (Core SK-240/485 having 88 m water depth; Core GC/SK-240/496 having 174 m water depth). The REDFIT based spectral analysis recorded significant periodicities (&gt;90% significance) in delta O-18 time series centered at similar to 1609, similar to 667, similar to 525, similar to 296, similar to 290 and similar to 256 years. Further, the significant periodicities recorded in carbon isotopes time series (delta C-13(G.ruber) and delta C-13(org)) centered at similar to 681, similar to 512, similar to 471, similar to 452, similar to 438, similar to 360, similar to 292, similar to 275, similar to 269, similar to 245 and similar to 209 years. The significant periodicities in TOC include similar to 471 and similar to 322 years whereas delta N-15 time series recorded significant periodicity centered at similar to 360 years. The significant periodicities in P/B ratio time series centered at similar to 512, similar to 388, similar to 304, similar to 250, similar to 235, similar to 217, similar to 152, similar to 139 and similar to 135 years while CF recorded similar to 268, similar to 216, similar to 209, similar to 198, similar to 188, similar to 173 and similar to 140 years significant periodicities. The observed periodicities in the multi-proxy record consist of similar cycles (within the radiocarbon dating error) which also match with previously reported solar insolation influenced SWM and other global and regional cycles. Further, the stationarity of the data has been verified using wavelet analysis and shows similar periodicities as observed in REDFIT analysis. Thereafter, the depositional behaviour was studied using correlation analysis of the common periods of delta O-18 time series of both the cores. The result suggests that the depositional behaviour was different for both the core sites during the early Holocene and became similar during the middle Holocene. The correlation analysis of Total Solar Index (TSI) with delta O-18 time series reveals a significant correlation with the core SK-240/485 whereas an insignificant correlation with the core GC/SK-240/496. These observations suggest that the solar insolation has been a leading factor responsible for the SWM trends during the Holocene which may have further influenced the productivity, regional sea level fluctuations and depositional conditions in the NE Arabian Sea. However, these trends are better preserved in shallow marine sediments as compared to the deeper marine sediments. (C) 2019, China University of Geosciences (Beijing) and Peking University. Production and hosting by Elsevier B.V.</t>
  </si>
  <si>
    <t>[Azharuddin, Syed; Govil, Pawan; Shekhar, Mayank] Birbal Sahni Inst Palaeosci, Lucknow 226007, UP, India; [Singh, Arun Deo] Banaras Hindu Univ, Dept Geol, Varanasi 221005, Uttar Pradesh, India; [Mishra, Ravi] Natl Ctr Antarctic &amp; Ocean Res, Vasco Da Gama 403804, Goa, India</t>
  </si>
  <si>
    <t>Department of Science &amp; Technology (India); Birbal Sahni Institute of Palaeobotany (BSIP); Banaras Hindu University (BHU); Ministry of Earth Sciences (MoES) - India; National Centre for Polar and Ocean Research (NCPOR)</t>
  </si>
  <si>
    <t>Govil, P (corresponding author), Birbal Sahni Inst Palaeosci, Lucknow 226007, UP, India.</t>
  </si>
  <si>
    <t>pawanali@gmail.com</t>
  </si>
  <si>
    <t>Azharuddin, Syed/AAZ-6586-2020</t>
  </si>
  <si>
    <t>Azharuddin, Syed/0000-0002-5945-9305; Shekhar, Mayank/0000-0002-4245-8605</t>
  </si>
  <si>
    <t>SERB-DST Project [SR/FTP/ES-53/2013]; Council of Scientific and Industrial Research (CSIR) [09/528/0022/2018/EMR-1]; SERB-DST [SR/FTP/ES-53/2013]</t>
  </si>
  <si>
    <t>SERB-DST Project; Council of Scientific and Industrial Research (CSIR)(Council of Scientific &amp; Industrial Research (CSIR) - India); SERB-DST(Department of Science &amp; Technology (India)Science Engineering Research Board (SERB), India)</t>
  </si>
  <si>
    <t>The authors are thankful to the Director, BSIP, Lucknow for providing the necessary facilities to carry out this work and permitting us to publish the same. Extended thanks to the shipboard team of Sagar Kanya cruise for sampling two sediment cores. SA is also indebted to SERB-DST Project No. SR/FTP/ES-53/2013 and Council of Scientific and Industrial Research (CSIR) (Grant No. 09/528/0022/2018/EMR-1) for the financial assistance in the form of fellowships. We are also thankful to Dr. P. Morethekai, BSIP, Lucknow, India for his suggestions during statistical analyses. This work was supported by fast-track grant of SERB-DST under project No. SR/FTP/ES-53/2013. It is the BSIP contribution no. BSIP/RDCC/Publication No. 77/2017-2018. We are also thankful to the Associate Editor, Prof. E. Shaji and two anonymous reviewers for their constructive comments, which improved MS substantially.</t>
  </si>
  <si>
    <t>CHINA UNIV GEOSCIENCES, BEIJING</t>
  </si>
  <si>
    <t>HAIDIAN DISTRICT</t>
  </si>
  <si>
    <t>29 XUEYUAN RD, HAIDIAN DISTRICT, 100083, PEOPLES R CHINA</t>
  </si>
  <si>
    <t>1674-9871</t>
  </si>
  <si>
    <t>GEOSCI FRONT</t>
  </si>
  <si>
    <t>Geosci. Front.</t>
  </si>
  <si>
    <t>10.1016/j.gsf.2019.03.007</t>
  </si>
  <si>
    <t>JI6FZ</t>
  </si>
  <si>
    <t>WOS:000493564500020</t>
  </si>
  <si>
    <t>Hokada, T; Grantham, GH; Arima, M; Saito, S; Shiraishi, K; Armstrong, RA; Eglington, B; Misawa, K; Kaiden, H</t>
  </si>
  <si>
    <t>Hokada, Tomokazu; Grantham, Geoffrey H.; Arima, Makoto; Saito, Satoshi; Shiraishi, Kazuyuki; Armstrong, Richard A.; Eglington, Bruce; Misawa, Keiji; Kaiden, Hiroshi</t>
  </si>
  <si>
    <t>Stenian A-type granitoids in the Namaqua-Natal Belt, southern Africa, Maud Belt, Antarctica and Nampula Terrane, Mozambique: Rodinia and Gondwana amalgamation implications</t>
  </si>
  <si>
    <t>A-type granites; Mesoproterozoic; Natal; South Africa; Maud; Antarctica; Mozambique; Southern Africa; Sri Lanka; Zircon chronology</t>
  </si>
  <si>
    <t>EAST ANTARCTICA; METAMORPHIC PROVINCE; CRUSTAL GROWTH; SRI-LANKA; TECTONOTHERMAL EVOLUTION; GEOCHEMICAL CONSTRAINTS; SOUTHEASTERN AFRICA; NORTHERN MOZAMBIQUE; KALAHARI CRATON; SHRIMP AGES</t>
  </si>
  <si>
    <t>We carried out SHRIMP zircon U-Pb dating on A-type granitic intrusions from the Namaqua-Natal Province, South Africa, Sverdrupfjella, western Dronning Maud Land, Antarctica and the Nampula Province of northern Mozambique. Zircon grains in these granitic rocks are typically elongated and oscillatory zoned, suggesting magmatic origins. Zircons from the granitoid intrusions analyzed in this study suggest similar to 1025-1100 Ma ages, which confirm widespread Mesoproterozoic A-type granitic magmatism in the Namaqua-Natal (South Africa), Maud (Antarctica) and Mozambique metamorphic terrains. No older inherited (e.g., similar to 2500 Ma Achean basement or similar to 1200 Ma island arc magmatism in northern Natal) zircon grains were seen. Four plutons from the Natal Belt (Mvoti Pluton, Glendale Pluton, Kwalembe Pluton, Ntimbankulu Pluton) display 1050-1040 Ma ages, whereas the Nthlimbitwa Pluton in northern Natal indicates older 1090-1080 Ma ages. A sample from Sverdrupfjella, Antarctica has similar to 1091 Ma old zircons along with similar to 530 Ma metamorphic rims. Similarly, four samples analysed from the Nampula Province of Mozambique suggest crystallization ages of similar to 1060-1090 Ma but also show significant discordance with two samples showing younger similar to 550 Ma overgrowths. None of the Natal samples show any younger overgrowths. A single sample from southwestern Namaqualand yielded an age of similar to 1033 Ma. Currently available chronological data suggest magmatism took place in the Namaqua-Natal-Maud-Mozambique (NNMM) belt between similar to 1025 Ma and similar to 1100 Ma with two broad phases between similar to 1060-1020 Ma and 1100-1070 Ma respectively, with peaks at between similar to 1030-1040 Ma and similar to 1070 -1090 Ma. The age data from the granitic intrusions from Namaqualand, combined with those from Natal, Antarctica and Mozambique suggest a crude spatial-age relationship with the older &gt;1070 Ma ages being largely restricted close to the eastern and western margins of the Kalahari Craton in northern Natal, Mozambique, Namaqualand and WDML Antarctica whereas the younger &lt;1060 Ma ages dominate in southern Natal and western Namaqualand and are largely restricted to the southern and possibly the western margins of the Kalahari Craton. The older ages of magmatism partially overlap with or are marginally younger than the intracratonic Mkondo Large Igneous Province intruded into or extruded onto the Kalahari Craton, suggesting a tectonic relationship with the Maud Belt. Similar ages from granitic augen gneisses in Sri Lanka suggest a continuous belt stretching from Namaqualand to Sri Lanka in a reconstituted Gondwana, formed during the terminal stages of amalgamation of Rodinia and predating the East African Orogen. This contiguity contributes to defining the extent of Rodinia-age crustal blocks, subsequently fragmented by the dispersal of Rodinia and Gondwana. (C) 2019. China University of Geosciences (Beijing) and Peking University. Production and hosting by Elsevier B.V.</t>
  </si>
  <si>
    <t>[Hokada, Tomokazu; Shiraishi, Kazuyuki; Misawa, Keiji; Kaiden, Hiroshi] Natl Inst Polar Res, 10-3 Midori Cho, Tachikawa, Tokyo 1908518, Japan; [Hokada, Tomokazu; Shiraishi, Kazuyuki; Misawa, Keiji; Kaiden, Hiroshi] Grad Univ Adv Studies, Dept Polar Sci, 10-3 Midori Cho, Tachikawa, Tokyo 1908518, Japan; [Grantham, Geoffrey H.] Univ Johannesburg, Dept Geol, POB 524, ZA-2006 Auckland Pk, South Africa; [Arima, Makoto; Saito, Satoshi] Yokohama Natl Univ, Geol Inst, Yokohama, Kanagawa 2408501, Japan; [Armstrong, Richard A.] Australian Natl Univ, PRISE, Canberra, ACT, Australia; [Eglington, Bruce] Univ Saskatchewan, Dept Geol Sci, Saskatoon, SK S7N 5E2, Canada; [Saito, Satoshi] Ehime Univ, Dept Earth Sci, Matsuyama, Ehime 7908577, Japan</t>
  </si>
  <si>
    <t>Research Organization of Information &amp; Systems (ROIS); National Institute of Polar Research (NIPR) - Japan; Graduate University for Advanced Studies - Japan; University of Johannesburg; Yokohama National University; Australian National University; University of Saskatchewan; Ehime University</t>
  </si>
  <si>
    <t>Grantham, GH (corresponding author), Univ Johannesburg, Dept Geol, POB 524, ZA-2006 Auckland Pk, South Africa.</t>
  </si>
  <si>
    <t>ghgrantham@uj.ac.za</t>
  </si>
  <si>
    <t>Eglington, Bruce M/A-7144-2008; Armstrong, Richard/AAT-3953-2020; Grantham, Geoffrey/M-8637-2014</t>
  </si>
  <si>
    <t>Armstrong, Richard/0000-0001-9479-0143; Grantham, Geoffrey/0000-0001-9862-0547</t>
  </si>
  <si>
    <t>Japan Society for the Promotion of Science [09041116, 13440151]; JSPS; NRF, South Africa [110739]; Grants-in-Aid for Scientific Research [09041116, 13440151] Funding Source: KAKEN</t>
  </si>
  <si>
    <t>Japan Society for the Promotion of Science(Ministry of Education, Culture, Sports, Science and Technology, Japan (MEXT)Japan Society for the Promotion of Science); JSPS(Ministry of Education, Culture, Sports, Science and Technology, Japan (MEXT)Japan Society for the Promotion of Science); NRF, South Africa(National Research Foundation - South Africa); Grants-in-Aid for Scientific Research(Ministry of Education, Culture, Sports, Science and Technology, Japan (MEXT)Japan Society for the Promotion of ScienceGrants-in-Aid for Scientific Research (KAKENHI))</t>
  </si>
  <si>
    <t>We thank Y. Hiroi, S. Baba, S. McCourt and A. Bisnath for field assistance. Y. Motoyoshi and A. Yamaguchi are thanked for their help in ion microprobe analyses and sample preparation. This study was supported by a Grant-in-Aid for Scientific Research from the Japan Society for the Promotion of Science to K.S. (Nos. 09041116 and 13440151) and a Grant-in-Aid for the Young Scientists from JSPS to T.H. Antarctic Research funding to GHG from the NRF, South Africa, Grant ID. 110739, is gratefully acknowledged. The Council for Geoscience Pretoria, South Africa are thanked for the opportunities provided in Namaqualand (GHG) and Mozambique (GHG, KS). Discussion of the plate tectonic setting of these rocks from Bill Collins is acknowledged. Constructive reviews by Russell Bailie and an anonymous reviewer are much appreciated and improved the final document.</t>
  </si>
  <si>
    <t>10.1016/j.gsf.2019.04.003</t>
  </si>
  <si>
    <t>WOS:000493564500021</t>
  </si>
  <si>
    <t>Youngs, MK; Flierl, GR; Ferrari, R</t>
  </si>
  <si>
    <t>Youngs, Madeleine K.; Flierl, Glenn R.; Ferrari, Raffaele</t>
  </si>
  <si>
    <t>Role of Residual Overturning for the Sensitivity of Southern Ocean Isopycnal Slopes to Changes in Wind Forcing</t>
  </si>
  <si>
    <t>Southern Ocean; Eddies; Storm tracks; Quasigeostrophic models</t>
  </si>
  <si>
    <t>ANTARCTIC CIRCUMPOLAR CURRENT; EDDY SATURATION; CIRCULATION; TRANSPORT; STRATIFICATION; VARIABILITY; MOMENTUM; CHANNEL; STRESS; EDDIES</t>
  </si>
  <si>
    <t>The Antarctic Circumpolar Current plays a central role in the ventilation of heat and carbon in the global ocean. In particular, the isopycnal slopes determine where each water mass outcrops and thus how the ocean interacts with the atmosphere. The region-integrated isopycnal slopes have been suggested to be eddy saturated, that is, stay relatively constant as the wind forcing changes, but whether or not the flow is saturated in realistic present day and future parameter regimes is unknown. This study analyzes an idealized two-layer quasigeostrophic channel model forced by a wind stress and a residual overturning generated by a mass flux across the interface between the two layers, with and without a blocking ridge. The sign and strength of the residual overturning set which way the isopycnal slopes change with the wind forcing, leading to an increase in slope with an increase in wind forcing for a positive overturning and a decrease in slope for a negative overturning, following the usual conventions; this behavior is caused by the dominant standing meander weakening as the wind stress weakens causing the isopycnal slopes to become more sensitive to changes in the wind stress and converge with the slopes of a flat-bottomed simulation. Eddy saturation only appears once the wind forcing passes a critical level. These results show that theories for saturation must have both topography and residual overturning in order to be complete and provide a framework for understanding how the isopycnal slopes in the Southern Ocean may change in response to future changes in wind forcing.</t>
  </si>
  <si>
    <t>[Youngs, Madeleine K.] MIT WHOI Joint Program Oceanog, Cambridge, MA 02139 USA; [Flierl, Glenn R.; Ferrari, Raffaele] MIT, Dept Earth Atmospher &amp; Planetary Sci, Cambridge, MA USA</t>
  </si>
  <si>
    <t>Massachusetts Institute of Technology (MIT); Massachusetts Institute of Technology (MIT)</t>
  </si>
  <si>
    <t>Youngs, MK (corresponding author), MIT WHOI Joint Program Oceanog, Cambridge, MA 02139 USA.</t>
  </si>
  <si>
    <t>myoungs@mit.edu</t>
  </si>
  <si>
    <t>NSF [OCE-1536515, AGS1835576, OCE-1459702]; NDSEG</t>
  </si>
  <si>
    <t>NSF(National Science Foundation (NSF)); NDSEG</t>
  </si>
  <si>
    <t>MKY and RF acknowledge support through NSF Awards OCE-1536515 and AGS1835576. MKY acknowledges funding from NDSEG. GRF was supported by NSF OCE-1459702. We are very grateful for conversations with David Marshall, Andrew Stewart, and two anonymous reviewers that greatly improved the manuscript. The code for running the model is found at https://github.com/mkyoungs/JPO-QG-Channel.</t>
  </si>
  <si>
    <t>10.1175/JPO-D-19-0072.1</t>
  </si>
  <si>
    <t>JJ8ZS</t>
  </si>
  <si>
    <t>WOS:000494441400002</t>
  </si>
  <si>
    <t>Millán-Aguiñaga, N; Soldatou, S; Brozio, S; Munnoch, JT; Howe, J; Hoskisson, PA; Duncan, KR</t>
  </si>
  <si>
    <t>Millan-Aguinaga, Natalie; Soldatou, Sylvia; Brozio, Sarah; Munnoch, John T.; Howe, John; Hoskisson, Paul A.; Duncan, Katherine R.</t>
  </si>
  <si>
    <t>Awakening ancient polar Actinobacteria: diversity, evolution and specialized metabolite potential</t>
  </si>
  <si>
    <t>MICROBIOLOGY-SGM</t>
  </si>
  <si>
    <t>Actinobacteria; specialized metabolites; marine; Antarctic; Arctic; evolution</t>
  </si>
  <si>
    <t>GENE SEQUENCE SIMILARITY; NATURAL-PRODUCTS; DRUG DISCOVERY; SP NOV.; MOLECULAR NETWORKING; WEDDELL SEA; MARINE; IDENTIFICATION; SEDIMENTATION; VALUES</t>
  </si>
  <si>
    <t>Polar and subpolar ecosystems are highly vulnerable to global climate change with consequences for biodiversity and community composition. Bacteria are directly impacted by future environmental change and it is therefore essential to have a better understanding of microbial communities in fluctuating ecosystems. Exploration of Polar environments, specifically sediments, represents an exciting opportunity to uncover bacterial and chemical diversity and link this to ecosystem and evolutionary parameters. In terms of specialized metabolite production, the bacterial order Actinomycetales, within the phylum Actinobacteria are unsurpassed, producing 10000 specialized metabolites accounting for over 45% of all bioactive microbial metabolites. A selective isolation approach focused on spore-forming Actinobacteria of 12 sediment cores from the Antarctic and sub-Arctic generated a culture collection of 50 strains. This consisted of 39 strains belonging to rare Actinomycetales genera including Microbacterium, Rhodococcus and Pseudonocardia. This study used a combination of nanopore sequencing and molecular networking to explore the community composition, culturable bacterial diversity, evolutionary relatedness and specialized metabolite potential of these strains. Metagenomic analyses using MinION sequencing was able to detect the phylum Actinobacteria across polar sediment cores at an average of 13 % of the total bacterial reads. The resulting molecular network consisted of 1652 parent ions and the lack of known metabolite identification supports the argument that Polar bacteria are likely to produce previously unreported chemistry.</t>
  </si>
  <si>
    <t>[Millan-Aguinaga, Natalie] Univ Autonoma Baja California, Fac Ciencias Marinas, Ensenada, Baja California, Mexico; [Soldatou, Sylvia; Brozio, Sarah; Munnoch, John T.; Hoskisson, Paul A.; Duncan, Katherine R.] Univ Strathclyde, Strathclyde Inst Pharm &amp; Biomed Sci, Glasgow, Lanark, Scotland; [Howe, John] Scottish Assoc Marine Sci, Scottish Marine Inst, Obanargyll, Scotland</t>
  </si>
  <si>
    <t>Universidad Autonoma de Baja California; University of Strathclyde</t>
  </si>
  <si>
    <t>Duncan, KR (corresponding author), Univ Strathclyde, Strathclyde Inst Pharm &amp; Biomed Sci, Glasgow, Lanark, Scotland.</t>
  </si>
  <si>
    <t>katherine.duncan@strath.ac.uk</t>
  </si>
  <si>
    <t>Millán-Aguiñaga, Natalie/GLV-1773-2022; Duncan, Katherine R./M-9460-2016</t>
  </si>
  <si>
    <t>Millán-Aguiñaga, Natalie/0000-0002-9373-5377; Soldatou, Sylvia/0000-0002-3868-102X; Duncan, Katherine R./0000-0002-3670-4849; Munnoch, John Tyson/0000-0002-9018-6026; Hoskisson, Paul/0000-0003-4332-1640; Howe, John/0000-0002-4617-2209</t>
  </si>
  <si>
    <t>Marine Alliance for Science and Technology for Scotland (MASTS); Natural Environment Research Council [NE/M001415/1]; NERC [NE/M001415/1] Funding Source: UKRI</t>
  </si>
  <si>
    <t>Marine Alliance for Science and Technology for Scotland (MASTS); Natural Environment Research Council(UK Research &amp; Innovation (UKRI)Natural Environment Research Council (NERC)); NERC(UK Research &amp; Innovation (UKRI)Natural Environment Research Council (NERC))</t>
  </si>
  <si>
    <t>This research was supported by the Marine Alliance for Science and Technology for Scotland (MASTS, https://www.masts.ac.uk) through a visiting fellowship. P.A.H. would like to acknowledge the support of the Natural Environment Research Council for grant NE/M001415/1.</t>
  </si>
  <si>
    <t>1350-0872</t>
  </si>
  <si>
    <t>1465-2080</t>
  </si>
  <si>
    <t>MICROBIOL-SGM</t>
  </si>
  <si>
    <t>Microbiology-(UK)</t>
  </si>
  <si>
    <t>10.1099/mic.0.000845</t>
  </si>
  <si>
    <t>JJ1WO</t>
  </si>
  <si>
    <t>WOS:000493952900003</t>
  </si>
  <si>
    <t>Lim, EP; Hendon, HH; Boschat, G; Hudson, D; Thompson, DWJ; Dowdy, AJ; Arblaster, JM</t>
  </si>
  <si>
    <t>Lim, Eun-Pa; Hendon, Harry H.; Boschat, Ghyslaine; Hudson, Debra; Thompson, David W. J.; Dowdy, Andrew J.; Arblaster, Julie M.</t>
  </si>
  <si>
    <t>Australian hot and dry extremes induced by weakenings of the stratospheric polar vortex</t>
  </si>
  <si>
    <t>SOUTHERN-HEMISPHERE STRATOSPHERE; SEA-SURFACE TEMPERATURE; ANNULAR MODE; INTERANNUAL VARIABILITY; SEASONAL PREDICTION; CLIMATE VARIABILITY; CIRCULATION; OSCILLATION; TROPOSPHERE; FORECAST</t>
  </si>
  <si>
    <t>The occurrence of extreme hot and dry conditions in warm seasons can have large impacts on human health, energy and water supplies, agriculture and wildfires. Australian hot and dry extremes have been known to be associated with the occurrence of El Nino and other variations of tropospheric circulation. Here we identify an additional driver: variability of the stratospheric Antarctic polar vortex. On the basis of statistical analyses using observational data covering the past 40 yr, we show that weakenings and warmings of the stratospheric polar vortex, which episodically occur during austral spring, substantially increase the chances of hot and dry extremes and of associated fire-conducive weather across subtropical eastern Australia from austral spring to early summer. The promotion of these Australian climate extremes results from the downward coupling of the weakened polar vortex to tropospheric levels, where it is linked to the low-index polarity of the Southern Annular Mode, an equatorward shift of the mid-latitude westerly jet stream and subsidence and warming in the subtropics. Because of the long timescale of the polar vortex variations, the enhanced likelihood of early-summertime hot and dry extremes and wildfire risks across eastern Australia may be predictable a season in advance during years of vortex weakenings.</t>
  </si>
  <si>
    <t>[Lim, Eun-Pa; Hendon, Harry H.; Hudson, Debra; Dowdy, Andrew J.] Bur Meteorol, Melbourne, Vic, Australia; [Boschat, Ghyslaine; Arblaster, Julie M.] Monash Univ, ARC Ctr Excellence Climate Extremes, Clayton, Vic, Australia; [Boschat, Ghyslaine; Arblaster, Julie M.] Monash Univ, Sch Earth Atmosphere &amp; Environm, Clayton, Vic, Australia; [Thompson, David W. J.] Colorado State Univ, Dept Atmospher Sci, Ft Collins, CO 80523 USA; [Arblaster, Julie M.] Natl Ctr Atmospher Res, POB 3000, Boulder, CO 80307 USA</t>
  </si>
  <si>
    <t>Bureau of Meteorology - Australia; Monash University; Monash University; Colorado State University; National Center Atmospheric Research (NCAR) - USA</t>
  </si>
  <si>
    <t>Lim, EP (corresponding author), Bur Meteorol, Melbourne, Vic, Australia.</t>
  </si>
  <si>
    <t>e.lim@bom.gov.au</t>
  </si>
  <si>
    <t>Thompson, David W J/F-9627-2012; Dowdy, Andrew/AAI-6395-2020; Arblaster, Julie/C-1342-2010</t>
  </si>
  <si>
    <t>Thompson, David W J/0000-0002-5413-4376; Dowdy, Andrew/0000-0003-0720-4471; Hudson, Debra/0000-0002-0129-0922; Boschat, Ghyslaine/0000-0002-5174-1170; Lim, Eun-Pa/0000-0001-8273-5358; Arblaster, Julie/0000-0002-4287-2363; Hendon, Harry H./0000-0002-4378-2263</t>
  </si>
  <si>
    <t>Australian Government Department of Agriculture as part of its Rural R&amp;D for Profit programme; Australian Research Council Centre of Excellence for Climate Extremes [CE170100023]; Regional and Global Model Analysis component of the Earth and Environmental System Modeling Program of the US Department of Energy's Office of Biological &amp; Environmental Research via National Science Foundation [IA 1947282]; Australian Government's National Environmental Science Program; NSF Climate and Large-Scale Dynamics Program; Australian Commonwealth Government</t>
  </si>
  <si>
    <t>Australian Government Department of Agriculture as part of its Rural R&amp;D for Profit programme(Australian Government); Australian Research Council Centre of Excellence for Climate Extremes(Australian Research Council); Regional and Global Model Analysis component of the Earth and Environmental System Modeling Program of the US Department of Energy's Office of Biological &amp; Environmental Research via National Science Foundation; Australian Government's National Environmental Science Program(Australian Government); NSF Climate and Large-Scale Dynamics Program(National Science Foundation (NSF)NSF - Directorate for Geosciences (GEO)); Australian Commonwealth Government(Australian Government)</t>
  </si>
  <si>
    <t>This study is part of the Forewarned is Forearmed project, which is supported by funding from the Australian Government Department of Agriculture as part of its Rural R&amp;D for Profit programme. G.B. and J.M.A. were supported by the Australian Research Council Centre of Excellence for Climate Extremes (grant CE170100023). J.M.A. was also supported by the Regional and Global Model Analysis component of the Earth and Environmental System Modeling Program of the US Department of Energy's Office of Biological &amp; Environmental Research via National Science Foundation IA 1947282. A.J.D. was supported by funding from the Australian Government's National Environmental Science Program. D.W.J.T. was supported by the NSF Climate and Large-Scale Dynamics Program. We thank T. Cowan and B. Trewin at the Bureau of Meteorology for their constructive feedback on the manuscript. We also thank M. Griffiths at the Bureau of Meteorology for processing AWAP data for the analysis of the study. This research was undertaken at the NCI National Facility in Canberra, Australia, which is supported by the Australian Commonwealth Government. The NCAR Command Language (NCL; http://www.ncl.ucar.edu) version 6.4.0 was used for data analysis and visualization of the results. We also acknowledge NCAR/UCAR, NOAA, ECMWF and the Japanese Met Agent for producing and providing the Hurrell et al. (2008) SST analysis, the Reynolds OI v2 SST analysis, the ERA-Interim reanalysis and the JRA-55 reanalysis, respectively.</t>
  </si>
  <si>
    <t>10.1038/s41561-019-0456-x</t>
  </si>
  <si>
    <t>JJ1FI</t>
  </si>
  <si>
    <t>WOS:000493905700009</t>
  </si>
  <si>
    <t>Wille, JD; Favier, V; Dufour, A; Gorodetskaya, IV; Turner, J; Agosta, C; Codron, F</t>
  </si>
  <si>
    <t>Wille, Jonathan D.; Favier, Vincent; Dufour, Ambroise; Gorodetskaya, Irina V.; Turner, John; Agosta, Cecile; Codron, Francis</t>
  </si>
  <si>
    <t>West Antarctic surface melt triggered by atmospheric rivers</t>
  </si>
  <si>
    <t>C ICE SHELF; CLIMATE; IMPACTS; EVENT; MODEL; OCEAN</t>
  </si>
  <si>
    <t>Recent major melting events in West Antarctica have raised concerns about a potential hydrofracturing and ice shelf instability. These events often share common forcings of surface melt-like anomalous radiative fluxes, turbulent heat fluxes and fohn winds. Using an atmospheric river detection algorithm developed for Antarctica together with surface melt datasets, we produced a climatology of atmospheric river-related surface melting around Antarctica and show that atmospheric rivers are associated with a large percentage of these surface melt events. Despite their rarity (around 12 events per year in West Antarctica), atmospheric rivers are associated with around 40% of the total summer meltwater generated across the Ross Ice Shelf to nearly 100% in the higher elevation Marie Byrd Land and 40-80% of the total winter meltwater generated on the Wilkins, Bach, George IV and Larsen B and C ice shelves. These events were all related to high-pressure blocking ridges that directed anomalous poleward moisture transport towards the continent. Major melt events in the West Antarctic Ice Sheet only occur about a couple times per decade, but a 1-2 degrees C warming and continued increase in atmospheric river activity could increase the melt frequency with consequences for ice shelf stability.</t>
  </si>
  <si>
    <t>[Wille, Jonathan D.; Favier, Vincent; Dufour, Ambroise] UGA, CNRS, Inst Geosci Environm, St Martin Dheres, France; [Gorodetskaya, Irina V.] Univ Aveiro, Dept Phys, Ctr Environm &amp; Marine Studies, CESAM, Aveiro, Portugal; [Turner, John] British Antarctic Survey, Cambridge, England; [Agosta, Cecile] Univ Paris Saclay, Lab Sci Climat &amp; Environm, UVSQ, LSCE,IPSL,CEA,CNRS, Gif Sur Yvette, France; [Codron, Francis] Sorbonne Univ, LOCEAN, Paris, France</t>
  </si>
  <si>
    <t>Communaute Universite Grenoble Alpes; Universite Grenoble Alpes (UGA); Centre National de la Recherche Scientifique (CNRS); Universidade de Aveiro; UK Research &amp; Innovation (UKRI); Natural Environment Research Council (NERC); NERC British Antarctic Survey; Universite Paris Cite; Universite Paris Saclay; CEA; Centre National de la Recherche Scientifique (CNRS); Museum National d'Histoire Naturelle (MNHN); Sorbonne Universite</t>
  </si>
  <si>
    <t>Wille, JD (corresponding author), UGA, CNRS, Inst Geosci Environm, St Martin Dheres, France.</t>
  </si>
  <si>
    <t>Jonathan.Wille@univ-grenoble-alpes.fr</t>
  </si>
  <si>
    <t>Wille, Jonathan/KFQ-5871-2024; Agosta, Cécile/HLQ-5577-2023; Dufour, Ambroise/AAK-8976-2020; Dufour, Ambroise/AAH-1985-2021; Gorodetskaya, Irina/K-1987-2015; Favier, Vincent/T-1936-2017; Codron, Francis/F-2719-2014; Agosta, Cecile/B-9625-2013</t>
  </si>
  <si>
    <t>Dufour, Ambroise/0000-0003-0146-4483; Gorodetskaya, Irina/0000-0002-2294-7823; Favier, Vincent/0000-0001-6024-9498; Codron, Francis/0000-0001-7038-6189; Agosta, Cecile/0000-0003-4091-1653; Wille, Jonathan/0000-0002-3918-5204</t>
  </si>
  <si>
    <t>Agence Nationale de la Recherche [ANR-14-CE01-0001, ANR-16-CE01-0011, ANR-15-CE01-0015]; FCT/MCTES [UID/AMB/50017/2019]; Fondation Albert 2 de Monaco under project Antarctic-Snow (2018-2020); F.R.S.-FNRS [2.5020.11]; Agence Nationale de la Recherche (ANR) [ANR-15-CE01-0015, ANR-16-CE01-0011, ANR-14-CE01-0001] Funding Source: Agence Nationale de la Recherche (ANR); NERC [bas0100032] Funding Source: UKRI</t>
  </si>
  <si>
    <t>Agence Nationale de la Recherche(Agence Nationale de la Recherche (ANR)); FCT/MCTES(Fundacao para a Ciencia e a Tecnologia (FCT)); Fondation Albert 2 de Monaco under project Antarctic-Snow (2018-2020); F.R.S.-FNRS(Fonds de la Recherche Scientifique - FNRS); Agence Nationale de la Recherche (ANR)(Agence Nationale de la Recherche (ANR)); NERC(UK Research &amp; Innovation (UKRI)Natural Environment Research Council (NERC))</t>
  </si>
  <si>
    <t>This study is part of the PhD project of J.D.W. conducted at the Universite Grenoble Alpes. We acknowledge support from the Agence Nationale de la Recherche, projects ANR-14-CE01-0001 (ASUMA), ANR-16-CE01-0011 (EAIIST) and ANR-15-CE01-0015 (AC-AHC2). I.V.G. thanks FCT/MCTES for the financial support to CESAM (UID/AMB/50017/2019) through national funds. C.A. acknowledges support from the Fondation Albert 2 de Monaco under project Antarctic-Snow (2018-2020). C.A. performed the MAR simulations during her Belgian Fund for Scientific Research (F.R.S.-FNRS) research fellowship. Computational resources were provided by the Consortium des Equipements de Calcul Intensif (CECI), funded by the F.R.S.-FNRS under grant no. 2.5020.11.</t>
  </si>
  <si>
    <t>10.1038/s41561-019-0460-1</t>
  </si>
  <si>
    <t>WOS:000493905700012</t>
  </si>
  <si>
    <t>Anchordoqui, LA; Canal, CG; Soriano, JF</t>
  </si>
  <si>
    <t>Anchordoqui, Luis A.; Canal, Carlos Garcia; Soriano, Jorge F.</t>
  </si>
  <si>
    <t>Probing strong dynamics with cosmic neutrinos</t>
  </si>
  <si>
    <t>PHYSICAL REVIEW D</t>
  </si>
  <si>
    <t>FINAL-STATES; BLACK-HOLES; SEARCH</t>
  </si>
  <si>
    <t>IceCube has observed 80 astrophysical neutrino candidates in the energy range 0.02 less than or similar to E-v/PeV less than or similar to 2. Deep inelastic scattering of these neutrinos with nucleons on Antarctic ice sheet probe center-of-mass energies root s similar to 1 TeV. By comparing the rates for two classes of observable events, any departure from the benchmark (perturbative QCD) neutrino-nucleon cross section can be constrained. Using the projected sensitivity of South Pole next-generation neutrino telescope we show that this facility will provide a unique probe of strong interaction dynamics. In particular, we demonstrate that the high-energy high-statistics data sample to be recorded by IceCube-Gen2 in the very near future will deliver a direct measurement of the neutrino-nucleon cross section at root s similar to 1 TeV, with a precision comparable to perturbative QCD informed by HERA data. We also use IceCube data to extract the neutrino-nucleon cross section at root s similar to 1 TeV through a likelihood analysis, considering (for the first time) both the charged-current and neutral-current contributions as free parameters of the likelihood function.</t>
  </si>
  <si>
    <t>[Anchordoqui, Luis A.; Soriano, Jorge F.] CUNY, Lehman Coll, Dept Phys &amp; Astron, New York, NY 10468 USA; [Anchordoqui, Luis A.] CUNY, Grad Ctr, Dept Phys, New York, NY 10016 USA; [Anchordoqui, Luis A.] Amer Museum Nat Hist, Dept Astrophys, New York, NY 10024 USA; [Canal, Carlos Garcia] Univ Nacl La Plata, Inst Fis La Plata, CONICET, Dept Fis,Fac Ciencias Exactas, CC 69, RA-1900 La Plata, Buenos Aires, Argentina</t>
  </si>
  <si>
    <t>City University of New York (CUNY) System; Lehman College (CUNY); City University of New York (CUNY) System; American Museum of Natural History (AMNH); National University of La Plata; Consejo Nacional de Investigaciones Cientificas y Tecnicas (CONICET)</t>
  </si>
  <si>
    <t>Anchordoqui, LA (corresponding author), CUNY, Lehman Coll, Dept Phys &amp; Astron, New York, NY 10468 USA.;Anchordoqui, LA (corresponding author), CUNY, Grad Ctr, Dept Phys, New York, NY 10016 USA.;Anchordoqui, LA (corresponding author), Amer Museum Nat Hist, Dept Astrophys, New York, NY 10024 USA.</t>
  </si>
  <si>
    <t>Fernandez Soriano, Jorge/0000-0002-6253-7378</t>
  </si>
  <si>
    <t>U.S. National Science Foundation (NSF) [PHY-1620661]; National Aeronautics and Space Administration (NASA) [80NSSC18K0464]; ANPCyT</t>
  </si>
  <si>
    <t>U.S. National Science Foundation (NSF)(National Science Foundation (NSF)); National Aeronautics and Space Administration (NASA)(National Aeronautics &amp; Space Administration (NASA)); ANPCyT(ANPCyT)</t>
  </si>
  <si>
    <t>We thank Subir Sarkar for permission to reproduce Fig. 1. L. A. A. and J. F. S. are supported by U.S. National Science Foundation (NSF Grant No. PHY-1620661) and by the National Aeronautics and Space Administration (NASA 80NSSC18K0464). C. G. C. is supported by ANPCyT. Any opinions, findings, and conclusions or recommendations expressed in this material are those of the authors and do not necessarily reflect the views of NSF or NASA.</t>
  </si>
  <si>
    <t>2470-0010</t>
  </si>
  <si>
    <t>2470-0029</t>
  </si>
  <si>
    <t>PHYS REV D</t>
  </si>
  <si>
    <t>Phys. Rev. D</t>
  </si>
  <si>
    <t>10.1103/PhysRevD.100.103001</t>
  </si>
  <si>
    <t>Astronomy &amp; Astrophysics; Physics, Particles &amp; Fields</t>
  </si>
  <si>
    <t>Astronomy &amp; Astrophysics; Physics</t>
  </si>
  <si>
    <t>JJ1DY</t>
  </si>
  <si>
    <t>WOS:000493902000001</t>
  </si>
  <si>
    <t>Castillo, S; de Aranzamendi, MC; Martínez, JJ; Sahade, R</t>
  </si>
  <si>
    <t>Castillo, Santiago; Carla de Aranzamendi, Maria; Jose Martinez, Juan; Sahade, Ricardo</t>
  </si>
  <si>
    <t>Phenotypic selection by kelp gulls against pear-shaped shells of the Antarctic limpet Nacella concinna</t>
  </si>
  <si>
    <t>BIOLOGICAL JOURNAL OF THE LINNEAN SOCIETY</t>
  </si>
  <si>
    <t>ecotypes; elliptic Fourier analyses; Larus dominicanus; phenotypic selection; predation; shape</t>
  </si>
  <si>
    <t>KING GEORGE ISLAND; OYSTERCATCHERS HAEMATOPUS-OSTRALEGUS; ANTIPREDATOR BEHAVIOR; LARUS-DOMINICANUS; PREDATION; SIZE; MORPHOLOGY; DIFFERENTIATION; MORPHOTYPES; REGRESSION</t>
  </si>
  <si>
    <t>The Antarctic limpet (Nacella concinna) presents two ecotypes related to different water depths: littoral individuals have a robust and taller shell while sublittoral individuals are thinner and flatter. Among the environmental factors possibly causing this divergence, avian predation upon littoral individuals has been mooted but has received little research attention. The kelp gull (Larus dominicanus) is the principal consumer of littoral limpets in the study area. We used shells from littoral and sublittoral zones, and from gull middens to examine - through linear morphometrics and elliptic Fourier analysis - whether selective predation exists, and to evaluate the mode of selection that could be operating on different traits. We found that limpet individuals with the apex displaced towards the anterior side were more likely to be predated. However, a remarkable result was that gulls select dorsal pear-shaped rather than elliptical shells and that there is a directional selection against pear-shaped limpets. However, in contrast to previous studies, we did not find that the proportions of elliptical or pear-shaped individuals differed between the littoral and sublittoral zones. This discrepancy could be related to variations in predatory intensity in different locations. These results suggest that where gulls have a strong influence, their effect could be a key factor in dorsal differentiation in limpet shells.</t>
  </si>
  <si>
    <t>[Castillo, Santiago; Carla de Aranzamendi, Maria; Sahade, Ricardo] Univ Nacl Cordoba, Fac Ciencias Exactas Fis &amp; Nat, Av Velez Sarsfield 299, Cordoba, Argentina; [Carla de Aranzamendi, Maria; Sahade, Ricardo] Consejo Nacl Invest Cient &amp; Tecn, Idea, Av Velez Sarsfield 299, Cordoba, Argentina; [Jose Martinez, Juan] Consejo Nacl Invest Cient &amp; Tecn, Inst Ecorreg Andinas INECOA, C Gorriti 237, RA-4600 San Salvador De Jujuy, Argentina; [Jose Martinez, Juan] Univ Nacl Jujuy, C Gorriti 237, RA-4600 San Salvador De Jujuy, Argentina</t>
  </si>
  <si>
    <t>National University of Cordoba; Consejo Nacional de Investigaciones Cientificas y Tecnicas (CONICET); Consejo Nacional de Investigaciones Cientificas y Tecnicas (CONICET)</t>
  </si>
  <si>
    <t>de Aranzamendi, MC; Sahade, R (corresponding author), Univ Nacl Cordoba, Fac Ciencias Exactas Fis &amp; Nat, Av Velez Sarsfield 299, Cordoba, Argentina.;de Aranzamendi, MC; Sahade, R (corresponding author), Consejo Nacl Invest Cient &amp; Tecn, Idea, Av Velez Sarsfield 299, Cordoba, Argentina.</t>
  </si>
  <si>
    <t>mcdearanzamendi@conicet.gov.ar; rsahade@unc.edu.ar</t>
  </si>
  <si>
    <t>Martinez, Juan Jose/AAG-4611-2020</t>
  </si>
  <si>
    <t>Martinez, Juan Jose/0000-0001-7961-3042; de Aranzamendi, Maria Carla/0000-0003-4442-0384</t>
  </si>
  <si>
    <t>FONCyT [PICTO-20100119]; Consejo Interuniversitario Nacional (CIN)</t>
  </si>
  <si>
    <t>FONCyT(FONCyT); Consejo Interuniversitario Nacional (CIN)</t>
  </si>
  <si>
    <t>We are grateful to the Instituto Antartico Argentino (IAA) for logistical support. We thank Gaston Alurralde for his valuable assistance during fieldwork and his help in performing graphics with Rstudio. Also, Maricel Grana for collecting some midden shells and J. Smit for her revision of the English text. We thank the three anonymous reviewers for their helpful comments on the manuscript. FONCyT (PICTO-20100119 to R.S.) and Consejo Interuniversitario Nacional (CIN; Scholarship granted to S. C.) supported this work. Finally, S.C. thanks the Public University of Argentina. The authors declare no conflicts of interest.</t>
  </si>
  <si>
    <t>0024-4066</t>
  </si>
  <si>
    <t>1095-8312</t>
  </si>
  <si>
    <t>BIOL J LINN SOC</t>
  </si>
  <si>
    <t>Biol. J. Linnean Soc.</t>
  </si>
  <si>
    <t>10.1093/biolinnean/blz128</t>
  </si>
  <si>
    <t>Evolutionary Biology</t>
  </si>
  <si>
    <t>JI4TF</t>
  </si>
  <si>
    <t>WOS:000493459600021</t>
  </si>
  <si>
    <t>de Souza, MM; Mathis, M; Pohlmann, T</t>
  </si>
  <si>
    <t>de Souza, Mihael M.; Mathis, Moritz; Pohlmann, Thomas</t>
  </si>
  <si>
    <t>Driving mechanisms of the variability and long-term trend of the Brazil-Malvinas confluence during the 21st century</t>
  </si>
  <si>
    <t>CLIMATE DYNAMICS</t>
  </si>
  <si>
    <t>Climate change; RCP8.5; Antarctic circumpolar current; LightGBM; MPI-ESM; HAMSOM</t>
  </si>
  <si>
    <t>SOUTHERN ANNULAR MODE; NORTH-SEA; CIRCULATION; OCEAN; THERMOCLINE; REANALYSIS; SIMULATION; LEAKAGE; REGION; WATER</t>
  </si>
  <si>
    <t>Over the last decade, several studies have identified a southward drift of the mean meridional position of the Brazil-Malvinas confluence (BMC). Although this trend has been ascribed to different mechanisms, the most recent study found a reduction of the Malvinas current (MC) as the main reason behind it. It is unclear, however, how this mechanism would persist in the face of global warming and under projected increased winds over the Southern Ocean, as the response of the Antarctic Circumpolar Current (ACC) varies within different Earth System Models (ESM), ultimately impacting the MC. We ran a high-resolution (1/12 degrees) ocean model driven with results from the Max-Planck-Institute-ESM to verify how the confluence will respond to anthropogenic climate change, by downscaling results from the pre-industrial control and RCP8.5 scenarios. Our results show that the southward confluence shift is only persistent under anthropogenic forcing and is led by a reduction of the MC volume transport. This reduction of the Malvinas transport is induced by a shift of the main ACC flow closer to Antarctica's shelf, in response to a southward movement of the westerlies band, even if no long-term changes on the total ACC transport can be found. Our results corroborate previous evidence regarding the MC as the main responsible behind the observed BMC southward shift in the recent past but points toward anthropogenic climate change as the triggering mechanism, with various effects cascading from its impact on the Southern Ocean. This also has consequences for the BMC variability, whose amplitude reduces as we approach the end of the 21st century.</t>
  </si>
  <si>
    <t>[de Souza, Mihael M.; Pohlmann, Thomas] Univ Hamburg, Inst Meereskunde, Hamburg, Germany; [Mathis, Moritz] Max Planck Inst Meteorol, Hamburg, Germany</t>
  </si>
  <si>
    <t>University of Hamburg; Max Planck Society</t>
  </si>
  <si>
    <t>de Souza, MM (corresponding author), Univ Hamburg, Inst Meereskunde, Hamburg, Germany.</t>
  </si>
  <si>
    <t>mihaelsouza@gmail.com</t>
  </si>
  <si>
    <t>Machado de Souza, Mihael/0000-0002-3526-8221</t>
  </si>
  <si>
    <t>Deutscher Akademischer Austauschdienst (DAAD) [57214224]</t>
  </si>
  <si>
    <t>Deutscher Akademischer Austauschdienst (DAAD)(Deutscher Akademischer Austausch Dienst (DAAD))</t>
  </si>
  <si>
    <t>Mihael M. de Souza would like to thank the Deutscher Akademischer Austauschdienst (DAAD) for the financial support (Research Grant - Doctoral Programmes in Germany, 2016/17 (57214224)). Supercomputing resources and data storage capacities have been provided by the Deutsches Klimarechenzentrum (DKRZ), Hamburg. We would also like to acknowledge the contribution of the two anonymous reviewers who revised the manuscript.</t>
  </si>
  <si>
    <t>0930-7575</t>
  </si>
  <si>
    <t>1432-0894</t>
  </si>
  <si>
    <t>CLIM DYNAM</t>
  </si>
  <si>
    <t>Clim. Dyn.</t>
  </si>
  <si>
    <t>9-10</t>
  </si>
  <si>
    <t>10.1007/s00382-019-04942-7</t>
  </si>
  <si>
    <t>JI4XE</t>
  </si>
  <si>
    <t>WOS:000493469900073</t>
  </si>
  <si>
    <t>Farmery, AK; Ogier, E; Gardner, C; Jabour, J</t>
  </si>
  <si>
    <t>Farmery, Anna K.; Ogier, Emily; Gardner, Caleb; Jabour, Julia</t>
  </si>
  <si>
    <t>Incorporating ecologically sustainable development policy goals within fisheries management: An assessment of integration and coherence in an Australian context</t>
  </si>
  <si>
    <t>JOURNAL OF ENVIRONMENTAL MANAGEMENT</t>
  </si>
  <si>
    <t>Policy analysis; Internal coherence; Sub-national fisheries management; Legislative objectives; Public policy</t>
  </si>
  <si>
    <t>ECOSYSTEM APPROACH; SOCIAL OBJECTIVES; EUROPEAN-UNION; FRAMEWORK; IMPLEMENTATION; ENVIRONMENT; DEFINITION; GOVERNANCE; PRINCIPLES; GOVERNMENT</t>
  </si>
  <si>
    <t>Managing fisheries to meet social, economic and ecological objectives is a fundamental problem encountered in fisheries management worldwide. In Australia, fisheries management involves a complex set of national and sub-national policy arrangements, including those designed to deliver against ecologically sustainable development (ESD) objectives. The complex policy framework makes ensuring policy coherence and avoiding unintended consequences difficult, particularly where potential trade-offs are not made explicit. Coherence, or potential policy weakness, of Australian fisheries management in relation to ESD objectives was examined in a subset of Australian wild capture fisheries, at national and jurisdictional scales. Coherent policy frameworks with ESD objectives were found to be more likely at the legislative-level across jurisdictions (horizontal coherence), than other levels of implementation. Many fisheries had problems demonstrating coherence between legislation and management plans due to lack of inclusion of ESD policy themes at management and operational levels. Case studies revealed substantial variation in the likelihood for horizontal and vertical coherence between fisheries policy frameworks managing the same species. The lack of explicit ESD objectives observed in many Australian fisheries suggests a high likelihood of incoherence in fisheries management, or alternatively that managers may be informally persuing higher levels of policy coordination and coherence than can be detected. Lack of detectability of coherence is problematic for demonstrating accountability and transparency in decision-making and public policy. Furthermore, use of discretion by managers when developing management plans, in order to overcome policy weakness, may lead to drifts in individual management direction within a jurisdiction.</t>
  </si>
  <si>
    <t>[Farmery, Anna K.] Univ Wollongong, Australian Natl Ctr Ocean Resources &amp; Secur, Wollongong, NSW 2500, Australia; [Ogier, Emily; Gardner, Caleb; Jabour, Julia] Univ Tasmania, Inst Marine &amp; Antarctic Studies, Hobart, Tas 7001, Australia</t>
  </si>
  <si>
    <t>University of Wollongong; University of Tasmania</t>
  </si>
  <si>
    <t>Farmery, AK (corresponding author), Univ Wollongong, Australian Natl Ctr Ocean Resources &amp; Secur, Wollongong, NSW 2500, Australia.</t>
  </si>
  <si>
    <t>afarmery@uow.edu.au; emily.ogier@utas.edu.au; gardner@utas.edu.au; jabour@utas.edu.au</t>
  </si>
  <si>
    <t>Jabour, Julia A/J-7882-2014; Farmery, Anna/H-9696-2014</t>
  </si>
  <si>
    <t>Farmery, Anna/0000-0002-8938-0040; Ogier, Emily/0000-0001-6157-5279</t>
  </si>
  <si>
    <t>Fisheries Research and Development Organisation (FRDC) [2013-204]</t>
  </si>
  <si>
    <t>Fisheries Research and Development Organisation (FRDC)</t>
  </si>
  <si>
    <t>This work was supported by the Fisheries Research and Development Organisation (FRDC) [grant number 2013-204].</t>
  </si>
  <si>
    <t>0301-4797</t>
  </si>
  <si>
    <t>1095-8630</t>
  </si>
  <si>
    <t>J ENVIRON MANAGE</t>
  </si>
  <si>
    <t>J. Environ. Manage.</t>
  </si>
  <si>
    <t>10.1016/j.jenvman.2019.07.001</t>
  </si>
  <si>
    <t>JH5GQ</t>
  </si>
  <si>
    <t>WOS:000492797500012</t>
  </si>
  <si>
    <t>Spacht, DE; Gantz, JD; Lee, RE; Denlinger, DL</t>
  </si>
  <si>
    <t>Spacht, Drew E.; Gantz, J. D.; Lee, Richard E., Jr.; Denlinger, David L.</t>
  </si>
  <si>
    <t>Onset of seasonal metabolic depression in the Antarctic midge Belgica antarctica appears to be independent of environmental cues</t>
  </si>
  <si>
    <t>PHYSIOLOGICAL ENTOMOLOGY</t>
  </si>
  <si>
    <t>dehydration; diapause; metabolic rates; photoperiod; polar biology; seasonality</t>
  </si>
  <si>
    <t>GALL FLY; DIAPAUSE; LARVAE; DEHYDRATION; RHYTHMS; STRESS; ADULTS</t>
  </si>
  <si>
    <t>Seasonal progression is tracked in most animals by changes in daylength, thus allowing reliable synchrony with abundant food and favourable developmental conditions. In polar regions, daylength varies extensively, fluctuating at the highest latitudes from persistent light to persistent dark. The Antarctic midge Belgica antarctica has a narrow seasonal window in which to feed and develop, and previous work shows that this insect, despite having the elements of a circadian clock, remains continuously active when temperatures are permissive. The present study aims to clarify seasonal tracking in B. antarctica during the austral summer by monitoring oxygen consumption rates in a field population and in experimental groups exposed to shortened daylength, dehydration and chilling. Remarkably, during March, coordinated decreases in oxygen consumption are observed, ranging from 18% to 42%, in all treatment groups, indicating an anticipatory response to seasonal change regardless of the environmental cues. These results suggest that B. antarctica relies on an intrinsic mechanism to program metabolic depression at the onset of the long austral winter.</t>
  </si>
  <si>
    <t>[Spacht, Drew E.; Denlinger, David L.] Ohio State Univ, Dept Evolut Ecol &amp; Organismal Biol, 300 Aronoff Lab,318W 12th Ave, Columbus, OH 43210 USA; [Gantz, J. D.; Lee, Richard E., Jr.] Miami Univ, Dept Biol, Oxford, OH 45056 USA; [Denlinger, David L.] Ohio State Univ, Dept Entomol, 1735 Neil Ave, Columbus, OH 43210 USA</t>
  </si>
  <si>
    <t>University System of Ohio; Ohio State University; University System of Ohio; Miami University; University System of Ohio; Ohio State University</t>
  </si>
  <si>
    <t>Spacht, DE (corresponding author), Ohio State Univ, Dept Evolut Ecol &amp; Organismal Biol, 300 Aronoff Lab,318W 12th Ave, Columbus, OH 43210 USA.</t>
  </si>
  <si>
    <t>spacht.2@osu.edu</t>
  </si>
  <si>
    <t>Spacht, Drew/0000-0002-3651-114X</t>
  </si>
  <si>
    <t>National Science Foundation [PLR-1341385, PLR-1341393]</t>
  </si>
  <si>
    <t>We thank the staff of Palmer Station and the crew of the R/V Laurence M. Gould for their tireless support of our research efforts in Antarctica, as well as Drs Michael Elnitsky and Julie Reynolds for helpful comments on a draft of the manuscript. This project was supported by National Science Foundation Grants PLR-1341385 and PLR-1341393. The authors declare no that they have conflicts of interest.</t>
  </si>
  <si>
    <t>0307-6962</t>
  </si>
  <si>
    <t>1365-3032</t>
  </si>
  <si>
    <t>PHYSIOL ENTOMOL</t>
  </si>
  <si>
    <t>Physiol. Entomol.</t>
  </si>
  <si>
    <t>10.1111/phen.12311</t>
  </si>
  <si>
    <t>KI5YZ</t>
  </si>
  <si>
    <t>WOS:000493572600001</t>
  </si>
  <si>
    <t>Eaves, SR; Winckler, G; Mackintosh, AN; Schaefer, JM; Townsend, DB; Doughty, AM; Jones, RS; Leonard, GS</t>
  </si>
  <si>
    <t>Eaves, Shaun R.; Winckler, Gisela; Mackintosh, Andrew N.; Schaefer, Joerg M.; Townsend, Dougal B.; Doughty, Alice M.; Jones, R. Selwyn; Leonard, Graham S.</t>
  </si>
  <si>
    <t>Late-glacial and Holocene glacier fluctuations in North Island, New Zealand</t>
  </si>
  <si>
    <t>Holocene; Quaternary; Glaciation; Paleoclimatology; Southern pacific; Cosmogenic isotopes; Geomorphology; Glacial</t>
  </si>
  <si>
    <t>PRODUCTION-RATE CALIBRATION; NUCLIDE PRODUCTION-RATES; SOUTHERN ANNULAR MODE; RAKAIA VALLEY; CLIMATE; ALPS; TEMPERATURE; BE-10; SEASONALITY; MAXIMUM</t>
  </si>
  <si>
    <t>Geological records of past glacier extent can yield important constraints on the timing and magnitude of pre-historic climate change. Here we present a cosmogenic He-3 moraine chronology from Mt. Ruapehu in central North Island, New Zealand that records fluctuations of New Zealand's northernmost glaciers over the last 14,000 years. In the Mangaehuehu Glacier catchment, exposure ages and geomorphic observations at our most distal moraine site, relative to the current glacier margin, show that glacial retreat during the last glacial termination was interrupted by one or more readvances between 14 and 11 ka. Further up-valley, moraine boulders deposited at 4.5 ka indicate that glaciers were more extensive during the mid-Holocene than at any later time. The youngest exposure ages in our study, 150-450 years, constrain the formation of moraines situated within 500 m from the present-day Mangaehuehu Glacier terminus. These ages are in agreement with historic sources that show the glacier close to these moraine limits approximately 100 years ago. Overall our data show that glaciers on Mt. Ruapehu retreated c. 3 km since 14 ka, in response to a net rise in the local equlibrium line altitude of c. 400 m. The magnitude of post-industrial snowline rise and glacier retreat on Mt. Ruapehu is also consistent with instrumental temperature data that record approximately 0.9 degrees C of warming during the 20th century. (C) 2019 Elsevier Ltd. All rights reserved.</t>
  </si>
  <si>
    <t>[Eaves, Shaun R.] Victoria Univ Wellington, Antarctic Res Ctr, POB 600, Wellington 6140, New Zealand; [Eaves, Shaun R.] Victoria Univ Wellington, Sch Geog Environm &amp; Earth Sci, POB 600, Wellington 6140, New Zealand; [Winckler, Gisela; Schaefer, Joerg M.] Columbia Univ, Lamont Doherty Earth Observ, Palisades, NY 10964 USA; [Mackintosh, Andrew N.] Monash Univ, Sch Earth Atmosphere &amp; Environm, Room 124,9 Rainforest Walk, Clayton, Vic 3800, Australia; [Townsend, Dougal B.; Leonard, Graham S.] GNS Sci, POB 30-368, Lower Hutt 5040, New Zealand; [Doughty, Alice M.] Bates Coll, 2 Andrews Rd, Lewiston, ME 04240 USA; [Jones, R. Selwyn] Univ Durham, Dept Geog, South Rd, Durham DH1 3LE, England</t>
  </si>
  <si>
    <t>Victoria University Wellington; Victoria University Wellington; Columbia University; Monash University; GNS Science - New Zealand; Durham University</t>
  </si>
  <si>
    <t>Eaves, SR (corresponding author), Victoria Univ Wellington, Antarctic Res Ctr, POB 600, Wellington 6140, New Zealand.</t>
  </si>
  <si>
    <t>shaun.eaves@vuw.ac.nz</t>
  </si>
  <si>
    <t>Leonard, Graham/B-5617-2012; Jones, Richard Selwyn/AAJ-3949-2021</t>
  </si>
  <si>
    <t>Leonard, Graham/0000-0002-4859-0180; Jones, Richard Selwyn/0000-0003-2988-0999; Mackintosh, Andrew/0000-0002-6430-4711; Eaves, Shaun/0000-0003-0444-631X</t>
  </si>
  <si>
    <t>Victoria University of Wellington, New Zealand Doctoral Scholarship; Antarctic Research Centre Endowed Development Fund; Royal Society of New Zealand Marsden Fund Fast Start grant [VUW1605]; Dept. of Conservation [DM-593774]</t>
  </si>
  <si>
    <t>Victoria University of Wellington, New Zealand Doctoral Scholarship; Antarctic Research Centre Endowed Development Fund; Royal Society of New Zealand Marsden Fund Fast Start grant(Royal Society of New Zealand); Dept. of Conservation</t>
  </si>
  <si>
    <t>S.R. Eaves was supported by the Victoria University of Wellington, New Zealand Doctoral Scholarship, the Antarctic Research Centre Endowed Development Fund, and a Royal Society of New Zealand Marsden Fund Fast Start grant (contract VUW1605). Sascha Serno, Linda Baker, and Jen Lamp assisted with helium data generation and reduction. Permission for sample collection in Tongariro National Park was granted by Dept. of Conservation contract DM-593774. We thank Tim Barrows and Andrew Lorrey for constructive reviews of this manuscript.</t>
  </si>
  <si>
    <t>10.1016/j.quascirev.2019.105914</t>
  </si>
  <si>
    <t>JI1IY</t>
  </si>
  <si>
    <t>WOS:000493220300002</t>
  </si>
  <si>
    <t>Gandy, N; Gregoire, LJ; Ely, JC; Cornford, SL; Clark, CD; Hodgson, DM</t>
  </si>
  <si>
    <t>Gandy, Niall; Gregoire, Lauren J.; Ely, Jeremy C.; Cornford, Stephen L.; Clark, Christopher D.; Hodgson, David M.</t>
  </si>
  <si>
    <t>Exploring tile ingredients required to successfully model the placement, generation, and evolution of ice streams in the British-Irish Ice Sheet</t>
  </si>
  <si>
    <t>British-Irish Ice Sheet; Ice streams; Basal hydrology; Ice sheet modelling; Model-data intercomparison</t>
  </si>
  <si>
    <t>LAST GLACIAL MAXIMUM; RELATIVE SEA-LEVEL; SOUTHERN NORTH-SEA; SUBGLACIAL DRAINAGE; NUMERICAL SIMULATIONS; WEST ANTARCTICA; FLOW DIRECTION; SHELF-EDGE; GREENLAND; RETREAT</t>
  </si>
  <si>
    <t>Ice stream evolution is a major uncertainty in projections of the future of the Greenland and Antarctic Ice sheets. Accurate simulation of ice stream evolution requires an understanding of a number of ingredients that control the location and behaviour of ice stream flow. Here, we test the influence of geothermal heat flux, grid resolution, and bed hydrology on simulated ice streaming. The palaeo-record provides snapshots of ice stream evolution, with a particularly well constrained ice sheet being the British-Irish Ice Sheet (BIIS). We implement a new basal sliding scheme coupled with thermo-mechanics into the BISICLES ice sheet model, to simulate the evolution of the BIIS ice streams. We find that the simulated location and spacing of ice streams matches well with the empirical reconstructions of ice stream flow in terms of position and direction when simple bed hydrology is included. We show that the new basal sliding scheme allows the accurate simulation for the majority of BIIS ice streams. The extensive empirical record of the BIIS has allowed the testing of model inputs, and has helped demonstrate the skill of the ice sheet model in simulating the evolution of the location, spacing, and migration of ice streams through millennia. Simulated ice streams also prompt new empirical mapping of features indicative of streaming in the North Channel region. Ice sheet model development has allowed accurate simulation of the palaeo record, and allows for improved modelling of future ice stream behaviour. (C) 2019 The Authors. Published by Elsevier Ltd.</t>
  </si>
  <si>
    <t>[Gandy, Niall; Gregoire, Lauren J.; Hodgson, David M.] Univ Leeds, Sch Earth &amp; Environm, Leeds LS2 9JT, W Yorkshire, England; [Ely, Jeremy C.; Clark, Christopher D.] Univ Sheffield, Dept Geog, Sheffield S10 2TN, S Yorkshire, England; [Cornford, Stephen L.] Swansea Univ, Dept Geog, Swansea SA2 8PP, W Glam, Wales</t>
  </si>
  <si>
    <t>University of Leeds; University of Sheffield; Swansea University</t>
  </si>
  <si>
    <t>Gandy, N (corresponding author), Univ Leeds, Sch Earth &amp; Environm, Leeds LS2 9JT, W Yorkshire, England.</t>
  </si>
  <si>
    <t>eeng@leeds.ac.uk</t>
  </si>
  <si>
    <t>Gregoire, Lauren J/A-7005-2011; Clark, Chris D/C-3830-2009; Hodgson, David/P-9100-2015</t>
  </si>
  <si>
    <t>Gregoire, Lauren J/0000-0003-0258-7282; Gandy, Niall/0000-0003-4848-4203</t>
  </si>
  <si>
    <t>Natural Environment Research Council (NERC) [NE/L002574/1]; UKRI Future Leaders Fellowship [MR/S016961/1]; NERC [NE/R014574/1]; NERC consortium grant; BRITICE-CHRONO [NE/J009768/1]; British Geological Survey; FLF [MR/S016961/1] Funding Source: UKRI; NERC [NE/R014574/1, NE/J009768/1] Funding Source: UKRI</t>
  </si>
  <si>
    <t>Natural Environment Research Council (NERC)(UK Research &amp; Innovation (UKRI)Natural Environment Research Council (NERC)); UKRI Future Leaders Fellowship(UK Research &amp; Innovation (UKRI)); NERC(UK Research &amp; Innovation (UKRI)Natural Environment Research Council (NERC)); NERC consortium grant; BRITICE-CHRONO; British Geological Survey; FLF; NERC(UK Research &amp; Innovation (UKRI)Natural Environment Research Council (NERC))</t>
  </si>
  <si>
    <t>We thank Richard CA Hindmarsh for his constructive comments on this manuscript. NG was funded by a studentship from the Natural Environment Research Council (NERC) SPHERES Doctoral Training Partnership (NE/L002574/1) with CASE support from the British Geological Survey. LJG was funded by a UKRI Future Leaders Fellowship (MR/S016961/1)). This work was undertaken on ARC3, part of the High Performance Computing facilities at the University of Leeds, UK. JCE was funded by a NERC independent fellowship award (NE/R014574/1). This work is aligned with the NERC consortium grant; BRITICE-CHRONO (NE/J009768/1). We thank two anonymous reviews for their constructive feedback to improve the manuscript.</t>
  </si>
  <si>
    <t>1873-457X</t>
  </si>
  <si>
    <t>10.1016/j.quascirev.2019.105915</t>
  </si>
  <si>
    <t>Green Published, hybrid, Green Accepted</t>
  </si>
  <si>
    <t>WOS:000493220300017</t>
  </si>
  <si>
    <t>Karas, C; Goldstein, SL; deMenocal, PB</t>
  </si>
  <si>
    <t>Karas, Cyrus; Goldstein, Steven L.; deMenocal, Peter B.</t>
  </si>
  <si>
    <t>Evolution of Antarctic Intermediate Water during the Plio-Pleistocene and implications for global climate: Evidence from the South Atlantic</t>
  </si>
  <si>
    <t>FORAMINIFERAL MG/CA PALEOTHERMOMETRY; CENTRAL PACIFIC SEAWATER; RIO-GRANDE RISE; ISOTOPIC COMPOSITION; AUTHIGENIC PHASES; LATE MIOCENE; PB ISOTOPES; OCEAN; NEODYMIUM; CIRCULATION</t>
  </si>
  <si>
    <t>Formed in the Southern Ocean, Antarctic Intermediate Water (AAIW) plays a fundamental role in the modern climate system as an important sink for atmospheric CO2, and as a mid-depth conduit supplying nutrient-rich waters to subtropical and tropical upwelling regions. During the transition from warm Pliocene 'greenhouse' conditions to Pleistocene 'icehouse' conditions around 3 Ma, model simulations suggest dramatic circulation changes in the Southern Ocean AAIW formation region due to cooling and expanded sea ice cover around Antarctica. However, the history and properties of AAIW over this time period are still poorly understood. Here, we trace AAIW source water provenance, temperature, and salinity changes over the last 4 Myr using Nd isotopes of Fe-Mn-oxyhydroxide encrusted foraminifera, benthic foraminiferal Mg/Ca, and stable isotopes from southwest Atlantic DSDP Site 516. Our results show that modern AAIW properties emerged gradually over the last 3 Myr, as evidenced by gradual cooling (6 degrees C) and freshening of intermediate waters. Over this same interval, epsilon Nd-values decrease and diverge away from those of Pacific-sourced waters and converge on values of present-day Circumpolar Deep Water (CDW). These observations are in accordance with model simulations indicating increased deep vertical mixing at the Polar Front associated with sea ice extension. These modified AAIW source waters penetrated increasingly northward into the Atlantic at intermediate depths, enhancing nutrient supply and contributing to surface cooling along subtropical coastal upwelling sites. These circulation changes may have facilitated ocean CO2 storage, providing a positive feedback amplifying global cooling and intensification of Northern Hemisphere Glaciation. (C) 2019 Elsevier Ltd. All rights reserved.</t>
  </si>
  <si>
    <t>[Karas, Cyrus; Goldstein, Steven L.; deMenocal, Peter B.] Columbia Univ, Lamont Doherty Earth Observ, Palisades, NY 10964 USA; [Karas, Cyrus] Pontificia Univ Catolica Chile, Inst Geog, Santiago, Chile; [Karas, Cyrus] Univ Chile, Millennium Nucl Paleoclimate, Santiago, Chile; [Goldstein, Steven L.; deMenocal, Peter B.] Columbia Univ, Dept Earth &amp; Environm Sci, Palisades, NY 10964 USA</t>
  </si>
  <si>
    <t>Columbia University; Pontificia Universidad Catolica de Chile; Universidad de Chile; Columbia University</t>
  </si>
  <si>
    <t>Karas, C (corresponding author), Columbia Univ, Lamont Doherty Earth Observ, Palisades, NY 10964 USA.</t>
  </si>
  <si>
    <t>cyrus.karas@uc.cl</t>
  </si>
  <si>
    <t>demenocal, peter B/B-1386-2013; Karas, Cyrus/V-5775-2017</t>
  </si>
  <si>
    <t>Goldstein, Steven L/0000-0001-7252-8064; Karas, Cyrus/0000-0002-7436-5016</t>
  </si>
  <si>
    <t>Max Kade Foundation; German Research Foundation [KA3461/1-2]; Columbia's Center for Climate and Life; Storke Endowment of the Columbia Department of Earth and Environmental Sciences</t>
  </si>
  <si>
    <t>Max Kade Foundation; German Research Foundation(German Research Foundation (DFG)); Columbia's Center for Climate and Life; Storke Endowment of the Columbia Department of Earth and Environmental Sciences</t>
  </si>
  <si>
    <t>We thank the IODP for providing sample material. For technical support in the lab we thank L Bolge. For further help in the lab and discussions we thank Y. Wu, W. Huang, K. Esswein, A. Dial, G. B. Whitlock, Y. Kiro, M. Yehudai, A. Bahr and D. Nurnberg. We thank the Max Kade Foundation, the German Research Foundation (project: KA3461/1-2), Columbia's Center for Climate and Life, and the Storke Endowment of the Columbia Department of Earth and Environmental Sciences for financial support for C.K. This is LDEO contribution number 8355.</t>
  </si>
  <si>
    <t>10.1016/j.quascirev.2019.105945</t>
  </si>
  <si>
    <t>WOS:000493220300016</t>
  </si>
  <si>
    <t>Silber, I; Verlinde, J; Wang, SH; Bromwich, DH; Fridlind, AM; Cadeddu, M; Eloranta, EW; Flynn, CJ</t>
  </si>
  <si>
    <t>Silber, Israel; Verlinde, Johannes; Wang, Sheng-Hung; Bromwich, David H.; Fridlind, Ann M.; Cadeddu, Maria; Eloranta, Edwin W.; Flynn, Connor J.</t>
  </si>
  <si>
    <t>Cloud Influence on ERA5 and AMPS Surface Downwelling Longwave Radiation Biases in West Antarctica</t>
  </si>
  <si>
    <t>Antarctica; Cloud radiative effects; Cloud water; phase; Longwave radiation; Water vapor; Model errors</t>
  </si>
  <si>
    <t>ROSS ICE SHELF; BOUNDARY-LAYER SIMULATIONS; POLAR WEATHER RESEARCH; ARCTIC CLOUD; PART I; CLIMATE; MODEL; WATER; TEMPERATURE; REANALYSES</t>
  </si>
  <si>
    <t>The surface downwelling longwave radiation component (LW down arrow) is crucial for the determination of the surface energy budget and has significant implications for the resilience of ice surfaces in the polar regions. Accurate model evaluation of this radiation component requires knowledge about the phase, vertical distribution, and associated temperature of water in the atmosphere, all of which control the LW down arrow signal measured at the surface. In this study, we examine the LW down arrow model errors found in the Antarctic Mesoscale Prediction System (AMPS) operational forecast model and the ERA5 model relative to observations from the ARM West Antarctic Radiation Experiment (AWARE) campaign at McMurdo Station and the West Antarctic Ice Sheet (WAIS) Divide. The errors are calculated separately for observed clear-sky conditions, ice-cloud occurrences, and liquid-bearing cloud-layer (LBCL) occurrences. The analysis results show a tendency in both models at each site to underestimate the LW down arrow during clear-sky conditions, high error variability (standard deviations &gt; 20 W m(-2)) during any type of cloud occurrence, and negative LW down arrow biases when LBCLs are observed (bias magnitudes &gt;15 W m(-2) in tenuous LBCL cases and &gt;43 W m(-2) in optically thick/opaque LBCLs instances). We suggest that a generally dry and liquid-deficient atmosphere responsible for the identified LW down arrow biases in both models is the result of excessive ice formation and growth, which could stem from the model initial and lateral boundary conditions, microphysics scheme, aerosol representation, and/or limited vertical resolution.</t>
  </si>
  <si>
    <t>[Silber, Israel; Verlinde, Johannes] Penn State Univ, Dept Meteorol &amp; Atmospher Sci, University Pk, PA 16802 USA; [Wang, Sheng-Hung; Bromwich, David H.] Ohio State Univ, Polar Meteorol Grp, Byrd Polar &amp; Climate Res Ctr, Columbus, OH 43210 USA; [Bromwich, David H.] Ohio State Univ, Dept Geog, Atmospher Sci Program, Columbus, OH 43210 USA; [Fridlind, Ann M.] NASA, Goddard Inst Space Studies, New York, NY 10025 USA; [Cadeddu, Maria] Argonne Natl Lab, New York, NY USA; [Eloranta, Edwin W.] Univ Wisconsin, Space Sci &amp; Engn Ctr, Madison, WI USA; [Flynn, Connor J.] Pacific Northwest Natl Lab, Richland, WA USA</t>
  </si>
  <si>
    <t>Pennsylvania Commonwealth System of Higher Education (PCSHE); Pennsylvania State University; Pennsylvania State University - University Park; University System of Ohio; Ohio State University; University System of Ohio; Ohio State University; National Aeronautics &amp; Space Administration (NASA); NASA Goddard Space Flight Center; Goddard Institute for Space Studies; United States Department of Energy (DOE); Argonne National Laboratory; University of Wisconsin System; University of Wisconsin Madison; United States Department of Energy (DOE); Pacific Northwest National Laboratory</t>
  </si>
  <si>
    <t>Silber, I (corresponding author), Penn State Univ, Dept Meteorol &amp; Atmospher Sci, University Pk, PA 16802 USA.</t>
  </si>
  <si>
    <t>israel0silber@gmail.com</t>
  </si>
  <si>
    <t>Fridlind, Ann/E-1495-2012; /H-8351-2017</t>
  </si>
  <si>
    <t>Fridlind, Ann/0000-0002-9020-0852; /0000-0002-9121-3110; Silber, Israel/0000-0001-6588-2145</t>
  </si>
  <si>
    <t>DOE ARM Climate Research Facility; NSF Division of Polar Programs; National Science Foundation [PLR-1443495, PLR-1443443]; DOE [DE-SC0017981]; NASA Radiation Science program; NASA Modeling, Analysis and Prediction program; U.S. Department of Energy (DOE) [DE-SC0017981] Funding Source: U.S. Department of Energy (DOE)</t>
  </si>
  <si>
    <t>DOE ARM Climate Research Facility; NSF Division of Polar Programs(National Science Foundation (NSF)NSF - Directorate for Geosciences (GEO)); National Science Foundation(National Science Foundation (NSF)); DOE(United States Department of Energy (DOE)); NASA Radiation Science program(National Aeronautics &amp; Space Administration (NASA)); NASA Modeling, Analysis and Prediction program(National Aeronautics &amp; Space Administration (NASA)); U.S. Department of Energy (DOE)(United States Department of Energy (DOE))</t>
  </si>
  <si>
    <t>AWARE is supported by the DOE ARM Climate Research Facility and NSF Division of Polar Programs. The data used in this study are available in the ARM data archive (http://www.archive.arm.gov). The HSRL data can be obtained from the ARM archive or from the University of WisconsinMadison HSRL Lidar Group (http://lidar.ssec.wisc.edu). AMPS data can be requested from the Ohio State University Polar Meteorology Group (http://polarmet.osu.edu/AMPS/). ERA5 data are accessible via the Copernicus Climate Change Service (C3S) Climate Data Store (CDS; https://cds.climate.copernicus.eu). The authors wish to thank Fuqing Zhang for the fruitful discussions. I.S. and J.V. are supported by the National Science Foundation Grant PLR-1443495 and by the DOE Grant DE-SC0017981. D.H.B. and S.H.W. are supported by National Science Foundation Grant PLR-1443443 and by DOE Grant DE-SC0017981. Contribution 1583 of Byrd Polar and Climate Research Center. A.F. is supported by the NASA Radiation Science and Modeling, Analysis and Prediction programs.</t>
  </si>
  <si>
    <t>10.1175/JCLI-D-19-0149.1</t>
  </si>
  <si>
    <t>JH6FH</t>
  </si>
  <si>
    <t>WOS:000492863100002</t>
  </si>
  <si>
    <t>Dotto, TS; Garabato, ACN; Bacon, S; Holland, PR; Kimura, S; Firing, YL; Tsamados, M; Wåhlin, AK; Jenkins, A</t>
  </si>
  <si>
    <t>Dotto, Tiago S.; Garabato, Alberto C. Naveira; Bacon, Sheldon; Holland, Paul R.; Kimura, Satoshi; Firing, Yvonne L.; Tsamados, Michel; Wahlin, Anna K.; Jenkins, Adrian</t>
  </si>
  <si>
    <t>Wind-Driven Processes Controlling Oceanic Heat Delivery to the Amundsen Sea, Antarctica</t>
  </si>
  <si>
    <t>Antarctica; Atmosphere-ocean interaction; Channel flows; Ocean dynamics; Wind stress; Ocean models</t>
  </si>
  <si>
    <t>CIRCUMPOLAR DEEP-WATER; PINE ISLAND GLACIER; ICE-SHELF; CONTINENTAL-SHELF; CIRCULATION; VARIABILITY; TRANSPORT; BOUNDARY; INFLOW; TEMPERATURE</t>
  </si>
  <si>
    <t>Variability in the heat delivery by Circumpolar Deep Water (CDW) is responsible for modulating the basal melting of the Amundsen Sea ice shelves. However, the mechanisms controlling the CDW inflow to the region's continental shelf remain little understood. Here, a high-resolution regional model is used to assess the processes governing heat delivery to the Amundsen Sea. The key mechanisms are identified by decomposing CDW temperature variability into two components associated with 1) changes in the depth of isopycnals [heave (HVE)], and 2) changes in the temperature of isopycnals [water mass property changes (WMP)]. In the Dotson-Getz trough, CDW temperature variability is primarily associated with WMP. The deeper thermocline and shallower shelf break hinder CDW access to that trough, and CDW inflow is regulated by the uplift of isopycnals at the shelf break-which is itself controlled by wind-driven variations in the speed of an undercurrent flowing eastward along the continental slope. In contrast, CDW temperature variability in the Pine Island-Thwaites trough is mainly linked to HVE. The shallower thermocline and deeper shelf break there permit CDW to persistently access the continental shelf. CDW temperature in the area responds to wind-driven modulation of the water mass on-shelf volume by changes in the rate of inflow across the shelf break and in Ekman pumping-induced vertical displacement of isopycnals within the shelf. The western and eastern Amundsen Sea thus represent distinct regimes, in which wind forcing governs CDW-mediated heat delivery via different dynamics.</t>
  </si>
  <si>
    <t>[Dotto, Tiago S.; Garabato, Alberto C. Naveira] Univ Southampton, Ocean &amp; Earth Sci, Southampton, Hants, England; [Bacon, Sheldon; Firing, Yvonne L.] Natl Oceanog Ctr, Southampton, Hants, England; [Holland, Paul R.; Jenkins, Adrian] British Antarctic Survey, Cambridge, England; [Kimura, Satoshi] Japan Agcy Marine Earth Sci &amp; Technol, Yokosuka, Kanagawa, Japan; [Tsamados, Michel] UCL, Ctr Polar Observat &amp; Modelling, London, England; [Wahlin, Anna K.] Univ Gothenburg, Dept Marine Sci, Gothenburg, Sweden</t>
  </si>
  <si>
    <t>University of Southampton; NERC National Oceanography Centre; UK Research &amp; Innovation (UKRI); Natural Environment Research Council (NERC); NERC British Antarctic Survey; Japan Agency for Marine-Earth Science &amp; Technology (JAMSTEC); University of London; University College London; University of Gothenburg</t>
  </si>
  <si>
    <t>Dotto, TS (corresponding author), Univ Southampton, Ocean &amp; Earth Sci, Southampton, Hants, England.</t>
  </si>
  <si>
    <t>tiagosdotto@gmail.com</t>
  </si>
  <si>
    <t>Jenkins, Adrian/IUN-2406-2023; Holland, Paul R/G-2796-2012; Kimura, Satoshi/AAT-3036-2021; Garabato, Alberto Naveira/AAQ-1114-2020; Wahlin, Anna/U-3790-2017</t>
  </si>
  <si>
    <t>Kimura, Satoshi/0000-0003-1689-1605; Garabato, Alberto Naveira/0000-0001-6071-605X; Jenkins, Adrian/0000-0002-9117-0616; Firing, Yvonne/0000-0002-3640-3974; Wahlin, Anna/0000-0003-1799-6476; Segabinazzi Dotto, Tiago/0000-0003-0565-6941</t>
  </si>
  <si>
    <t>CNPq-Brazil PhD scholarship [232792/2014-3]; Royal Society; Wolfson Foundation; SKIM Mission Science Study Project SKIM-SciSoc'' [ESA-RFP 3-15456/18/NL/CT/gp]; FIC [NE/S011994/1] Funding Source: UKRI; NERC [NE/N018095/1, NE/J005746/1, cpom30001, NE/M015238/1, NE/J005770/1, bas0100033, NE/T009470/1] Funding Source: UKRI</t>
  </si>
  <si>
    <t>CNPq-Brazil PhD scholarship; Royal Society(Royal Society); Wolfson Foundation; SKIM Mission Science Study Project SKIM-SciSoc''; FIC; NERC(UK Research &amp; Innovation (UKRI)Natural Environment Research Council (NERC))</t>
  </si>
  <si>
    <t>TSD acknowledges support by the CNPq-Brazil PhD scholarship (232792/2014-3). ACNG was supported by the Royal Society and the Wolfson Foundation. MT acknowledges support from the SKIM Mission Science Study Project SKIM-SciSoc'' (ESA-RFP 3-15456/18/NL/CT/gp). MITgcm model's code is found in http://mitgcm.org.Questions regarding the model outputs should be addressed to SK (skimura04@gmail.com).</t>
  </si>
  <si>
    <t>10.1175/JPO-D-19-0064.1</t>
  </si>
  <si>
    <t>JH6NR</t>
  </si>
  <si>
    <t>Green Accepted, Green Submitted, Bronze</t>
  </si>
  <si>
    <t>WOS:000492886000001</t>
  </si>
  <si>
    <t>Brooks, TM; Pimm, SL; Akçakaya, HR; Buchanan, GM; Butchart, SHM; Foden, W; Hilton-Taylor, C; Hoffmann, M; Jenkins, CN; Joppa, L; Li, BBV; Menon, V; Ocampo-Peñuela, N; Rondinini, C</t>
  </si>
  <si>
    <t>Brooks, Thomas M.; Pimm, Stuart L.; Akcakaya, H. Resit; Buchanan, Graeme M.; Butchart, Stuart H. M.; Foden, Wendy; Hilton-Taylor, Craig; Hoffmann, Michael; Jenkins, Clinton N.; Joppa, Lucas; Li, Binbin V.; Menon, Vivek; Ocampo-Penuela, Natalia; Rondinini, Carlo</t>
  </si>
  <si>
    <t>Measuring Terrestrial Area of Habitat (AOH) and Its Utility for the IUCN Red List</t>
  </si>
  <si>
    <t>EXTINCTION RISK; CONSERVATION STATUS; SUITABILITY MODELS; IMPACT; BIRDS; QUANTIFICATION; DEFORESTATION; THREAT</t>
  </si>
  <si>
    <t>The International Union for Conservation of Nature (IUCN) Red List of Threatened Species includes assessment of extinction risk for 98 512 species, plus documentation of their range, habitat, elevation, and other factors. These range, habitat and elevation data can be matched with terrestrial land cover and elevation datasets to map the species' area of habitat (AOH; also known as extent of suitable habitat; ESH). This differs from the two spatial metrics used for assessing extinction in the IUCN Red List criteria: extent of occurrence (EOO) and area of occupancy (AOO). AOH can guide conservation, for example, through targeting areas for field surveys, assessing proportions of species' habitat within protected areas, and monitoring loss and fragmentation. We recommend that IUCN Red List assessments document AOH wherever practical.</t>
  </si>
  <si>
    <t>[Brooks, Thomas M.] IUCN, 28 Rue Mauverney, CH-1196 Gland, Switzerland; [Brooks, Thomas M.] Univ Philippines Los Banos, World Agroforestry Ctr ICRAF, Laguna 4031, Philippines; [Brooks, Thomas M.] Univ Tasmania, Inst Marine &amp; Antarctic Studies, Hobart, Tas 7001, Australia; [Pimm, Stuart L.; Li, Binbin V.] Duke Univ, Nicholas Sch Environm, Box 90328, Durham, NC 27708 USA; [Akcakaya, H. Resit] SUNY Stony Brook, Dept Ecol &amp; Evolut, Stony Brook, NY 11794 USA; [Buchanan, Graeme M.] Royal Soc Protect Birds, RSPB Ctr Conservat Sci, Edinburgh EH12 9DH, Midlothian, Scotland; [Butchart, Stuart H. M.] BirdLife Int, David Attenborough Bldg,Pembroke St, Cambridge CB2 3QZ, England; [Butchart, Stuart H. M.] Univ Cambridge, Dept Zool, Downing St, Cambridge CB2 3EJ, England; [Foden, Wendy] South African Natl Pk, Cape Res Ctr, Tokai Pk, Cape Town, South Africa; [Foden, Wendy] Stellenbosch Univ, Dept Bot &amp; Zool, Global Change Biol Grp, Matieland, South Africa; [Foden, Wendy] Int Union Conservat Nat, Species Survival Commiss, Climate Change Specialist Grp, Gland, Switzerland; [Hilton-Taylor, Craig] IUCN, David Attenborough Bldg,Pembroke St, Cambridge CB2 3QZ, England; [Hoffmann, Michael] Zool Soc London, Conservat &amp; Policy, Regents Pk, London NW1 4RY, England; [Jenkins, Clinton N.] IPE, BR-12960000 Nazare Paulista, SP, Brazil; [Joppa, Lucas] Microsoft, One Microsoft Way, Redmond, WA 98075 USA; [Li, Binbin V.] Duke Kunshan Univ, Environm Res Ctr, Kunshan 215316, Jiangsu, Peoples R China; [Menon, Vivek] Wildlife Trust India, F-13,Sect 8, Noida 201301, India; [Ocampo-Penuela, Natalia] Swiss Fed Inst Technol, Dept Environm Syst Sci, Zurich, Switzerland; [Rondinini, Carlo] Univ Roma La Sapienza, Dipartimento Biol &amp; Biotecnol, Viale Univ 32, I-00185 Rome, Italy</t>
  </si>
  <si>
    <t>CGIAR; World Agroforestry (ICRAF); University of the Philippines System; University of the Philippines Los Banos; University of Tasmania; Duke University; State University of New York (SUNY) System; State University of New York (SUNY) Stony Brook; Royal Society for Protection of Birds; BirdLife International; University of Cambridge; Stellenbosch University; Zoological Society of London; Microsoft; Duke Kunshan University; Swiss Federal Institutes of Technology Domain; ETH Zurich; Sapienza University Rome</t>
  </si>
  <si>
    <t>Brooks, TM (corresponding author), IUCN, 28 Rue Mauverney, CH-1196 Gland, Switzerland.;Brooks, TM (corresponding author), Univ Philippines Los Banos, World Agroforestry Ctr ICRAF, Laguna 4031, Philippines.;Brooks, TM (corresponding author), Univ Tasmania, Inst Marine &amp; Antarctic Studies, Hobart, Tas 7001, Australia.</t>
  </si>
  <si>
    <t>t.brooks@iucn.org</t>
  </si>
  <si>
    <t>Jenkins, Clinton/D-6134-2011; Butchart, Stuart/AAJ-1852-2021; pimm, stuart/ABF-1082-2020; Rondinini, Carlo/E-9027-2011; Li, Binbin/HLH-2518-2023; Hoffmann, Michael/E-6419-2010</t>
  </si>
  <si>
    <t>Jenkins, Clinton/0000-0003-2198-0637; Butchart, Stuart/0000-0002-1140-4049; pimm, stuart/0000-0003-4206-2456; Rondinini, Carlo/0000-0002-6617-018X; Li, Binbin/0000-0001-6188-7512; Hoffmann, Michael/0000-0003-4785-2254; Ocampo-Penuela, Natalia/0000-0002-5120-7226</t>
  </si>
  <si>
    <t>10.1016/j.tree.2019.06.009</t>
  </si>
  <si>
    <t>JH3TQ</t>
  </si>
  <si>
    <t>WOS:000492691100006</t>
  </si>
  <si>
    <t>Han, WQ; Stammer, D; Thompson, P; Ezer, T; Palanisamy, H; Zhang, XB; Domingues, CM; Zhang, L; Yuan, DL</t>
  </si>
  <si>
    <t>Han, Weiqing; Stammer, Detlef; Thompson, Philip; Ezer, Tal; Palanisamy, Hindu; Zhang, Xuebin; Domingues, Catia M.; Zhang, Lei; Yuan, Dongliang</t>
  </si>
  <si>
    <t>Impacts of Basin-Scale Climate Modes on Coastal Sea Level: a Review</t>
  </si>
  <si>
    <t>SURVEYS IN GEOPHYSICS</t>
  </si>
  <si>
    <t>Coastal sea level change; Sea level variability; Climate variability; Climate modes</t>
  </si>
  <si>
    <t>INDIAN-OCEAN DIPOLE; NORTH-ATLANTIC OSCILLATION; GULF-STREAM TRANSPORT; US EAST-COAST; MERIDIONAL OVERTURNING CIRCULATION; PACIFIC DECADAL OSCILLATION; WESTERN TROPICAL PACIFIC; LONG-TERM VARIABILITY; EL-NINO SIGNAL; INTERANNUAL VARIABILITY</t>
  </si>
  <si>
    <t>Global sea level rise (SLR) associated with a warming climate exerts significant stress on coastal societies and low-lying island regions. The rates of coastal SLR observed in the past few decades, however, have large spatial and temporal differences from the global mean, which to a large part have been attributed to basin-scale climate modes. In this paper, we review our current state of knowledge about climate modes' impacts on coastal sea level variability from interannual-to-multidecadal timescales. Relevant climate modes, their impacts and associated driving mechanisms through both remote and local processes are elaborated separately for the Pacific, Indian and Atlantic Oceans. This paper also identifies major issues and challenges for future research on climate modes' impacts on coastal sea level. Understanding the effects of climate modes is essential for skillful near-term predictions and reliable uncertainty quantifications for future projections of coastal SLR.</t>
  </si>
  <si>
    <t>[Han, Weiqing; Zhang, Lei] Univ Colorado, Dept Atmospher &amp; Ocean Sci, Boulder, CO 80309 USA; [Stammer, Detlef] Univ Hamburg, Ctr Erdsyst Wissensch &amp; Nachhaltigkeit, D-20146 Hamburg, Germany; [Thompson, Philip] Univ Hawaii Manoa, Dept Oceanog, SOEST, Honolulu, HI 96822 USA; [Ezer, Tal] Old Dominion Univ, Ctr Coastal Phys Oceanog, Norfolk, VA 23508 USA; [Palanisamy, Hindu] CNES, OMP, LEGOS, UMR 5566, F-31400 Toulouse, France; [Zhang, Xuebin] CSIRO Oceans &amp; Atmosphere, CSHOR, Hobart, Tas 7000, Australia; [Domingues, Catia M.] Univ Tasmania, Inst Marine &amp; Antarctic Studies, Hobart, Tas 7004, Australia; [Domingues, Catia M.] Univ Tasmania, ARC Ctr Excellence Climate Extremes, Hobart, Tas 7001, Australia; [Domingues, Catia M.] Antarctic Climate &amp; Ecosyst Cooperat Res Ctr, Hobart, Tas 7001, Australia; [Yuan, Dongliang] Chinese Acad Sci, Inst Oceanol, Key Lab Ocean Circulat &amp; Waves, Qingdao, Shandong, Peoples R China; [Yuan, Dongliang] Chinese Acad Sci, Inst Oceanol, Ctr Ocean Mega Sci, Qingdao, Shandong, Peoples R China; [Yuan, Dongliang] Qingdao Natl Lab Marine Sci &amp; Technol, Qingdao, Shandong, Peoples R China; [Yuan, Dongliang] Univ Chinese Acad Sci, Beijing 266071, Peoples R China</t>
  </si>
  <si>
    <t>University of Colorado System; University of Colorado Boulder; University of Hamburg; University of Hawaii System; University of Hawaii Manoa; Old Dominion University; Universite de Toulouse; Universite Toulouse III - Paul Sabatier; Centre National de la Recherche Scientifique (CNRS); Institut de Recherche pour le Developpement (IRD); Laboratoire d'Etudes en Geophysique et oceanographie spatiales; CNRS - National Institute for Earth Sciences &amp; Astronomy (INSU); Commonwealth Scientific &amp; Industrial Research Organisation (CSIRO); University of Tasmania; University of Tasmania; Antarctic Climate &amp; Ecosystems Cooperative Research Centre (ACE CRC); Chinese Academy of Sciences; Institute of Oceanology, CAS; Chinese Academy of Sciences; Institute of Oceanology, CAS; Laoshan Laboratory; Chinese Academy of Sciences; University of Chinese Academy of Sciences, CAS</t>
  </si>
  <si>
    <t>Han, WQ (corresponding author), Univ Colorado, Dept Atmospher &amp; Ocean Sci, Boulder, CO 80309 USA.</t>
  </si>
  <si>
    <t>whan@colorado.edu</t>
  </si>
  <si>
    <t>Zhang, Xuebin/A-3405-2012; Zhang, Lei/JZE-6279-2024; Han, Weiqing/JXN-0886-2024; Domingues, Catia M./A-2901-2015; Thompson, Philip R/H-4509-2013</t>
  </si>
  <si>
    <t>Zhang, Xuebin/0000-0003-1731-3524; Domingues, Catia M./0000-0001-5100-4595; Thompson, Philip R/0000-0002-0875-4208; HAN, WEIQING/0000-0003-3633-9105</t>
  </si>
  <si>
    <t>0169-3298</t>
  </si>
  <si>
    <t>1573-0956</t>
  </si>
  <si>
    <t>SURV GEOPHYS</t>
  </si>
  <si>
    <t>Surv. Geophys.</t>
  </si>
  <si>
    <t>10.1007/s10712-019-09562-8</t>
  </si>
  <si>
    <t>JG9UO</t>
  </si>
  <si>
    <t>WOS:000492421700010</t>
  </si>
  <si>
    <t>Chun, HY; Song, BG; Shin, SW; Kim, YH</t>
  </si>
  <si>
    <t>Chun, Hye-Yeong; Song, Byeong-Gwon; Shin, Seok-Woo; Kim, Young-Ha</t>
  </si>
  <si>
    <t>Gravity Waves Associated with Jet/Front Systems. Part I: Diagnostics and their Correlations with GWs Revealed in High-Resolution Global Analysis Data</t>
  </si>
  <si>
    <t>ASIA-PACIFIC JOURNAL OF ATMOSPHERIC SCIENCES</t>
  </si>
  <si>
    <t>Jet; frontal systems; Gravity waves; Frontogenesis function (FF); Residual of nonlinear balance equation (RNBE); Gravity-wave parameterization</t>
  </si>
  <si>
    <t>JET-FRONT SYSTEM; MOMENTUM FLUX; MIDDLE-ATMOSPHERE; LOWER STRATOSPHERE; RADAR OBSERVATIONS; POLAR VORTEX; VHF RADAR; CIRCULATION; TURBULENCE; PARAMETERIZATION</t>
  </si>
  <si>
    <t>Jet/front systems are the important sources of the atmospheric gravity waves (GWs). Based on mesoscale simulation results, dominant GWs associated with the jet/front systems have horizontal wavelengths of approximately 150 km, which need for parameterization in global models. Nevertheless, there is no comprehensive parameterization scheme of the jet/front GWs with a formulation of the GW momentum flux (GWMF) at launch level, due primarily to uncertainties in their generation mechanisms. In this study, we evaluate two diagnostics of the jet/front GWs, frontogenesis function (FF) and residual of the nonlinear balance equation (RNBE), by examining their spatiotemporal variations using two global reanalysis data sets over 32 years (1980-2011) and by examining correlations between the diagnostics and the GWMF resolved from high-resolution global analysis data in January and July of 2007. The FF and RNBE are maximal in the mid-to-high latitudes of the winter hemisphere, with local maxima in Greenland, East Asia, western North America, Antarctic Peninsula, and the Andes Mountains. The GWMF is dominant in two regions in the upper troposphere: (i) poleward of 30 degrees in both hemispheres, with a larger value in the winter hemisphere, and (ii) tropical and subtropical regions in both hemispheres. The FF and RNBE are well correlated with the GWs in the mid-to-high latitudes following their seasonal variations, which successfully separate GWs in the tropics and subtropics generated by convective sources. In Part II, a parameterization based on the RNBE is developed and implemented in a climate model, and its impacts on the large-scale flow will be investigated.</t>
  </si>
  <si>
    <t>[Chun, Hye-Yeong; Song, Byeong-Gwon] Yonsei Univ, Dept Atmospher Sci, 50 Yonsei Ro, Seoul 03722, South Korea; [Song, Byeong-Gwon] Korea Polar Res Inst, Div Polar Climate Sci, Incheon, South Korea; [Shin, Seok-Woo] Natl Inst Meteorol Sci, Climate Res Div, Jeju, South Korea; [Kim, Young-Ha] Goethe Univ Frankfurt, Inst Atmosphare &amp; Umwelt, Frankfurt, Germany</t>
  </si>
  <si>
    <t>Yonsei University; Korea Polar Research Institute (KOPRI); National Institute of Meteorological Sciences; Goethe University Frankfurt</t>
  </si>
  <si>
    <t>Chun, HY (corresponding author), Yonsei Univ, Dept Atmospher Sci, 50 Yonsei Ro, Seoul 03722, South Korea.</t>
  </si>
  <si>
    <t>chunhy@yonsei.ac.kr</t>
  </si>
  <si>
    <t>Kim, Young-Ha/Q-4542-2017; Chun, Hye-Yeong/AAA-6249-2019</t>
  </si>
  <si>
    <t>Kim, Young-Ha/0000-0003-4014-073X; Song, Byeong-Gwon/0000-0003-1252-3231</t>
  </si>
  <si>
    <t>R&amp;D project on the development of global numerical weather prediction systems of the Korean Institute of Atmospheric Prediction Systems (KIAPS) - Korean Meteorological Administration (KMA); Korea Polar Research Institute (KOPRI) [PE18020]</t>
  </si>
  <si>
    <t>R&amp;D project on the development of global numerical weather prediction systems of the Korean Institute of Atmospheric Prediction Systems (KIAPS) - Korean Meteorological Administration (KMA); Korea Polar Research Institute (KOPRI)</t>
  </si>
  <si>
    <t>This work was supported by the R&amp;D project on the development of global numerical weather prediction systems of the Korean Institute of Atmospheric Prediction Systems (KIAPS) funded by the Korean Meteorological Administration (KMA) and by the Korea Polar Research Institute (KOPRI, PE18020).</t>
  </si>
  <si>
    <t>KOREAN METEOROLOGICAL SOC</t>
  </si>
  <si>
    <t>SHINKIL-DONG 508, SIWON BLDG 704, YONGDUNGPO-GU, SEOUL, 150-050, SOUTH KOREA</t>
  </si>
  <si>
    <t>1976-7633</t>
  </si>
  <si>
    <t>1976-7951</t>
  </si>
  <si>
    <t>ASIA-PAC J ATMOS SCI</t>
  </si>
  <si>
    <t>Asia-Pac. J. Atmos. Sci.</t>
  </si>
  <si>
    <t>10.1007/s13143-019-00104-1</t>
  </si>
  <si>
    <t>JF7JK</t>
  </si>
  <si>
    <t>WOS:000491562300004</t>
  </si>
  <si>
    <t>Robinson, LM; Marzloff, MP; van Putten, I; Pecl, G; Jennings, S; Nicol, S; Hobday, AJ; Tracey, S; Hartmann, K; Haward, M; Frusher, S</t>
  </si>
  <si>
    <t>Robinson, Lucy M.; Marzloff, Martin P.; van Putten, Ingrid; Pecl, Gretta; Jennings, Sarah; Nicol, Sam; Hobday, Alistair J.; Tracey, Sean; Hartmann, Klaas; Haward, Marcus; Frusher, Stewart</t>
  </si>
  <si>
    <t>RETRACTED: Structured Decision-Making Identifies Effective Strategies and Potential Barriers for Ecosystem-Based Management of a Range-Extending Species in a Global Marine Hotspot (Retracted Article)</t>
  </si>
  <si>
    <t>ECOSYSTEMS</t>
  </si>
  <si>
    <t>Article; Retracted Publication</t>
  </si>
  <si>
    <t>structured decision-making; decision analysis; multi-method elicitation; stakeholder engagement; ecosystem-based management; species range extension; keystone herbivore; global marine hotspot</t>
  </si>
  <si>
    <t>CLIMATE; RESILIENCE; SHIFTS; URCHIN</t>
  </si>
  <si>
    <t>Climate-driven changes in ocean currents have facilitated the range extension of the long-spined sea urchin (Centrostephanus rodgersii) from Australia's mainland to eastern Tasmania over recent decades. Since its arrival, destructive grazing by the urchin has led to widespread formation of sea urchin 'barrens'. The loss of habitat, biodiversity and productivity for important commercial reef species in conjunction with the development of an urchin fishery has led to conflicting objectives among stakeholders, which poses complex challenges for regional management. Stakeholder representatives and managers were engaged via a participatory workshop and subsequent one-on-one surveys to trial a structured decision-making process to identify effective ecosystem-based management strategies. We directly and indirectly elicited each stakeholder's preferences for nine alternative management strategies by presenting them with the 10-year consequences of each strategy estimated from an ecosystem model of Tasmanian reef communities. These preferences were included in cost-effectiveness scores that were averaged (across stakeholders) to enable strategy ranking from most to least cost-effective. Rankings revealed strategies that included sea urchin removal or translocation of predatory lobsters were the most cost-effective. However, assessment of stakeholders' individual cost-effectiveness scores showed some disparity among stakeholders' preferences in high ranking strategies. Additionally, evaluating inconsistencies within some stakeholders' scores that included direct or indirect preferences revealed conflicting objectives and cognitive bias as the most plausible explanations for these inconsistencies. Our study illustrates how structured decision-making can effectively facilitate ecosystem-based management by engaging stakeholders step-by-step towards management strategy implementation, identifying psychological barriers to decision-making and promoting collective learning.</t>
  </si>
  <si>
    <t>[Robinson, Lucy M.; Marzloff, Martin P.; Pecl, Gretta; Tracey, Sean; Hartmann, Klaas] Inst Marine &amp; Antarctic Studies, Hobart, Tas 7001, Australia; [Robinson, Lucy M.] Univ Western Australia, Oceans Inst, Perth, WA 6009, Australia; [Robinson, Lucy M.] Univ Western Australia, Oceans Grad Sch, Perth, WA 6009, Australia; [van Putten, Ingrid; Hobday, Alistair J.] CSIRO Oceans &amp; Atmosphere, Hobart, Tas 7000, Australia; [van Putten, Ingrid; Pecl, Gretta; Jennings, Sarah; Hobday, Alistair J.; Tracey, Sean; Haward, Marcus; Frusher, Stewart] Univ Tasmania, Ctr Marine Socioecol, Hobart, Tas 7000, Australia; [Nicol, Sam] CSIRO Land &amp; Water, Dutton Pk, Qld 4102, Australia; [Marzloff, Martin P.] IFREMER, DYNECO Benth Ecol Lab LEBCO, Ctr Bretagne, CS 10070, F-29280 Plouzane, France; [Robinson, Lucy M.] CSIRO Oceans &amp; Atmosphere, Crawley, WA 6009, Australia; [Jennings, Sarah] Univ Tasmania, Tasmanian Sch Business &amp; Econ, Hobart, Tas 7000, Australia</t>
  </si>
  <si>
    <t>University of Tasmania; University of Western Australia; University of Western Australia; Commonwealth Scientific &amp; Industrial Research Organisation (CSIRO); University of Tasmania; Commonwealth Scientific &amp; Industrial Research Organisation (CSIRO); Ifremer; Commonwealth Scientific &amp; Industrial Research Organisation (CSIRO); University of Tasmania</t>
  </si>
  <si>
    <t>Robinson, LM (corresponding author), Inst Marine &amp; Antarctic Studies, Hobart, Tas 7001, Australia.;Robinson, LM (corresponding author), Univ Western Australia, Oceans Inst, Perth, WA 6009, Australia.;Robinson, LM (corresponding author), Univ Western Australia, Oceans Grad Sch, Perth, WA 6009, Australia.;Robinson, LM (corresponding author), CSIRO Oceans &amp; Atmosphere, Crawley, WA 6009, Australia.</t>
  </si>
  <si>
    <t>lucy.m.e.robinson@gmail.com</t>
  </si>
  <si>
    <t>van putten, ingrid/AAV-1301-2021; Pecl, Gretta/D-7267-2011; Hartmann, Klaas/B-3991-2008; Jennings, Sarah M/J-7888-2014; Haward, Marcus/G-3369-2014; Marzloff, Martin/AAY-3833-2020; Tracey, Sean/J-7446-2014</t>
  </si>
  <si>
    <t>van putten, ingrid/0000-0001-8397-9768; Pecl, Gretta/0000-0003-0192-4339; Marzloff, Martin/0000-0002-8152-4273; Robinson, Lucy/0000-0001-9324-401X; Tracey, Sean/0000-0002-6735-5899</t>
  </si>
  <si>
    <t>James Cook University; University of Tasmania; University of Western Australia; Australian Research Council [FS110200029]; Australian Research Council</t>
  </si>
  <si>
    <t>James Cook University; University of Tasmania; University of Western Australia; Australian Research Council(Australian Research Council); Australian Research Council(Australian Research Council)</t>
  </si>
  <si>
    <t>We would like to thank all of the stakeholders who participated in this study. Comments from Dr. Fabio Boschetti greatly improved the quality of the manuscript as did the comments from the journal's subject editor Dr. Timothy Essington and two anonymous reviewers. The Australian National Network in Marine Science, a collaborative funding initiative between James Cook University, The University of Tasmania and The University of Western Australia, supported this study. MPM was supported by an Australian Research Council Super Science fellowship (FS110200029). GP supported by the Australian Research Council Future Fellowship. Icons used in figures and tables were sourced from the Noun project and included sea urchin, mallet, fishing net, fishing vessel, lobster, stop, measure and seaweed that should be credited to Vega Asensio, Marie Van den Broeck, Ron Scott, Luis Prado, Baboon designs, projecthayat, hafiudin and Graham Jefferson, respectively.</t>
  </si>
  <si>
    <t>1432-9840</t>
  </si>
  <si>
    <t>1435-0629</t>
  </si>
  <si>
    <t>Ecosystems</t>
  </si>
  <si>
    <t>10.1007/s10021-019-00358-w</t>
  </si>
  <si>
    <t>JF7WW</t>
  </si>
  <si>
    <t>WOS:000491597900010</t>
  </si>
  <si>
    <t>Tolomeo, AM; Carraro, A; Bakiu, R; Toppo, S; Garofalo, F; Pellegrino, D; Gerdol, M; Ferro, D; Place, SP; Santovito, G</t>
  </si>
  <si>
    <t>Tolomeo, A. M.; Carraro, A.; Bakiu, R.; Toppo, S.; Garofalo, F.; Pellegrino, D.; Gerdol, M.; Ferro, D.; Place, S. P.; Santovito, G.</t>
  </si>
  <si>
    <t>Molecular characterization of novel mitochondrial peroxiredoxins from the Antarctic emerald rockcod and their gene expression in response to environmental warming</t>
  </si>
  <si>
    <t>COMPARATIVE BIOCHEMISTRY AND PHYSIOLOGY C-TOXICOLOGY &amp; PHARMACOLOGY</t>
  </si>
  <si>
    <t>Antarctica; Fish; Gene expression; Global warming; Molecular evolution; Peroxiredoxins</t>
  </si>
  <si>
    <t>MAMMALIAN PEROXIREDOXIN; SUPEROXIDE DISMUTASES; ANTIOXIDANT RESPONSES; TREMATOMUS-BERNACCHII; EVOLUTION; METAL; FISH; SEQUENCE; PROTEIN; METALLOTHIONEIN</t>
  </si>
  <si>
    <t>In the present study we describe the molecular characterization of the two paralogous mitochondrial peroxiredoxins from Trematomus bernacchii, a teleost that plays a pivotal role in the Antarctic food chain. The two putative amino acid sequences were compared with orthologs from other fish, highlighting a high percentage of identity and similarity with the respective variant, in particular for the residues that are essential for the characteristic peroxidase activity of these enzymes. The temporal expression of Prdx3 and Prdx5 mRNAs in response to short-term thermal stress showed a general upregulation of prdx3, suggesting that this isoform is the most affected by temperature increase. These data, together with the peculiar differences between the molecular structures of the two mitochondrial Prdxs in T. bernacchii as well as in the tropical species Stegastes partitus, suggest an adaptation that allowed these poikilothermic aquatic vertebrates to colonize very different environments, characterized by different temperature ranges.</t>
  </si>
  <si>
    <t>[Tolomeo, A. M.; Carraro, A.] Univ Padua, Dept Womens &amp; Childrens Hlth, Padua, Italy; [Bakiu, R.] Agr Univ Tirana, Dept Aquaculture &amp; Fisheries, Tirana, Albania; [Toppo, S.] Univ Padua, Dept Mol Med, Padua, Italy; [Garofalo, F.; Pellegrino, D.] Univ Calabria, Dept Biol Ecol &amp; Earth Sci BEST, Arcavacata Di Rende, Italy; [Gerdol, M.] Univ Trieste, Dept Life Sci, Trieste, Italy; [Ferro, D.] Univ Arizona, Dept Pharmacol, Tucson, AZ USA; [Place, S. P.] Sonoma State Univ, Dept Biol, Rohnert Pk, CA USA; [Santovito, G.] Univ Padua, Dept Biol, Padua, Italy</t>
  </si>
  <si>
    <t>University of Padua; University of Padua; University of Calabria; University of Trieste; University of Arizona; California State University System; Sonoma State University; University of Padua</t>
  </si>
  <si>
    <t>Santovito, G (corresponding author), Via U Bassi 58-B, I-35131 Padua, Italy.</t>
  </si>
  <si>
    <t>gianfranco.santovito@unipd.it</t>
  </si>
  <si>
    <t>Ferro, Diana/HKM-9570-2023; Santovito, Gianfranco/ABB-9484-2021; Pallavicini, Alberto/J-4158-2012; Carraro, Andrea/AAG-4437-2019; Gerdol, Marco/D-2115-2013; Bakiu, Rigers/AFC-7827-2022; Tolomeo, Anna Maria/AAA-2275-2022</t>
  </si>
  <si>
    <t>Ferro, Diana/0000-0003-1774-7509; Santovito, Gianfranco/0000-0001-8260-7006; Carraro, Andrea/0000-0001-9564-9491; Gerdol, Marco/0000-0001-6411-0813; Bakiu, Rigers/0000-0002-9613-4606; Tolomeo, Anna Maria/0000-0001-5077-0845; Pellegrino, Daniela/0000-0002-9815-5195</t>
  </si>
  <si>
    <t>Italian National Program for Antarctic Research (PNRA)</t>
  </si>
  <si>
    <t>This research was supported by the Italian National Program for Antarctic Research (PNRA).</t>
  </si>
  <si>
    <t>1532-0456</t>
  </si>
  <si>
    <t>1878-1659</t>
  </si>
  <si>
    <t>COMP BIOCHEM PHYS C</t>
  </si>
  <si>
    <t>Comp. Biochem. Physiol. C-Toxicol. Pharmacol.</t>
  </si>
  <si>
    <t>10.1016/j.cbpc.2019.108580</t>
  </si>
  <si>
    <t>Biochemistry &amp; Molecular Biology; Endocrinology &amp; Metabolism; Toxicology; Zoology</t>
  </si>
  <si>
    <t>JB1EW</t>
  </si>
  <si>
    <t>WOS:000488304600013</t>
  </si>
  <si>
    <t>Yasunaka, S; Kouketsu, S; Strutton, PG; Sutton, AJ; Murata, A; Nakaoka, S; Nojiri, Y</t>
  </si>
  <si>
    <t>Yasunaka, S.; Kouketsu, S.; Strutton, P. G.; Sutton, A. J.; Murata, A.; Nakaoka, S.; Nojiri, Y.</t>
  </si>
  <si>
    <t>Spatio-temporal variability of surface water pCO2 and nutrients in the tropical Pacific from 1981 to 2015</t>
  </si>
  <si>
    <t>DEEP-SEA RESEARCH PART II-TOPICAL STUDIES IN OCEANOGRAPHY</t>
  </si>
  <si>
    <t>International Scientific Symposium on Understanding Changes in Transitional Areas of the Pacific</t>
  </si>
  <si>
    <t>APR 24-26, 2018</t>
  </si>
  <si>
    <t>Centro Investigaciones Biologicas Noroeste, La Paz, MEXICO</t>
  </si>
  <si>
    <t>Centro Investigaciones Biologicas Noroeste</t>
  </si>
  <si>
    <t>AIR CO2 FLUX; EASTERN EQUATORIAL PACIFIC; OCEAN PCO(2); GLOBAL OCEAN; ANNUAL CYCLE; EL-NINO; INTERANNUAL VARIABILITY; CARBON; TEMPERATURE; WESTERN</t>
  </si>
  <si>
    <t>This study presents a synthesis of surface water partial pressure of CO2 (pCO(2)) and nutrient observations in the tropical Pacific (20 degrees S-20 degrees N) from 1981 to 2015 and characterizes the spatio-temporal variability. We used data from the Surface Ocean CO2 Atlas version 5, which include about 2 million pCO(2) measurements in the tropical Pacific. Unlike many previous studies that estimated pCO(2) fields from relationships with other variables like sea surface temperature, we developed gridded products of monthly means using a technique to interpolate measured pCO(2) values. Large seasonal variation of pCO(2) appears in the cold tongue region (EQ-20 degrees S, east of 120 degrees W) corresponding to the seasonal variation of coastal upwelling, and in the off-equatorial region where the thermodynamic effect on pCO(2) dominates. Consistent with previous findings, pCO(2) along the equator declines during El Nino due to weakening of the easterly winds and therefore reduced upwelling of CO2 rich subsurface water. We also quantified the spatial distribution of the long-term pCO(2) trend beyond the area-averaged trend presented previously. The long-term trend of pCO(2) is positive in all regions with an area average of 1.8 +/- 0.1 mu atm yr(-1). However, along the equator the trend is &gt; 2 mu atm yr(-1) linked to the Pacific Decadal Oscillation forcing. Using the same methodology, we also analyzed about 20,000 surface nutrient measurements from the Global Ocean Data Analysis Project version 2, World Ocean Database 2013, and ship-of-opportunity sampling by the National Institute for Environmental Studies, Japan. We present the spatial patterns of reduced surface nutrient concentration in the central to eastern tropics along the equator during El Nino, but there are not enough data to characterize the trends of nutrients in the tropical Pacific. Decorrelation analyses are also applied using covariance between pCO(2) anomalies separated by a lag increment for zonal, meridional, and temporal directions. The e-folding scale of pCO(2) is estimated to be 6 degrees in latitude, 13 degrees in longitude, and 2 months with a signal-to-noise ratio of 4, which are used as input for the interpolation as well as an assessment of ideal observation density and frequency. Decorrelation analyses such as this are critical for evaluating existing observing system design and informing future sampling strategies.</t>
  </si>
  <si>
    <t>[Yasunaka, S.; Kouketsu, S.; Murata, A.] Japan Agcy Marine Earth Sci &amp; Technol, Res Inst Global Change, Yokosuka, Kanagawa, Japan; [Strutton, P. G.] Univ Tasmania, Inst Marine &amp; Antarctic Studies, Hobart, Tas, Australia; [Strutton, P. G.] Univ Tasmania, Australian Res Council Ctr Excellence Climate Ext, Hobart, Tas, Australia; [Sutton, A. J.] NOAA, Pacific Marine Environm Lab, Seattle, WA USA; [Nakaoka, S.; Nojiri, Y.] Natl Inst Environm Studies, Ctr Global Environm Res, Tsukuba, Ibaraki, Japan</t>
  </si>
  <si>
    <t>Japan Agency for Marine-Earth Science &amp; Technology (JAMSTEC); University of Tasmania; University of Tasmania; National Oceanic Atmospheric Admin (NOAA) - USA; National Institute for Environmental Studies - Japan</t>
  </si>
  <si>
    <t>Yasunaka, S (corresponding author), Japan Agcy Marine Earth Sci &amp; Technol, Res Inst Global Change, Yokosuka, Kanagawa, Japan.</t>
  </si>
  <si>
    <t>yasunaka@jamstec.go.jp</t>
  </si>
  <si>
    <t>Shin-ichiro, Nakaoka/I-7222-2018; Sutton, Adrienne/C-7725-2015; Strutton, Peter/C-4466-2011</t>
  </si>
  <si>
    <t>Shin-ichiro, Nakaoka/0000-0002-3870-1721; Sutton, Adrienne/0000-0002-7414-7035; Strutton, Peter/0000-0002-2395-9471</t>
  </si>
  <si>
    <t>JSPS KAKENHI Grant [JP 18H04129]; Global Environmental Research Coordination System, from the Ministry of the Environment, Japan [E1751]; Office of Oceanic and Atmospheric Research of the National Oceanic and Atmospheric Administration, U.S. Department of Commerce from the Ocean Observing and Monitoring Division</t>
  </si>
  <si>
    <t>JSPS KAKENHI Grant(Ministry of Education, Culture, Sports, Science and Technology, Japan (MEXT)Japan Society for the Promotion of ScienceGrants-in-Aid for Scientific Research (KAKENHI)); Global Environmental Research Coordination System, from the Ministry of the Environment, Japan; Office of Oceanic and Atmospheric Research of the National Oceanic and Atmospheric Administration, U.S. Department of Commerce from the Ocean Observing and Monitoring Division</t>
  </si>
  <si>
    <t>We thank the many researchers and funding agencies responsible for the collection of data and quality control for their contributions to SOCAT, GLODAP, WOD, and NIES SOO observations. Among SOCAT pCO2 data we used, 25% of cruises were provided by Yukihiro Nojiri, 15% by Richard Feely and 14% by Shu Saito. We are grateful for the use of the CO2SYS program obtained from the Ocean Carbon Data System of NOAA National Centers for Environmental Information (https://www.nodc.noaa.gov/ocads/oceans/CO2SYS/co2rprt.html).Comments from the editor and anonymous reviewers were helpful in improving the manuscript. This work was financially supported by JSPS KAKENHI Grant Number JP 18H04129, and in part by the Global Environmental Research Coordination System, from the Ministry of the Environment, Japan (E1751). AJS is supported by the Office of Oceanic and Atmospheric Research of the National Oceanic and Atmospheric Administration, U.S. Department of Commerce, including resources from the Ocean Observing and Monitoring Division. This is PMEL contribution #4859.</t>
  </si>
  <si>
    <t>0967-0645</t>
  </si>
  <si>
    <t>1879-0100</t>
  </si>
  <si>
    <t>DEEP-SEA RES PT II</t>
  </si>
  <si>
    <t>Deep-Sea Res. Part II-Top. Stud. Oceanogr.</t>
  </si>
  <si>
    <t>10.1016/j.dsr2.2019.104680</t>
  </si>
  <si>
    <t>JZ0GF</t>
  </si>
  <si>
    <t>WOS:000504782200011</t>
  </si>
  <si>
    <t>Freeman, MP; Lam, MM</t>
  </si>
  <si>
    <t>Freeman, Mervyn P.; Lam, Mai Mai</t>
  </si>
  <si>
    <t>Regional, seasonal, and inter-annual variations of Antarctic and sub-Antarctic temperature anomalies related to the Mansurov effect</t>
  </si>
  <si>
    <t>ENVIRONMENTAL RESEARCH COMMUNICATIONS</t>
  </si>
  <si>
    <t>Mansurov effect; surface temperature; Antarctic; global atmospheric electric circuit</t>
  </si>
  <si>
    <t>VERTICAL ELECTRIC-FIELD; SOLAR-WIND; ATMOSPHERIC ELECTRICITY</t>
  </si>
  <si>
    <t>We use National Centers for Environmental Prediction/National Center for Atmospheric Research reanalysis data to show that Antarctic surface air temperature anomalies result from differences in the daily-mean duskward component, B-y, of the interplanetary magnetic field (IMF). We find the statistically-significant anomalies have strong geographical, seasonal, and inter-annual variations. For the interval 1999-2002, regional anomalies poleward of 60 degrees S are of diminishing representative peak amplitude from autumn (3.2 degrees C) to winter (2.4 degrees C) to spring (1.6 degrees C) to summer (0.9 degrees C). Exploiting apparently simplifying properties in the sub-Antarctic region in autumn 1999-2002, we demonstrate that temperature anomalies in this case are due to geostrophic wind anomalies, resulting from the same By changes, moving air across large meridional gradients in zonal mean air temperature between 50 and 70 degrees S over the 7-hour timescale for which a change in B-y can be expected to persist. Since the tropospheric pressure anomalies causing these winds have been associated with By-driven anomalies in the electric potential of the ionosphere, we conclude that IMF-induced changes to the global atmospheric electric circuit can cause day-to-day changes in regional surface air temperature of up to several degrees Centigrade.</t>
  </si>
  <si>
    <t>[Freeman, Mervyn P.] British Antarctic Survey, Cambridge, England; [Lam, Mai Mai] Univ Reading, Dept Meteorol, Reading, Berks, England</t>
  </si>
  <si>
    <t>UK Research &amp; Innovation (UKRI); Natural Environment Research Council (NERC); NERC British Antarctic Survey; University of Reading</t>
  </si>
  <si>
    <t>Freeman, MP (corresponding author), British Antarctic Survey, Cambridge, England.</t>
  </si>
  <si>
    <t>mpf@bas.ac.uk</t>
  </si>
  <si>
    <t>Freeman, Mervyn/E-5687-2019</t>
  </si>
  <si>
    <t>Lam, Mai Mai/0000-0002-0274-6119</t>
  </si>
  <si>
    <t>Philip Leverhulme Prize; UK Natural Environmental Research Council (NERC) [NE/I024852/1]; NERC; NERC [NE/I024852/1, bas0100031] Funding Source: UKRI</t>
  </si>
  <si>
    <t>Philip Leverhulme Prize(Leverhulme Trust); UK Natural Environmental Research Council (NERC)(UK Research &amp; Innovation (UKRI)Natural Environment Research Council (NERC)); NERC(UK Research &amp; Innovation (UKRI)Natural Environment Research Council (NERC)); NERC(UK Research &amp; Innovation (UKRI)Natural Environment Research Council (NERC))</t>
  </si>
  <si>
    <t>NCEP/NCAR reanalysis data were provided by the NOAA/OAR/ESRL PSD, Boulder, Colorado, USA, from their website www.esrl.noaa.gov/psd/.We acknowledge use of NASA/GSFC's Space Physics Data Facility's OMNIWeb service at http://omniweb.gsfc.nasa.gov. MML was supported to do this work by a Philip Leverhulme Prize (no associated grant number) won by Prof Mathew Owens (University of Reading). The authors also acknowledge support by UK Natural Environmental Research Council (NERC) grantNE/I024852/1 and also core funding from the NERC to the British Antarctic Survey's Space Weather and Atmosphere programme. Wethank John Turner and Gareth Chisham from the British Antarctic Survey (BAS) for useful discussions, and the BAS Mapping and GIS team for the map.</t>
  </si>
  <si>
    <t>2515-7620</t>
  </si>
  <si>
    <t>ENVIRON RES COMMUN</t>
  </si>
  <si>
    <t>Environ. Res. Commun.</t>
  </si>
  <si>
    <t>10.1088/2515-7620/ab4a84</t>
  </si>
  <si>
    <t>OC9XX</t>
  </si>
  <si>
    <t>WOS:000579510600007</t>
  </si>
  <si>
    <t>Nilsson, JA; Johnson, CR; Fulton, EA; Haward, M</t>
  </si>
  <si>
    <t>Nilsson, Jessica A.; Johnson, Craig R.; Fulton, Elizabeth A.; Haward, Marcus</t>
  </si>
  <si>
    <t>Fisheries sustainability relies on biological understanding, evidence-based management, and conducive industry conditions</t>
  </si>
  <si>
    <t>ecosystem-based fisheries management; fisheries exploitation; marine conservation; meta-analysis; ocean governance; sustaining fisheries</t>
  </si>
  <si>
    <t>ECOSYSTEM-BASED MANAGEMENT; TOOTHFISH DISSOSTICHUS-ELEGINOIDES; PATAGONIAN TOOTHFISH; SPATIAL-DISTRIBUTION; POPULATION-DYNAMICS; ATLANTIC COD; MARINE; COLLAPSE; CONSEQUENCES; RESOURCE</t>
  </si>
  <si>
    <t>This article recognizes that the impacts and effects of fishing are key to marine ecosystem management and explores the relationship between fisheries exploitation and sustainable harvests, and the collapse and depletion of stocks. A survey of 21 fisheries from around the world assessed key biological, environmental, social, economic, industry, governance, and management variables and associated criteria that potentially affect stock abundance. We developed 51 criteria as potential contributing factors underpinning three main fishery management outcomes: a sustainable fishery, a depleted fishery, or a collapsed fishery. The criteria that scored highest for the 15 sustainable fisheries in the analysis were associated with the broad groupings of biology (characteristics of the species and stock), management (legal and policy frameworks, tools and decision systems), and industry (economic performance and value). This analysis showed that while a fishery might have a high score for management, sustainability is likely to be difficult to achieve without a medium or high score for biological knowledge.</t>
  </si>
  <si>
    <t>[Nilsson, Jessica A.; Johnson, Craig R.; Haward, Marcus] Univ Tasmania, Inst Marine &amp; Antarctic Studies, Private Bag 129, Hobart, Tas 7001, Australia; [Nilsson, Jessica A.; Fulton, Elizabeth A.] CSIRO Oceans &amp; Atmosphere Flagship, GPO Box 1538, Hobart, Tas 7001, Australia; [Fulton, Elizabeth A.; Haward, Marcus] Univ Tasmania, Inst Marine &amp; Antarctic Studies, Ctr Marine Socioecol, Hobart, Tas, Australia</t>
  </si>
  <si>
    <t>University of Tasmania; Commonwealth Scientific &amp; Industrial Research Organisation (CSIRO); University of Tasmania</t>
  </si>
  <si>
    <t>Nilsson, JA (corresponding author), Univ Tasmania, Inst Marine &amp; Antarctic Studies, Private Bag 129, Hobart, Tas 7001, Australia.;Nilsson, JA (corresponding author), CSIRO Oceans &amp; Atmosphere Flagship, GPO Box 1538, Hobart, Tas 7001, Australia.</t>
  </si>
  <si>
    <t>jas.nilsson@gmail.com</t>
  </si>
  <si>
    <t>Fulton, Beth/A-2871-2008; Haward, Marcus/G-3369-2014</t>
  </si>
  <si>
    <t>10.1093/icesjms/fsz065</t>
  </si>
  <si>
    <t>WOS:000501732500007</t>
  </si>
  <si>
    <t>Moore, BR; Lestari, P; Cutmore, SC; Proctor, C; Lester, RJG</t>
  </si>
  <si>
    <t>Moore, Bradley R.; Lestari, Pratiwi; Cutmore, Scott C.; Proctor, Craig; Lester, Robert J. G.</t>
  </si>
  <si>
    <t>Movement of juvenile tuna deduced from parasite data</t>
  </si>
  <si>
    <t>bigeye tuna; fisheries management; Indian Ocean; Indonesia; Pacific Ocean; stock structure; yellowfin tuna</t>
  </si>
  <si>
    <t>BARRED SPANISH MACKEREL; YELLOWFIN TUNA; THUNNUS-ALBACARES; POPULATION CONNECTIVITY; STOCK DISCRIMINATION; KATSUWONUS-PELAMIS; EASTERN PACIFIC; SKIPJACK TUNA; WESTERN; BIGEYE</t>
  </si>
  <si>
    <t>The movements, and hence stock structures, of bigeye tuna, Thunnus obesus, and yellowfin tuna, Thunnus albacares, remain poorly defined despite their importance to food security, livelihoods and government revenue in many nations. We examined the parasite fauna of juvenile bigeye tuna and juvenile yellowfin tuna from areas within and outside Indonesia to determine how far they may have moved since metamorphosis and acquisition of a piscivorous diet. Patterns in parasite data between collection areas were consistent between the two tuna species. Fish from two outlier areas, Maldives and the Solomon Islands, harboured a distinct parasite fauna from those from adjacent Indonesian areas, although occasionally showed similarity with those from within the Indonesian archipelago. Within Indonesia, the parasite data indicated that few juvenile fish moved west from the Pacific Ocean into the archipelago and few moved west from the archipelago into the eastern Indian Ocean. While sampling of adult fish is required to fully resolve the stock structure of both tuna species, the results provide a necessary first-step in examining structuring of the two tuna species in Indonesia and indicate that juveniles of both species may have more restricted movement than is recognized in current management arrangements.</t>
  </si>
  <si>
    <t>[Moore, Bradley R.] Pacific Community SPC, Coastal Fisheries Programme, BP D5, Noumea 98848, New Caledonia; [Moore, Bradley R.] Univ Tasmania, Inst Marine &amp; Antarctic Studies, Private Bag 49, Hobart, Tas 7001, Australia; [Lestari, Pratiwi] Agcy Marine &amp; Fisheries Res &amp; Human Resources, Res Inst Marine Fisheries, Jl Raya Bogor KM 47, Bogor 16912, Jawa Barat, Indonesia; [Cutmore, Scott C.; Lester, Robert J. G.] Univ Queensland, Sch Biol Sci, Brisbane, Qld 4072, Australia; [Proctor, Craig] CSIRO Oceans &amp; Atmosphere, Hobart, Tas 7001, Australia</t>
  </si>
  <si>
    <t>University of Tasmania; University of Queensland; Commonwealth Scientific &amp; Industrial Research Organisation (CSIRO)</t>
  </si>
  <si>
    <t>Moore, BR (corresponding author), Pacific Community SPC, Coastal Fisheries Programme, BP D5, Noumea 98848, New Caledonia.;Moore, BR (corresponding author), Univ Tasmania, Inst Marine &amp; Antarctic Studies, Private Bag 49, Hobart, Tas 7001, Australia.</t>
  </si>
  <si>
    <t>Cutmore, Scott C/B-7385-2012</t>
  </si>
  <si>
    <t>Cutmore, Scott C/0000-0002-5648-3684; Lestari, Pratiwi/0009-0008-4560-4461</t>
  </si>
  <si>
    <t>Australian Centre for International Agricultural Research (ACIAR) [FIS/2009/059]</t>
  </si>
  <si>
    <t>Australian Centre for International Agricultural Research (ACIAR)(Australian Ctr Intl Agr Res)</t>
  </si>
  <si>
    <t>This study was funded by the Australian Centre for International Agricultural Research (ACIAR) through project FIS/2009/059. Pustika Ratnawati and Arlini Batubara assisted with the fish dissections. Laura Tremblay-Boyer provided invaluable assistance with the permutational analyses of variance and LDA plots. We thank Naomi Clear, Campbell Davies, Paige Eveson, Peter Grewe, John Hampton, Laura Tremblay-Boyer, and two anonymous reviewers for useful discussions and/or constructive feedback on earlier drafts on the manuscript.</t>
  </si>
  <si>
    <t>10.1093/icesjms/fsz022</t>
  </si>
  <si>
    <t>WOS:000501732500026</t>
  </si>
  <si>
    <t>Morrongieno, JR; Sweetman, PC; Thresher, RE</t>
  </si>
  <si>
    <t>Morrongieno, John R.; Sweetman, Philip C.; Thresher, Ronald E.</t>
  </si>
  <si>
    <t>Fishing constrains phenotypic responses of marine fish to climate variability</t>
  </si>
  <si>
    <t>JOURNAL OF ANIMAL ECOLOGY</t>
  </si>
  <si>
    <t>climate change; fish growth; fisheries selectivity; fisheries-induced evolution; multiple stressors; otolith biochronology; reaction norm; time series</t>
  </si>
  <si>
    <t>NOTOLABRUS-FUCICOLA LABRIDAE; SIZE-SELECTIVE MORTALITY; PURPLE WRASSE; BANDED WRASSE; GROWTH-RATES; BODY-SIZE; AGE; TEMPERATURE; POPULATIONS; EVOLUTION</t>
  </si>
  <si>
    <t>Fishing and climate change are profoundly impacting marine biota through unnatural selection and exposure to potentially stressful environmental conditions. Their effects, however, are often considered in isolation, and then only at the population level, despite there being great potential for synergistic selection on the individual. We explored how fishing and climate variability interact to affect an important driver of fishery productivity and population dynamics: individual growth rate. We projected that average growth rate would increase as waters warm, a harvest-induced release from density dependence would promote adult growth, and that fishing would increase the sensitivity of somatic growth to temperature. We measured growth increments from the otoliths of 400 purple wrasse (Notolabrius funicola), a site-attached temperate marine reef fish inhabiting an ocean warming hotspot. These were used to generate nearly two decades of annually resolved growth estimates from three populations spanning a period before and after the onset of commercial fishing. We used hierarchical models to partition variation in growth within and between individuals and populations, and attribute it to intrinsic (age, individual-specific) and extrinsic (local and regional climate, fishing) drivers. At the population scale, we detected predictable additive increases in average growth rate associated with warming and a release from density dependence. A fishing-warming synergy only became apparent at the individual scale where harvest resulted in the 50% reduction of thermal growth reaction norm diversity. This phenotypic change was primarily caused by the loss of larger individuals that showed a strong positive response to temperature change after the onset of size-selective harvesting. We speculate that the dramatic loss of individual-level biocomplexity is caused by either inadvertent fisheries selectivity based on behaviour, or the disruption of social hierarchies resulting from the selective harvesting of large, dominant and resource-rich individuals. Whatever the cause, the removal of individuals that display a positive growth response to temperature could substantially reduce species' capacity to adapt to climate change at temperatures well below those previously thought stressful.</t>
  </si>
  <si>
    <t>[Morrongieno, John R.] Univ Melbourne, Sch BioSci, Melbourne, Vic, Australia; [Morrongieno, John R.; Sweetman, Philip C.; Thresher, Ronald E.] CSIRO Oceans &amp; Atmosphere, Hobart, Tas, Australia; [Sweetman, Philip C.] Univ Tasmania, Inst Marine &amp; Antarctic Studies, Fisheries &amp; Aquaculture, Hobart, Tas, Australia</t>
  </si>
  <si>
    <t>Melbourne Genomics Health Alliance; University of Melbourne; Commonwealth Scientific &amp; Industrial Research Organisation (CSIRO); University of Tasmania</t>
  </si>
  <si>
    <t>Morrongieno, JR (corresponding author), Univ Melbourne, Sch BioSci, Melbourne, Vic, Australia.;Morrongieno, JR (corresponding author), CSIRO Oceans &amp; Atmosphere, Hobart, Tas, Australia.</t>
  </si>
  <si>
    <t>john.morrongiello@unimelb.edu.au</t>
  </si>
  <si>
    <t>Morrongiello, John/E-8716-2011; Thresher, Ronald/C-7442-2009</t>
  </si>
  <si>
    <t>Morrongiello, John/0000-0002-9608-4151;</t>
  </si>
  <si>
    <t>0021-8790</t>
  </si>
  <si>
    <t>1365-2656</t>
  </si>
  <si>
    <t>J ANIM ECOL</t>
  </si>
  <si>
    <t>J. Anim. Ecol.</t>
  </si>
  <si>
    <t>10.1111/1365-2656.12999</t>
  </si>
  <si>
    <t>Ecology; Zoology</t>
  </si>
  <si>
    <t>Environmental Sciences &amp; Ecology; Zoology</t>
  </si>
  <si>
    <t>JJ7MD</t>
  </si>
  <si>
    <t>WOS:000494336600002</t>
  </si>
  <si>
    <t>Kunze, E; Lien, RC</t>
  </si>
  <si>
    <t>Kunze, Eric; Lien, Ren-Chieh</t>
  </si>
  <si>
    <t>Energy Sinks for Lee Waves in Shear Flow</t>
  </si>
  <si>
    <t>Internal waves; Ocean circulation; Turbulence</t>
  </si>
  <si>
    <t>ANTARCTIC CIRCUMPOLAR CURRENT; INERTIA-GRAVITY WAVES; INTERNAL WAVES; SPONTANEOUS GENERATION; DEEP-OCEAN; FINESCALE PARAMETERIZATIONS; STRATIFIED FLOW; DRAG; DISSIPATION; CIRCULATION</t>
  </si>
  <si>
    <t>Microstructure measurements in Drake Passage and on the flanks of Kerguelen Plateau find turbulent dissipation rates epsilon on average factors of 2-3 smaller than linear lee-wave generation predictions, as well as a factor of 3 smaller than the predictions of a well-established parameterization based on finescale shear and strain. Here, the possibility that these discrepancies are a result of conservation of wave action E/omega(L) = E/|kU| is explored. Conservation of wave action will transfer a fraction of the lee-wave radiation back to the mean flow if the waves encounter weakening currents U, where the intrinsic or Lagrangian frequency omega(L) = |kU| (_) |f| and k the along-stream horizontal wavenumber, where kU equivalent to k center dot V. The dissipative fraction of power that is lost to turbulence depends on the Doppler shift of the intrinsic frequency between generation and breaking, hence on the topographic height spectrum and bandwidth N/f. The partition between dissipation and loss to the mean flow is quantified for typical topographic height spectral shapes and N/f ratios found in the abyssal ocean under the assumption that blocking is local in wavenumber. Although some fraction of lee-wave generation is always dissipated in a rotating fluid, lee waves are not as large a sink for balanced energy or as large a source for turbulence as previously suggested. The dissipative fraction is 0.44-0.56 for topographic spectral slopes and buoyancy frequencies typical of the deep Southern Ocean, insensitive to flow speed U and topographic splitting. Lee waves are also an important mechanism for redistributing balanced energy within their generating bottom current.</t>
  </si>
  <si>
    <t>[Kunze, Eric] Northwest Res Associates, Redmond, WA 98052 USA; [Lien, Ren-Chieh] Univ Washington, Appl Phys Lab, Seattle, WA 98105 USA</t>
  </si>
  <si>
    <t>NorthWest Research Associates; University of Washington; University of Washington Seattle</t>
  </si>
  <si>
    <t>Kunze, E (corresponding author), Northwest Res Associates, Redmond, WA 98052 USA.</t>
  </si>
  <si>
    <t>kunze@nwra.com</t>
  </si>
  <si>
    <t>NSF [OCE-1756093, OCE-1829082, OCE-1829190]</t>
  </si>
  <si>
    <t>David Trossman and Jody Klymak provided invaluable guidance. Amala Mahadevan, Amit Tandon, and an anonymous reviewer provided helpful comments for clarifying the manuscript. This work was supported by NSF Grants OCE-1756093, OCE-1829082, and OCE-1829190.</t>
  </si>
  <si>
    <t>10.1175/JPO-D-19-0052.1</t>
  </si>
  <si>
    <t>WOS:000494441400001</t>
  </si>
  <si>
    <t>Folguera, A; Ghiglione, M; Naipauer, M</t>
  </si>
  <si>
    <t>Folguera, Andres; Ghiglione, Matias; Naipauer, Maximiliano</t>
  </si>
  <si>
    <t>Special Issue tectonics of the Patagonian Basins</t>
  </si>
  <si>
    <t>JOURNAL OF SOUTH AMERICAN EARTH SCIENCES</t>
  </si>
  <si>
    <t>Patagonia; Tectonics; Basins</t>
  </si>
  <si>
    <t>The Tectonics of the Patagonian Basins Special Issue is dedicated to the latest achievements related to the Patagonian Basins and their tectonic evolution. This Special Issue includes 24 chapters which individually analyze in chronological order the events that characterized the evolution of the Patagonian Basins and Antarctic Peninsula, starting with i) the processes associated with Paleozoic to Triassic basins in Patagonia, ii) the initial stages of Patagonian Basin subsidence in Late Triassic to Early Jurassic times, coetaneous with the southeastern Pangea instability at the time of progressive roll back of the subducted Pacific Ocean floor, followed by iii) a series of Jurassic within-plate contractional episodes that temporarily interrupted sag and synrift stages, iv) renewed synrift and sag extension in Early Cretaceous times, v) the closure of the Neuquen, Malvinas and Austral basins in Late Cretaceous times in a context of the shallowing of the subducted Farallon Plate, vi) Paleogene basin development associated with dynamic subsidence in a context of renewed roll back of the subducted Pacific plates, and finally vii) the inception of Neogene foreland basins.</t>
  </si>
  <si>
    <t>[Folguera, Andres; Ghiglione, Matias; Naipauer, Maximiliano] Univ Buenos Aires, CONICET, Inst Estudios Andinos, Buenos Aires, DF, Argentina</t>
  </si>
  <si>
    <t>University of Buenos Aires; Consejo Nacional de Investigaciones Cientificas y Tecnicas (CONICET)</t>
  </si>
  <si>
    <t>Folguera, A (corresponding author), Univ Buenos Aires, CONICET, Inst Estudios Andinos, Buenos Aires, DF, Argentina.</t>
  </si>
  <si>
    <t>Ghiglione, Matias C/A-9413-2010</t>
  </si>
  <si>
    <t>folguera, andres/0000-0001-8965-8543</t>
  </si>
  <si>
    <t>0895-9811</t>
  </si>
  <si>
    <t>J S AM EARTH SCI</t>
  </si>
  <si>
    <t>J. South Am. Earth Sci.</t>
  </si>
  <si>
    <t>10.1016/j.jsames.2019.102282</t>
  </si>
  <si>
    <t>JA8YD</t>
  </si>
  <si>
    <t>WOS:000488136300044</t>
  </si>
  <si>
    <t>Tack, P; Bazi, B; Vekemans, B; Okbinoglu, T; Van Maldeghem, F; Goderis, S; Schöder, S; Vincze, L</t>
  </si>
  <si>
    <t>Tack, Pieter; Bazi, Benjamin; Vekemans, Bart; Okbinoglu, Tulin; Van Maldeghem, Flore; Goderis, Steven; Schoder, Sebastian; Vincze, Laszlo</t>
  </si>
  <si>
    <t>Investigation of (micro-)meteoritic materials at the new hard X-ray imaging PUMA beamline for heritage sciences</t>
  </si>
  <si>
    <t>JOURNAL OF SYNCHROTRON RADIATION</t>
  </si>
  <si>
    <t>PUMA; confocal XRF; XANES; differential imaging; cultural heritage; micrometeorite; pallasite</t>
  </si>
  <si>
    <t>MICROMETEORITES; FLUORESCENCE; SYNCHROTRON; ANCIENT</t>
  </si>
  <si>
    <t>At the French synchrotron facility SOLEIL, a new X-ray imaging facility PUMA (Photons Utilises pour les Materiaux Anciens) has been made available to scientific communities studying materials from cultural heritage. This new instrument aims to achieve 2D and 3D imaging with microscopic resolution, applying different analytical techniques including X-ray fluorescence spectroscopy (XRF), X-ray absorption spectroscopy (XAS), X-ray diffraction and phase-contrast imaging. In order to discover its capabilities a detailed analytical characterization of this beamline as an analytical and imaging tool is deemed necessary. In this work, (confocal) XRF and XAS analyses are demonstrated using the Seymchan pallasite meteorite and an Antarctic unmelted micrometeorite as case studies. The obtained spatial resolution (2 mu m x 3 mu m) and sensitivity (detection limits &lt;10 p.p.m. for 1 s acquisition at 18 keV) show that PUMA is a competitive state-of-the-art beamline, providing several high-profile and high-in-demand analytical methods while maintaining applicability towards a wide range of heritage-oriented sciences.</t>
  </si>
  <si>
    <t>[Tack, Pieter; Bazi, Benjamin; Vekemans, Bart; Vincze, Laszlo] Univ Ghent, Chem, Krijgslaan 281 S12, B-9000 Ghent, Belgium; [Okbinoglu, Tulin; Schoder, Sebastian] Synchrotron SOLEIL, PUMA Beamline, St Aubin BP48, F-91192 Gif Sur Yvette, France; [Van Maldeghem, Flore; Goderis, Steven] Vrije Univ Brussel, Analyt Environm &amp; Geochem, Pl Laan 2, B-1000 Brussels, Belgium</t>
  </si>
  <si>
    <t>Ghent University; SOLEIL Synchrotron; Vrije Universiteit Brussel</t>
  </si>
  <si>
    <t>Tack, P (corresponding author), Univ Ghent, Chem, Krijgslaan 281 S12, B-9000 Ghent, Belgium.</t>
  </si>
  <si>
    <t>pieter.tack@ugent.be</t>
  </si>
  <si>
    <t>Vincze, Laszlo/AAP-3914-2020; Tack, Pieter/K-6677-2019; Goderis, Steven/F-9908-2011</t>
  </si>
  <si>
    <t>Tack, Pieter/0000-0001-8437-6678; Goderis, Steven/0000-0002-6666-7153; Okbinoglu, Tulin/0000-0002-4040-4988; Bazi, Benjamin/0000-0002-4435-114X; Van Maldeghem, Flore/0000-0002-9186-1679; Schoder, Sebastian/0000-0002-9872-6146</t>
  </si>
  <si>
    <t>Belgian Federal Science Policy Office [BRAIN-be BAMM!] Funding Source: Medline; Fonds Wetenschappelijk Onderzoek [Excellence of Science ET-HOME project, G099817N, 1502819N] Funding Source: Medline; VUB Strategic Research Council [AMGC] Funding Source: Medline; UGent Bijzonder Onderzoeksfonds [Geconcerteerde Onderzoeksacties] Funding Source: Medline</t>
  </si>
  <si>
    <t>Belgian Federal Science Policy Office(Belgian Federal Science Policy Office); Fonds Wetenschappelijk Onderzoek(FWO); VUB Strategic Research Council; UGent Bijzonder Onderzoeksfonds</t>
  </si>
  <si>
    <t>INT UNION CRYSTALLOGRAPHY</t>
  </si>
  <si>
    <t>CHESTER</t>
  </si>
  <si>
    <t>2 ABBEY SQ, CHESTER, CH1 2HU, ENGLAND</t>
  </si>
  <si>
    <t>0909-0495</t>
  </si>
  <si>
    <t>1600-5775</t>
  </si>
  <si>
    <t>J SYNCHROTRON RADIAT</t>
  </si>
  <si>
    <t>J. Synchrot. Radiat.</t>
  </si>
  <si>
    <t>10.1107/S160057751901230X</t>
  </si>
  <si>
    <t>Instruments &amp; Instrumentation; Optics; Physics, Applied</t>
  </si>
  <si>
    <t>Instruments &amp; Instrumentation; Optics; Physics</t>
  </si>
  <si>
    <t>JN5YK</t>
  </si>
  <si>
    <t>WOS:000496973400022</t>
  </si>
  <si>
    <t>Gutt, J; Arndt, J; Kraan, C; Dorschel, B; Schröder, M; Bracher, A; Piepenburg, D</t>
  </si>
  <si>
    <t>Gutt, Julian; Arndt, Janina; Kraan, Casper; Dorschel, Boris; Schroeder, Michael; Bracher, Astrid; Piepenburg, Dieter</t>
  </si>
  <si>
    <t>Benthic communities and their drivers: A spatial analysis off the Antarctic Peninsula</t>
  </si>
  <si>
    <t>SHALLOW-WATER SITE; SUBMARINE CANYONS; MARINE; SHELF; DIVERSITY; PATTERNS; WEDDELL; BIODIVERSITY; ISLAND; PRODUCTIVITY</t>
  </si>
  <si>
    <t>Multiple environmental factors control benthic community patterns, and their relative importance varies with spatial scale. Since this variation is difficult to evaluate quantitatively, extensive sampling across a broad range of spatial scales is required. Here, we present a first case study on Southern Ocean shelf benthos, in which mega-epibenthic communities and biota-environment relationships have been explored at multiple spatial scales. The analyses encompassed 20 seafloor, water-column, and sea-ice parameters, as well as abundances of 18 mega-epibenthic taxa in a total of 2799 high-resolution seabed images taken at 28 stations at 32-786 m depth off the northern Antarctic Peninsula. Based on a priori nesting of sampling stations into ecoregions, subregions, and habitats, analyses indicated most pronounced patchiness levels at finest (within transects among adjacent seabed photos) and largest (among ecoregions) spatial scale considered. Using an alternative approach, explicitly involving the spatial distances between the geo-referenced data, Moran's Eigenvector mapping (MEM) classified the continuum of spatial scales into four categories: broad (&gt; 60 km), meso (10-60 km), small (2-10 km), and fine (&lt; 2 km). MEM analyses generally indicated an increase in mega-epibenthic community complexity with increasing spatial scale. Moreover, strong relationships between biota and environmental drivers were found at scales of &gt; 2 km. In contrast, few environmental variables contributed to explaining biotic structures at finer scales. These are likely rather determined by nonmeasured environmental variables, as well as biological traits and interactions that are assumed to be most effective at small spatial scales.</t>
  </si>
  <si>
    <t>[Gutt, Julian; Kraan, Casper; Dorschel, Boris; Schroeder, Michael; Bracher, Astrid; Piepenburg, Dieter] Helmholtz Ctr Polar &amp; Marine Res, Alfred Wegener Inst, Bremerhaven, Germany; [Arndt, Janina] Carl von Ossietzky Univ Oldenburg, Sch Math &amp; Sci, Oldenburg, Germany; [Kraan, Casper; Piepenburg, Dieter] Carl von Ossietzky Univ Oldenburg, Helmholtz Inst Funct Marine Biodivers, Oldenburg, Germany; [Bracher, Astrid] Univ Bremen, Inst Environm Phys, Bremen, Germany; [Piepenburg, Dieter] Univ Kiel, Inst Ecosyst Res, Kiel, Germany</t>
  </si>
  <si>
    <t>Helmholtz Association; Alfred Wegener Institute, Helmholtz Centre for Polar &amp; Marine Research; Carl von Ossietzky Universitat Oldenburg; Carl von Ossietzky Universitat Oldenburg; University of Bremen; University of Kiel</t>
  </si>
  <si>
    <t>Gutt, J (corresponding author), Helmholtz Ctr Polar &amp; Marine Res, Alfred Wegener Inst, Bremerhaven, Germany.</t>
  </si>
  <si>
    <t>julian.gutt@awi.de</t>
  </si>
  <si>
    <t>Bracher, Astrid/I-2672-2013; Bracher, Astrid/B-7805-2013</t>
  </si>
  <si>
    <t>Bracher, Astrid/0000-0003-3025-5517; Gutt, Julian/0000-0003-3773-9370; Piepenburg, Dieter/0000-0003-3977-2860; Kraan, Casper/0000-0003-2062-6222</t>
  </si>
  <si>
    <t>10.1002/lno.11187</t>
  </si>
  <si>
    <t>JL4NC</t>
  </si>
  <si>
    <t>WOS:000495506200003</t>
  </si>
  <si>
    <t>Whittle, RJ; Witts, JD; Bowman, VC; Crame, JA; Francis, JE; Ineson, J</t>
  </si>
  <si>
    <t>Whittle, Rowan J.; Witts, James D.; Bowman, Vanessa C.; Crame, J. Alistair; Francis, Jane E.; Ineson, Jon</t>
  </si>
  <si>
    <t>Nature and timing of biotic recovery in Antarctic benthic marine ecosystems following the Cretaceous-Palaeogene mass extinction</t>
  </si>
  <si>
    <t>PALAEONTOLOGY</t>
  </si>
  <si>
    <t>mass extinction; Cretaceous; Palaeogene; Antarctica; biotic recovery</t>
  </si>
  <si>
    <t>SEYMOUR-ISLAND; ASTEROID IMPACT; MARAMBIO GROUP; END; DIVERSITY; PRODUCTIVITY; BOUNDARY; EVOLUTION; CLIMATE; NANNOPLANKTON</t>
  </si>
  <si>
    <t>Taxonomic and ecological recovery from the Cretaceous-Palaeogene (K-Pg) mass extinction 66 million years ago shaped the composition and structure of modern ecosystems. The timing and nature of recovery has been linked to many factors including palaeolatitude, geographical range, the ecology of survivors, incumbency and palaeoenvironmental setting. Using a temporally constrained fossil dataset from one of the most expanded K-Pg successions in the world, integrated with palaeoenvironmental information, we provide the most detailed examination of the patterns and timing of recovery from the K-Pg mass extinction event in the high southern latitudes of Antarctica. The timing of biotic recovery was influenced by global stabilization of the wider Earth system following severe environmental perturbations, apparently regardless of latitude or local environment. Extinction intensity and ecological change were decoupled, with community scale ecological change less distinct compared to other locations, even if the taxonomic severity of the extinction was the same as at lower latitudes. This is consistent with a degree of geographical heterogeneity in the recovery from the K-Pg mass extinction. Recovery in Antarctica was influenced by local factors (such as water depth changes, local volcanism, and possibly incumbency and pre-adaptation to seasonality of the local benthic molluscan population), and also showed global signals, for example the radiation of the Neogastropoda within the first million years of the Danian, and a shift in dominance between bivalves and gastropods.</t>
  </si>
  <si>
    <t>[Whittle, Rowan J.; Bowman, Vanessa C.; Crame, J. Alistair; Francis, Jane E.] British Antarctic Survey, Madingley Rd, Cambridge CB3 0ET, England; [Witts, James D.] Univ Leeds, Sch Earth &amp; Environm, Leeds, W Yorkshire, England; [Ineson, Jon] Geol Survey Denmark &amp; Greenland GEUS, Copenhagen, Denmark; [Witts, James D.] Univ New Mexico, Dept Earth &amp; Planetary Sci, Northrup Hall,Yale Blvd NE, Albuquerque, NM 87131 USA</t>
  </si>
  <si>
    <t>UK Research &amp; Innovation (UKRI); Natural Environment Research Council (NERC); NERC British Antarctic Survey; University of Leeds; Geological Survey Of Denmark &amp; Greenland; University of New Mexico</t>
  </si>
  <si>
    <t>Whittle, RJ (corresponding author), British Antarctic Survey, Madingley Rd, Cambridge CB3 0ET, England.;Witts, JD (corresponding author), Univ Leeds, Sch Earth &amp; Environm, Leeds, W Yorkshire, England.;Witts, JD (corresponding author), Univ New Mexico, Dept Earth &amp; Planetary Sci, Northrup Hall,Yale Blvd NE, Albuquerque, NM 87131 USA.</t>
  </si>
  <si>
    <t>roit@bas.ac.uk; jdwitts@unm.edu; vanwma@bas.ac.uk; jacr@bas.ac.uk; janefr@bas.ac.uk; ji@geus.dk</t>
  </si>
  <si>
    <t>Witts, James/0000-0002-4002-415X</t>
  </si>
  <si>
    <t>NERC [NE/I005803/1, bas010011, bas0100030] Funding Source: UKRI</t>
  </si>
  <si>
    <t>0031-0239</t>
  </si>
  <si>
    <t>1475-4983</t>
  </si>
  <si>
    <t>10.1111/pala.12434</t>
  </si>
  <si>
    <t>JU0PF</t>
  </si>
  <si>
    <t>WOS:000501381000003</t>
  </si>
  <si>
    <t>Sommers, P; Porazinska, DL; Darcy, JL; Zamora, F; Fountain, AG; Schmidt, SK</t>
  </si>
  <si>
    <t>Sommers, Pacifica; Porazinska, Dorota L.; Darcy, John L.; Zamora, Felix; Fountain, Andrew G.; Schmidt, Steven K.</t>
  </si>
  <si>
    <t>Experimental cryoconite holes as mesocosms for studying community ecology</t>
  </si>
  <si>
    <t>Cryoconite; Antarctic; Bacteria; Eukaryotes; Algae; Cyanobacteria</t>
  </si>
  <si>
    <t>MCMURDO DRY VALLEYS; GREENLAND; GLACIERS; ANTARCTICA; BACTERIAL; POLAR; FLUX</t>
  </si>
  <si>
    <t>Cryoconite holes are surface melt-holes in ice containing sediments and typically organisms. In Antarctica, they form an attractive system of isolated mesocosms in which to study microbial community dynamics in aquatic ecosystems. Although microbial assemblages within the cryoconite holes most closely resemble those from local streams, they develop their own distinctive composition. Here, we characterize the microbial taxa over time in cryoconite holes experimentally created from supraglacial sediments to demonstrate their utility as experimental mesocosms. We used high-throughput sequencing to characterize the assemblages of bacteria and microbial eukaryotes before melt-in, then after one and two months. Within one month of melt-in, the experimental holes, now lidded with ice, were visually indistinguishable from natural cryoconite holes, and within two months their thermal characteristics matched those of natural holes. The microbial composition of the experimental cryoconite holes declined in richness and changed significantly in the relative abundance of various taxa, consistent with possible turnover. In particular, a dominant cyanobacterium, Nostoc sp., further increased its dominance over the other dominant cyanobacterial phylotype, and an initially rarer Flavobacterium sp. became one of the dominant taxa. The eukaryotes continued to be dominated by algae and tardigrades, with the relative abundance of the dominant alga, Macrochloris sp., increasing notably relative to the microfauna. These changes within a single growing season in newly formed lidded cryoconite holes created from exposed supraglacial sediments are consistent with primary production and microbial turnover, and provide a promising foundation for future work using such mesocosms.</t>
  </si>
  <si>
    <t>[Sommers, Pacifica; Porazinska, Dorota L.; Schmidt, Steven K.] Univ Colorado, Ecol &amp; Evolutionary Biol Dept, Boulder, CO 80309 USA; [Porazinska, Dorota L.] Univ Florida, Entomol &amp; Nemotol Dept, Gainesville, FL USA; [Darcy, John L.] Univ Hawaii Manoa, Dept Bot, Honolulu, HI 96822 USA; [Zamora, Felix; Fountain, Andrew G.] Portland State Univ, Dept Geol, Portland, OR 97207 USA</t>
  </si>
  <si>
    <t>University of Colorado System; University of Colorado Boulder; State University System of Florida; University of Florida; University of Hawaii System; University of Hawaii Manoa; Portland State University</t>
  </si>
  <si>
    <t>Sommers, P (corresponding author), Univ Colorado, Ecol &amp; Evolutionary Biol Dept, Boulder, CO 80309 USA.</t>
  </si>
  <si>
    <t>pacifica.sommers@colorado.edu</t>
  </si>
  <si>
    <t>Facility, BioFrontiers Next Generation Sequencing/AAJ-8616-2020; SCHMIDT, STEVEN K/G-2771-2010</t>
  </si>
  <si>
    <t>SCHMIDT, STEVEN K/0000-0002-9175-2085; Sommers, Pacifica/0000-0002-7797-7341</t>
  </si>
  <si>
    <t>United States National Science Foundation [1443578, 1443373]</t>
  </si>
  <si>
    <t>United States National Science Foundation(National Science Foundation (NSF))</t>
  </si>
  <si>
    <t>This work was conceptualized by the late Diana Nemergut, who is greatly missed. The authors would like to thank all the United States Antarctic Program staff who made these logistics feasible, UNAVCO for precision GPS support, and the BioFrontiers Sequencing Facility at the University of Colorado. Thanks also to Roberto Ambrosini, Jun Uetake, and an anonymous reviewer for comments that improved the manuscript. This work was funded by the United States National Science Foundation Polar Programs Awards 1443578 and 1443373.</t>
  </si>
  <si>
    <t>10.1007/s00300-019-02572-7</t>
  </si>
  <si>
    <t>JE8RG</t>
  </si>
  <si>
    <t>WOS:000490956900002</t>
  </si>
  <si>
    <t>Antonucci, M; Belghit, I; Truzzi, C; Illuminati, S; Araujo, P</t>
  </si>
  <si>
    <t>Antonucci, Matteo; Belghit, Ikram; Truzzi, Cristina; Illuminati, Silvia; Araujo, Pedro</t>
  </si>
  <si>
    <t>Modeling the influence of time and temperature on the levels of fatty acids in the liver of Antarctic fish Trematomus bernacchii</t>
  </si>
  <si>
    <t>Global warming; Bioclimatic models; Thermal acclimation; Gas chromatography; Nototheniidae species; Lipid composition</t>
  </si>
  <si>
    <t>MEMBRANE LIPID-COMPOSITION; RAINBOW-TROUT; HOMEOVISCOUS ADAPTATION; BIOLOGICAL-MEMBRANES; THERMAL-ACCLIMATION; CLIMATE-CHANGE; MARINE; TISSUE; EXPRESSION; BIOMARKERS</t>
  </si>
  <si>
    <t>Antarctic fish (Trematomus bernacchii) are an ideal group for studying the effect of ocean warming on vital physiological and biochemical mechanisms of adaptation, including changes in the fatty acid composition to higher heat tolerance in the sub-zero waters of the Southern Ocean. Despite the awareness of the impact of ocean warming on marine life, bioclimatic models describing the effect of temperature and time on fatty acid levels in marine species have not been considered yet. The objective of the present study was to investigate changes in the concentrations of fatty acids in liver from T. bernacchii in response to an increase in temperature in the Antarctic region. Changes in the concentrations of fatty acids in liver from T. bernacchii were observed after varying simultaneously and systematically the temperature and time. The fatty acid profiles were determined by gas chromatography prior to acclimation (- 1.8 degrees C) and after acclimation (0.0, 1.0, and 2.0 degrees C) at different times (1, 5, and 10 days). The observed changes were graphically visualized by expressing the fatty acid concentration in absolute units (mg g(-1)) as a function of the temperature and time using polynomial models. Major changes in fatty acid composition were observed at day 1 of exposition at all temperatures. At day 5, the fish seem to tolerate the new temperature condition. The concentrations of saturated fatty acids were almost constant throughout the various conditions. The concentrations of monounsaturated fatty acids (in particular 18:1n - 9) decrease at day 1 for all temperatures. In contrast, there was an increase in the concentrations of polyunsaturated fatty acids (in particular 20:5n - 3 and 22:6n - 3) with increasing temperatures after 1, 5, and 10 days of exposure. The proposed models were in agreement with reported studies on polar and temperate fish, indicating possibly similar adaptation mechanisms for teleost to cope with global warming.</t>
  </si>
  <si>
    <t>[Antonucci, Matteo; Belghit, Ikram; Araujo, Pedro] Inst Marine Res, POB 1870, N-5817 Bergen, Norway; [Antonucci, Matteo; Truzzi, Cristina; Illuminati, Silvia] Univ Politecn Marche, Dept Life &amp; Environm Sci, Via Brecce Bianche, I-60131 Ancona, Italy</t>
  </si>
  <si>
    <t>Institute of Marine Research - Norway; Marche Polytechnic University</t>
  </si>
  <si>
    <t>Araujo, P (corresponding author), Inst Marine Res, POB 1870, N-5817 Bergen, Norway.</t>
  </si>
  <si>
    <t>pedro.araujo@hi.no</t>
  </si>
  <si>
    <t>Illuminati, Silvia/GXZ-5038-2022</t>
  </si>
  <si>
    <t>Araujo, Pedro/0000-0002-1962-6084; Antonucci, Matteo/0000-0003-1466-9162</t>
  </si>
  <si>
    <t>Italian Programma Nazionale di Ricerche in Antartide, project Chemical Contamination; Italian Programma Nazionale di Ricerche in Antartide, project Behavior of microcomponents in the Antarctic Continent in relation to climate change; EU programme Erasmus+Traineeships for education, training, youth, and sport; Norwegian Research Council, project AquaFly [238997]</t>
  </si>
  <si>
    <t>Italian Programma Nazionale di Ricerche in Antartide, project Chemical Contamination; Italian Programma Nazionale di Ricerche in Antartide, project Behavior of microcomponents in the Antarctic Continent in relation to climate change; EU programme Erasmus+Traineeships for education, training, youth, and sport; Norwegian Research Council, project AquaFly</t>
  </si>
  <si>
    <t>Financial support from the Italian Programma Nazionale di Ricerche in Antartide, projects Chemical Contamination and Behavior of microcomponents in the Antarctic Continent in relation to climate change is gratefully acknowledged. Many thanks are due to the technical personnel of ENEA (Ente Nazionale Energia e Ambiente) at Terra Nova Bay and to the scientists of the Antarctic expedition for the sampling activities on site. MA is grateful for financial support from the EU programme Erasmus+Traineeships for education, training, youth, and sport. This study was also supported by the Norwegian Research Council, project AquaFly, Grant Number 238997.</t>
  </si>
  <si>
    <t>10.1007/s00300-019-02577-2</t>
  </si>
  <si>
    <t>WOS:000490956900005</t>
  </si>
  <si>
    <t>Savaglia, V; Matula, CV; Quartino, ML; Francione, MV; Zacher, K</t>
  </si>
  <si>
    <t>Savaglia, Valentina; Matula, Carolina Veronica; Quartino, Maria Liliana; Valli Francione, Mariano; Zacher, Katharina</t>
  </si>
  <si>
    <t>Physiological response to irradiance, temperature and co-cultivation in Antarctic engineering brown algae (Desmarestia menziesii and D. anceps)</t>
  </si>
  <si>
    <t>Coastal ecosystems; Global climate change; Phaeophyceae; Photosynthesis; Growth; Polar macroalgae; Season anticipators</t>
  </si>
  <si>
    <t>KING-GEORGE-ISLAND; SOUTH SHETLAND ISLANDS; POTTER COVE; MARINE MACROALGAE; PHOTOSYNTHETIC CHARACTERISTICS; CLIMATE-CHANGE; BENTHIC ALGAE; UV-RADIATION; FOOD-WEB; GROWTH</t>
  </si>
  <si>
    <t>The Western Antarctic Peninsula (WAP) is a hot spot of global warming, including decreased sea-ice cover during winter and increased sedimentation during summer due to glacial melt. Subsequently, an altered irradiance and temperature regime in the water column may affect the performance of primary producers and change competitive structures. The brown, subtidal macroalgae Desmarestia menziesii and D. anceps are ecosystem engineers and of extreme importance for the Antarctic coastal ecosystem. Individuals of both species were collected from the field during the austral summer and exposed in two experiments to different temperatures (2 and 7 degrees C) or different irradiances (high and low) in combination with co-culturing the two algal species together (two-factorial design). No temperature, irradiance or co-cultivation effects on growth rates of D. menziesii and D. anceps were detected, but effects were possibly masked by the very low growth rates. Both D. menziesii and D. anceps are season anticipators, showing highest growth in late winter/spring and a dormancy state during summer. Photosynthetic efficiency was usually higher at 2 degrees C and low irradiance conditions compared to 7 degrees C and high irradiance and no co-culturing effects were detected. Parameters derived from P-E curves (rETR(max), E-k and alpha) were higher in D. menziesii compared to D. anceps, reflecting zonation patterns in the field. Future multifactorial experiments, taking seasons and different life-stages into account, are particularly needed to elucidate year-round effects of global warming on macroalgal key species that form the energetic base of the Antarctic coastal food webs.</t>
  </si>
  <si>
    <t>[Savaglia, Valentina] Univ Liege, Ctr Prot Engineer, Allee 6 Aout 13, B-4000 Liege, Belgium; [Matula, Carolina Veronica; Quartino, Maria Liliana] Inst Antartico Argentino, 25 Mayo 1143,B1650, Buenos Aires, DF, Argentina; [Valli Francione, Mariano] Natl Univ Lujan, Ave Constituc,Ruta 5,B6702, Buenos Aires, DF, Argentina; [Savaglia, Valentina; Zacher, Katharina] Helmholtz Ctr Polar &amp; Marine Res, Alfred Wegener Inst, Handelshafen 12, D-27570 Bremerhaven, Germany</t>
  </si>
  <si>
    <t>University of Liege; Instituto Antartico Argentino; Universidad Nacional de Lujan; Helmholtz Association; Alfred Wegener Institute, Helmholtz Centre for Polar &amp; Marine Research</t>
  </si>
  <si>
    <t>Savaglia, V (corresponding author), Univ Liege, Ctr Prot Engineer, Allee 6 Aout 13, B-4000 Liege, Belgium.;Savaglia, V (corresponding author), Helmholtz Ctr Polar &amp; Marine Res, Alfred Wegener Inst, Handelshafen 12, D-27570 Bremerhaven, Germany.</t>
  </si>
  <si>
    <t>Valentina.Savaglia@uliege.be; Katharina.Zacher@awi.de</t>
  </si>
  <si>
    <t>Savaglia, Valentina/0000-0002-8524-7795</t>
  </si>
  <si>
    <t>Deutsche Forschungsgemeinschaft (DFG) [Za735/1-1]; Alfred-WegenerInstitute Helmholtz Centre for Polar and Marine Research; international Research Network IMCONet - Marie Curie Action IRSES IMCONet (FP7 IRSES -International Research Staff Exchange Scheme) [319718]</t>
  </si>
  <si>
    <t>Deutsche Forschungsgemeinschaft (DFG)(German Research Foundation (DFG)); Alfred-WegenerInstitute Helmholtz Centre for Polar and Marine Research; international Research Network IMCONet - Marie Curie Action IRSES IMCONet (FP7 IRSES -International Research Staff Exchange Scheme)(European Union (EU))</t>
  </si>
  <si>
    <t>We would like to thank the diving and logistic team at Dallmann/Carlini Sation. This work was supported by the Deutsche Forschungsgemeinschaft (DFG) in the framework of the priority programme Antarctic Research with comparative investigations in Arctic ice areas by a Grant Za735/1-1, by the Alfred-WegenerInstitute Helmholtz Centre for Polar and Marine Research and the international Research Network IMCONet funded by the Marie Curie Action IRSES IMCONet (FP7 IRSES -International Research Staff Exchange Scheme, Action No. 319718). We thank also Jilda Caccavo and Dina Brode-Roger for suggestions on language aspects and Dieter Piepenburg and the three anonymous reviewers for the helpful comments on the manuscript.</t>
  </si>
  <si>
    <t>10.1007/s00300-019-02578-1</t>
  </si>
  <si>
    <t>WOS:000490956900006</t>
  </si>
  <si>
    <t>Holmes, CJ; Jennings, EC; Gantz, JD; Spacht, D; Spangler, AA; Denlinger, DL; Lee, RE; Hamilton, TL; Benoit, JB</t>
  </si>
  <si>
    <t>Holmes, Christopher J.; Jennings, Emily C.; Gantz, J. D.; Spacht, Drew; Spangler, Austin A.; Denlinger, David L.; Lee, Richard E., Jr.; Hamilton, Trinity L.; Benoit, Joshua B.</t>
  </si>
  <si>
    <t>The Antarctic mite, Alaskozetes antarcticus, shares bacterial microbiome community membership but not abundance between adults and tritonymphs</t>
  </si>
  <si>
    <t>Microbiome; Oribatid mite; 16S rRNA; Antarctica; Arthropod; Polar</t>
  </si>
  <si>
    <t>TICK MICROBIOME; COLD-HARDINESS; DIVERSITY; SOIL; ACARI; CLASSIFICATION; TOLERANCE; STRATEGY; NITROGEN; SURVIVAL</t>
  </si>
  <si>
    <t>The Antarctic mite (Alaskozetes antarcticus) is widely distributed on sub-Antarctic islands and throughout the Antarctic Peninsula, making it one of the most abundant terrestrial arthropods in the region. Despite the impressive ability of A. antarcticus to thrive in harsh Antarctic conditions, little is known about the biology of this species. In this study, we performed 16S rRNA gene sequencing to examine the microbiome of the final immature instar (tritonymph) and both male and female adults. The microbiome included a limited number of microbial classes and genera, with few differences in community membership noted among the different stages. However, the abundances of taxa that composed the microbial community differed between adults and tritonymphs. Five classes-Actinobacteria, Flavobacteriia, Sphingobacteriia, Gammaproteobacteria, and Betaproteobacteria-comprised similar to 82.0% of the microbial composition, and five (identified) genera-Dermacoccus, Pedobacter, Chryseobacterium, Pseudomonas, and Flavobacterium-accounted for similar to 68.0% of the total composition. The core microbiome present in all surveyed A. antarcticus was dominated by the families Flavobacteriaceae, Comamonadaceae, Sphingobacteriaceae, Chitinophagaceae and Cytophagaceae, but the majority of the core consisted of operational taxonomic units of low abundance. This comprehensive analysis reveals a diverse microbiome among individuals of different stages, with overlap likely due to their shared habitat and common feeding preferences as herbivores and detritivores. The microbiome of the Antarctic mite shows considerably more diversity than observed in mite species from lower latitudes.</t>
  </si>
  <si>
    <t>[Holmes, Christopher J.; Jennings, Emily C.; Spangler, Austin A.; Benoit, Joshua B.] Univ Cincinnati, Dept Biol Sci, Cincinnati, OH 45221 USA; [Gantz, J. D.] Hendrix Coll, Dept Biol, Conway, AR USA; [Gantz, J. D.; Lee, Richard E., Jr.] Miami Univ, Dept Biol, Oxford, OH 45056 USA; [Spacht, Drew; Denlinger, David L.] Ohio State Univ, Dept Entomol, 1735 Neil Ave, Columbus, OH 43210 USA; [Spacht, Drew; Denlinger, David L.] Ohio State Univ, Dept Evolut Ecol &amp; Organismal Biol, Columbus, OH 43210 USA; [Hamilton, Trinity L.] Univ Minnesota, Dept Plant &amp; Microbial Biol, St Paul, MN 55108 USA; [Hamilton, Trinity L.] Univ Minnesota, Inst Biotechnol, St Paul, MN 55108 USA</t>
  </si>
  <si>
    <t>University System of Ohio; University of Cincinnati; University System of Ohio; Miami University; University System of Ohio; Ohio State University; University System of Ohio; Ohio State University; University of Minnesota System; University of Minnesota Twin Cities; University of Minnesota System; University of Minnesota Twin Cities</t>
  </si>
  <si>
    <t>Holmes, CJ (corresponding author), Univ Cincinnati, Dept Biol Sci, Cincinnati, OH 45221 USA.</t>
  </si>
  <si>
    <t>holmescp@mail.uc.edu</t>
  </si>
  <si>
    <t>Holmes, Christopher/0000-0001-9612-366X; Hamilton, Trinity/0000-0002-2282-4655; Jennings, Emily/0000-0002-7687-5319</t>
  </si>
  <si>
    <t>National Science Foundation [NSF PLR 1341385, NSF PLR 1341393, DEB-1654417]</t>
  </si>
  <si>
    <t>This research was supported by the National Science Foundation (NSF PLR 1341385 and NSF PLR 1341393, with partial support for computing resources in DEB-1654417). This study used the Nephele platform from the National Institute of Allergy and Infectious Diseases (NIAID) Office of Cyber Infrastructure and Computational Biology (OCICB) in Bethesda, MD. We are grateful for the hard work and assistance of the support staff at Palmer Station.</t>
  </si>
  <si>
    <t>10.1007/s00300-019-02582-5</t>
  </si>
  <si>
    <t>WOS:000490956900010</t>
  </si>
  <si>
    <t>Torstensson, A; Jimenez, C; Nilsson, AK; Wulff, A</t>
  </si>
  <si>
    <t>Torstensson, Anders; Jimenez, Carlos; Nilsson, Anders K.; Wulff, Angela</t>
  </si>
  <si>
    <t>Elevated temperature and decreased salinity both affect the biochemical composition of the Antarctic sea-ice diatom Nitzschia lecointei, but not increased pCO2</t>
  </si>
  <si>
    <t>Temperature; Salinity; pCO(2); Fatty acids; TBARS; PUFA</t>
  </si>
  <si>
    <t>OCEAN ACIDIFICATION; CARBONIC-ACID; GROWTH; PHYTOPLANKTON; LIGHT; PHOTOSYNTHESIS; IRRADIANCE; ALGAE; CO2; DISSOCIATION</t>
  </si>
  <si>
    <t>Areas in western Antarctica are experiencing rapid climate change, where ocean warming results in more sea ice melt simultaneously as oceanic CO2 levels are increasing. In this study, we have tested how increased temperature (from -1.8 to 3 degrees C) and decreased salinity (from 35 to 20 and 10) synergistically affect the growth, photophysiology and biochemical composition of the Antarctic sea-ice diatom Nitzschia lecointei. In a separate experiment, we also addressed how ocean acidification (from 400 to 1000 mu atm partial pressure of CO2) affects these key physiological parameters. Both positive and negative changes in specific growth rate, particulate organic carbon to particulate organic nitrogen ratio, chl a fluorescence kinetics, lipid peroxidation, carbohydrate content, protein content, fatty acid content and composition were observed when cells were exposed to warming and desalination. However, when cells were subjected to increased pCO(2), only F-v/F-m, non-photochemical quenching and lipid peroxidation increased (by 3, 16 and 14%, respectively), and no other of the abovementioned biochemical properties were affected. These results suggest that changes in temperature and salinity may have more effects on the biochemical composition of N. lecointei than ocean acidification. Sea-ice algae are important component of polar food webs, and their nutritional quality may be affected as a result of altered environmental conditions due to climate change and sea ice melt.</t>
  </si>
  <si>
    <t>[Torstensson, Anders; Nilsson, Anders K.; Wulff, Angela] Univ Gothenburg, Dept Biol &amp; Environm Sci, Gothenburg, Sweden; [Jimenez, Carlos] Univ Malaga, Fac Sci, Dept Ecol, Malaga, Spain; [Nilsson, Anders K.] Univ Gothenburg, Sahlgrenska Acad, Inst Neurosci &amp; Physiol, Sect Ophthalmol,Dept Clin Neurosci, Gothenburg, Sweden; [Torstensson, Anders] Uppsala Univ, Dept Ecol &amp; Genet, Limnol, Uppsala, Sweden</t>
  </si>
  <si>
    <t>University of Gothenburg; Universidad de Malaga; University of Gothenburg; Uppsala University</t>
  </si>
  <si>
    <t>Torstensson, A (corresponding author), Univ Gothenburg, Dept Biol &amp; Environm Sci, Gothenburg, Sweden.;Torstensson, A (corresponding author), Uppsala Univ, Dept Ecol &amp; Genet, Limnol, Uppsala, Sweden.</t>
  </si>
  <si>
    <t>anders.torstensson@ebc.uu.se</t>
  </si>
  <si>
    <t>Nilsson, Anders K/AAE-3048-2022; Nilsson, Anders/ABG-5822-2021</t>
  </si>
  <si>
    <t>Nilsson, Anders/0000-0003-3631-0783; Torstensson, Anders/0000-0002-8283-656X</t>
  </si>
  <si>
    <t>Uppsala University; Campus de Excelencia Internacional del Mar (CEIMAR); Royal Society of Arts and Sciences in Gothenburg (KVVS); Ymer -80 Foundation; Helge Ax:son Johnson's Foundation; Spanish Ministry of Economy and Competitiveness [CGL2015-67014-R]</t>
  </si>
  <si>
    <t>Uppsala University; Campus de Excelencia Internacional del Mar (CEIMAR); Royal Society of Arts and Sciences in Gothenburg (KVVS); Ymer -80 Foundation; Helge Ax:son Johnson's Foundation; Spanish Ministry of Economy and Competitiveness(Spanish Government)</t>
  </si>
  <si>
    <t>Open access funding provided by Uppsala University. This study was funded by a fellowship from the Campus de Excelencia Internacional del Mar (CEIMAR). Additional support was provided by the Royal Society of Arts and Sciences in Gothenburg (KVVS), Ymer -80 Foundation and Helge Ax:son Johnson's Foundation. C.J. was financed by project CGL2015-67014-R of the Spanish Ministry of Economy and Competitiveness. We thank Dr. Ken Ryan and two anonymous reviewers for their helpful comments on the manuscript.</t>
  </si>
  <si>
    <t>10.1007/s00300-019-02589-y</t>
  </si>
  <si>
    <t>KC8CB</t>
  </si>
  <si>
    <t>WOS:000507398200002</t>
  </si>
  <si>
    <t>Brandao, SN; Hoppema, M; Kamenev, GM; Karanovic, I; Riehl, T; Tanaka, H; Vital, H; Yoo, H; Brandt, A</t>
  </si>
  <si>
    <t>Brandao, Simone N.; Hoppema, Mario; Kamenev, Gennady M.; Karanovic, Ivana; Riehl, Torben; Tanaka, Hayato; Vital, Helenice; Yoo, Hyunsu; Brandt, Angelika</t>
  </si>
  <si>
    <t>Review of Ostracoda (Crustacea) living below the Carbonate Compensation Depth and the deepest record of a calcified ostracod</t>
  </si>
  <si>
    <t>Hadal; Ostracoda; Kuril-Kamchatka Trench; Northwestern Pacific</t>
  </si>
  <si>
    <t>KURIL-KAMCHATKA TRENCH; ABYSSAL-PLAIN ADJACENT; BENTHIC FORAMINIFERAL ASSEMBLAGES; SOUTH ATLANTIC-OCEAN; CALCIUM-CARBONATE; NORTHWESTERN PACIFIC; SPECIES COMPOSITION; EPIBENTHIC SLEDGE; WEDDELL SEA; DISSOLUTION</t>
  </si>
  <si>
    <t>Ostracods are small-sized crustaceans, which inhabit all aquatic ecosystems and, because they have a comprehensive fossil record, are important environmental and paleoenvironmental indicators. However several aspects of the ecology of modem species (the basis for the paleontological investigations) are still controversial. Previous authors have raised the hypothesis that benthic ostracods, because of their calcified carapaces, are unable to survive below the Carbonate Compensation Depth (CCD). Herein we test this hypothesis based on (1) ostracods newly collected from the Kuril-Kamchatka Trench at depths far below the CCD during the KuramBio II expedition; and (2) a compilation of all previously published records of (geologically) Recent deep-sea Ostracoda in regions deeper than 3500 m. The KuramBio II expedition provided hundreds of living, hadal ostracods from at least 30 species and 21 genera from thousands of meters deeper than the CCD in the Kuril-Kamchatka Trench region. Additionally, the KuramBio II expedition provided the deepest record (9307 m) of a living ostracod with calcified carapaces: specimens of the genus Krithe. Finally, the compilation of all published information on living ostracods show that a highly diverse assemblage both at high and low taxonomic levels (2 subclasses, 4 suborders, 25 families, 89 genera and at least 206 species) occur below 3500 m. Therefore, we conclude that contrary to previous beliefs, the new data from the Kuril-Kamchatka Trench and the compilation of the literature show that ostracods do live and are even sometimes abundant below the CCD.</t>
  </si>
  <si>
    <t>[Brandao, Simone N.] Univ Fed Rural Semi Arido, Programa Posgrad Ecol &amp; Conservacao, Ctr Ciencias Biol, Ave Francisco Mota 572, BR-59625900 Mossoro, RN, Brazil; [Brandao, Simone N.; Vital, Helenice] Univ Fed Rio Grande do Norte, Programa Posgrad Geodinam &amp; Geofis, Lab Geol &amp; Geofis Marinha &amp; Monitoramento Ambient, Campus Univ Lagoa Nova,Postbox 1596, BR-59072970 Natal, RN, Brazil; [Brandao, Simone N.] Univ Fed Rio Grande do Norte, Programa Posgrad Sistemat &amp; Evolucao, Campus Univ Lagoa Nova, BR-59072970 Natal, RN, Brazil; [Hoppema, Mario] Helmholtz Ctr Polar &amp; Marine Res, Alfred Wegener Inst, Climate Sci Dept, Postfach 120161, D-27515 Bremerhaven, Germany; [Kamenev, Gennady M.] Russian Acad Sci, Natl Sci Ctr Marine Biol, Far Eastern Branch, Palchevskogo St 17, Vladivostok 690041, Russia; [Karanovic, Ivana; Yoo, Hyunsu] Hanyang Univ, Dept Life Sci, Coll Nat Sci, Seoul 133791, South Korea; [Karanovic, Ivana] Univ Tasmania, Inst Marine &amp; Antarctic Studies, Private Bag 49, Hobart, Tas 7001, Australia; [Riehl, Torben; Brandt, Angelika] Senckenberg Res Inst, Senckenberganlage 25, D-60325 Frankfurt, Germany; [Riehl, Torben; Brandt, Angelika] Nat Hist Museum, Senckenberganlage 25, D-60325 Frankfurt, Germany; [Tanaka, Hayato] Tokyo Sea Life Pk, Edogawa Ku, 6-2-3 Rinkai Cho, Tokyo 1348587, Japan; [Brandt, Angelika] Goethe Univ Frankfurt, Inst Ecol Evolut &amp; Divers, FB 15,Max von Laue Str 13, D-60439 Frankfurt, Germany</t>
  </si>
  <si>
    <t>Universidade Federal Rural do Semi-Arido (UFERSA); Universidade Federal do Rio Grande do Norte; Universidade Federal do Rio Grande do Norte; Helmholtz Association; Alfred Wegener Institute, Helmholtz Centre for Polar &amp; Marine Research; Russian Academy of Sciences; National Scientific Center of Marine Biology, Far East Branch of the Russian Academy of Sciences; Hanyang University; University of Tasmania; Senckenberg Gesellschaft fur Naturforschung (SGN); Goethe University Frankfurt</t>
  </si>
  <si>
    <t>Brandao, SN (corresponding author), Univ Fed Rural Semi Arido, Programa Posgrad Ecol &amp; Conservacao, Ctr Ciencias Biol, Ave Francisco Mota 572, BR-59625900 Mossoro, RN, Brazil.</t>
  </si>
  <si>
    <t>brandao.sn.100@gmail.com</t>
  </si>
  <si>
    <t>Kamenev, Gennady M./S-7103-2018; YOO, HYUNSU/ADI-9139-2022; Riehl, Torben/C-3711-2013; Brandao, Simone/C-9416-2013; Vital, Helenice/H-4898-2013</t>
  </si>
  <si>
    <t>Brandao, Simone/0000-0002-3487-6129; Vital, Helenice/0000-0003-0462-9028; Kamenev, Gennady/0000-0002-9754-3436; Riehl, Torben/0000-0002-7363-4421</t>
  </si>
  <si>
    <t>Census of Abyssal Marine life (CeDAMar) Program of the Census of Marine Life (CoML); Alexander von Humboldt Foundation; CNPq [400116/2013-8, 374397/2013-9, 442550/2014-6, 311413/2016-1]; CAPES [1627957, 88887.123925/2015-00]; Russian Foundation for Basic Research [19-04-00281 -a]; Korean National Research Foundation (NRF) [2016R1D1A1B01009806]; German ministry for education and research (BMBF) [03G0250A]</t>
  </si>
  <si>
    <t>Census of Abyssal Marine life (CeDAMar) Program of the Census of Marine Life (CoML); Alexander von Humboldt Foundation(Alexander von Humboldt Foundation); CNPq(Conselho Nacional de Desenvolvimento Cientifico e Tecnologico (CNPQ)); CAPES(Coordenacao de Aperfeicoamento de Pessoal de Nivel Superior (CAPES)); Russian Foundation for Basic Research(Russian Foundation for Basic Research (RFBR)Spanish Government); Korean National Research Foundation (NRF)(National Research Foundation of Korea); German ministry for education and research (BMBF)(Federal Ministry of Education &amp; Research (BMBF))</t>
  </si>
  <si>
    <t>This is the KuramBio publication #45. David J. Horne (Queen Mary University of London) is kindly acknowledged for valuable comments and suggestions in an early stage of this project. The crew and scientists of the KuramBio I and II expeditions are kindly acknowledged for the logistics and support during sampling. We are indebted to the two anonymous referees and to the editor Marina Malyutina for valuable suggestions. We are thankful to Mrs. Renate Walter and Dietmar Keyser (Zoologisches Museum, University of Hamburg) for their assistance during EDX analyses. Many thanks to Oliver Meyer and his friendly and professional team on board of the Research Vessel Sonne. Moriaki Yasuhara kindly revised the manuscript and provided literature. The Census of Abyssal Marine life (CeDAMar) Program of the Census of Marine Life (CoML) provided funds to SNB for the compilation of deep-sea records of Ostracoda. The Alexander von Humboldt Foundation, CNPq (processes 400116/2013-8, 374397/2013-9, 442550/2014-6 and 311413/2016-1) and CAPES (1627957 and 88887.123925/2015-00) provided financial support to SNB and HV in different periods of this study. The study of bivalve mollusks of the Kuril-Kamchatka Trench performed by GMK was supported by the Russian Foundation for Basic Research (grant no. 19-04-00281 -a). IK and HY were supported by the Korean National Research Foundation (NRF, number 2016R1D1A1B01009806). The collaborative German-Russian project KuramBio was funded by the German ministry for education and research (BMBF) under project #03G0250A to AB. We are also grateful to the German Ministry of Education and Research for providing Research Vessel Sonne for this expedition and the shipping company Briese for logistics.</t>
  </si>
  <si>
    <t>10.1016/j.pocean.2019.102144</t>
  </si>
  <si>
    <t>WOS:000496861900022</t>
  </si>
  <si>
    <t>Trumhova, K; Holzinger, A; Obwegeser, S; Neuner, G; Pichrtova, M</t>
  </si>
  <si>
    <t>Trumhova, Katerina; Holzinger, Andreas; Obwegeser, Sabrina; Neuner, Gilbert; Pichrtova, Martina</t>
  </si>
  <si>
    <t>The conjugating green alga Zygnema sp. (Zygnematophyceae) from the Arctic shows high frost tolerance in mature cells (pre-akinetes)</t>
  </si>
  <si>
    <t>PROTOPLASMA</t>
  </si>
  <si>
    <t>Auramine O; Chlorophyll fluorescence; Freezing; Ice; Live cell staining; Ultrastructure</t>
  </si>
  <si>
    <t>DESICCATION STRESS; INTRACELLULAR ICE; ANTARCTIC STRAINS; OSMOTIC-STRESS; KLEBSORMIDIUM; STREPTOPHYTA; PLANTS; PHOTOSYNTHESIS; ULTRASTRUCTURE; CHLOROPHYTA</t>
  </si>
  <si>
    <t>Green algae of the genus Zygnema form extensive mats and produce large amounts of biomass in shallow freshwater habitats. Environmental stresses including freezing may perturb these mats, which usually have only annual character. To estimate the limits of survival at subzero temperatures, freezing resistance of young Zygnema sp. (strain MP2011 Skan) cells and pre-akinetes was investigated. Young, 2-week-old cultures were exposed to temperatures of 0 to -14 degrees C at 2-K steps, whereas 8-month-old cultures were frozen from -10 to -70 degrees C at 10-K intervals. Cell viability after freezing was determined by 0.1% auramine O vital fluorescence staining and measurements of the effective quantum yield of photosystem II (Phi(PSII)). At -8 degrees C, the young vegetative cells were unable to recover from severe frost damage. But temperatures even slightly below zero (- 2 degrees C) negatively affected the cells' physiology. Single pre-akinetes could survive even at -70 degrees C, but their LT50 value was -26.2 degrees C. Severe freezing cytorrhysis was observed via cryo-microscopy at - 10 degrees C, a temperature found to be lethal for young cells. The ultrastructure of young cells appeared unchanged at -2 degrees C, but severe damage to biomembranes and formation of small foamy vacuoles was observed at -10 degrees C. Pre-akinetes did not show ultrastructural changes at - 20 degrees C; however, vacuolization increased, and gas bubbles appeared at -70 degrees C. Our results demonstrate that the formation of pre-akinetes increases freezing resistance. This adaptation is crucial for surviving the harsh temperature conditions prevailing in the High Arctic in winter and a key feature in seasonal dynamics of Zygnema sp.</t>
  </si>
  <si>
    <t>[Trumhova, Katerina; Pichrtova, Martina] Charles Univ Prague, Dept Bot, Fac Sci, Benatska 2, Prague 12800, Czech Republic; [Holzinger, Andreas; Obwegeser, Sabrina; Neuner, Gilbert] Univ Innsbruck, Inst Bot, Funct Plant Biol, Sternwartestr 15, A-6020 Innsbruck, Austria</t>
  </si>
  <si>
    <t>Charles University Prague; University of Innsbruck</t>
  </si>
  <si>
    <t>Pichrtova, M (corresponding author), Charles Univ Prague, Dept Bot, Fac Sci, Benatska 2, Prague 12800, Czech Republic.</t>
  </si>
  <si>
    <t>martina.pichrtova@natur.cuni.cz</t>
  </si>
  <si>
    <t>Holzinger, Andreas/Z-2659-2019; Pichrtová, Martina/N-1298-2014; Neuner, Gilbert/J-9909-2017</t>
  </si>
  <si>
    <t>Holzinger, Andreas/0000-0002-7745-3978; Pichrtová, Martina/0000-0002-6003-9666; Trumhova, Katerina/0000-0003-2581-6674</t>
  </si>
  <si>
    <t>Austrian Science Fund (FWF) [I 1951-B16]; Czech Science Foundation (GACR) [15-34645L]; Charles University, project GAUK [980518]; Ministry of Education, Youth and Sports of the Czech Republic [LM2015078, CZ.02.1.01/0.0/0.0/16_013/0001708]; Austrian Science Fund (FWF) [I1951] Funding Source: Austrian Science Fund (FWF)</t>
  </si>
  <si>
    <t>Austrian Science Fund (FWF)(Austrian Science Fund (FWF)); Czech Science Foundation (GACR)(Grant Agency of the Czech Republic); Charles University, project GAUK; Ministry of Education, Youth and Sports of the Czech Republic(Ministry of Education, Youth &amp; Sports - Czech Republic); Austrian Science Fund (FWF)(Austrian Science Fund (FWF))</t>
  </si>
  <si>
    <t>The study was supported by Austrian Science Fund (FWF) grant I 1951-B16 to AH, Czech Science Foundation (GACR) grant no. 15-34645L to MP, and Charles University, project GAUK no. 980518 to KT. The Arctic strain was obtained during a research stay on Svalbard supported by The Ministry of Education, Youth and Sports of the Czech Republic grants LM2015078 CzechPolar 2 Czech Polar Research Infrastructure and CZ.02.1.01/0.0/0.0/16_013/0001708 Ecopolaris.</t>
  </si>
  <si>
    <t>0033-183X</t>
  </si>
  <si>
    <t>1615-6102</t>
  </si>
  <si>
    <t>Protoplasma</t>
  </si>
  <si>
    <t>10.1007/s00709-019-01404-z</t>
  </si>
  <si>
    <t>JS0UR</t>
  </si>
  <si>
    <t>WOS:000500030400018</t>
  </si>
  <si>
    <t>Prather, HM; Casanova-Katny, A; Clements, AF; Chmielewski, MW; Balkan, MA; Shortlidge, EE; Rosenstiel, TN; Eppley, SM</t>
  </si>
  <si>
    <t>Prather, Hannah M.; Casanova-Katny, Angelica; Clements, Andrew F.; Chmielewski, Matthew W.; Balkan, Mehmet A.; Shortlidge, Erin E.; Rosenstiel, Todd N.; Eppley, Sarah M.</t>
  </si>
  <si>
    <t>Species-specific effects of passive warming in an Antarctic moss system</t>
  </si>
  <si>
    <t>bryophytes; climate change; fungi; invertebrates; mosses; open top chamber</t>
  </si>
  <si>
    <t>CLIMATE-CHANGE; SOIL-TEMPERATURE; ARCTIC MOSSES; GLOBAL CHANGE; BOREAL; CARBON; BRYOPHYTE; LICHEN; VEGETATION; COMMUNITY</t>
  </si>
  <si>
    <t>Polar systems are experiencing rapid climate change and the high sensitivity of these Arctic and Antarctic ecosystems make them especially vulnerable to accelerated ecological transformation. In Antarctica, warming results in a mosaic of ice-free terrestrial habitats dominated by a diverse assemblage of cryptogamic plants (i.e. mosses and lichens). Although these plants provide key habitat for a wide array of microorganisms and invertebrates, we have little understanding of the interaction between trophic levels in this terrestrial ecosystem and whether there are functional effects of plant species on higher trophic levels that may alter with warming. Here, we used open top chambers on Fildes Peninsula, King George Island, Antarctica, to examine the effects of passive warming and moss species on the abiotic environment and ultimately on higher trophic levels. For the dominant mosses, Polytrichastrum alpinum and Sanionia georgicouncinata, we found species-specific effects on the abiotic environment, including moss canopy temperature and soil moisture. In addition, we found distinct shifts in sexual expression in P. alpinum plants under warming compared to mosses without warming, and invertebrate communities in this moss species were strongly correlated with plant reproduction. Mosses under warming had substantially larger total invertebrate communities, and some invertebrate taxa were influenced differentially by moss species. However, warmed moss plants showed lower fungal biomass than control moss plants, and fungal biomass differed between moss species. Our results indicate that continued warming may impact the reproductive output of Antarctic moss species, potentially altering terrestrial ecosystems dynamics from the bottom up. Understanding these effects requires clarifying the foundational, mechanistic role that individual plant species play in mediating complex interactions in Antarctica's terrestrial food webs.</t>
  </si>
  <si>
    <t>[Prather, Hannah M.; Clements, Andrew F.; Chmielewski, Matthew W.; Balkan, Mehmet A.; Shortlidge, Erin E.; Rosenstiel, Todd N.; Eppley, Sarah M.] Portland State Univ, Ctr Life Extreme Environm, 1719 SW 10th Ave,SRTC Room 246, Portland, OR 97201 USA; [Prather, Hannah M.; Clements, Andrew F.; Chmielewski, Matthew W.; Balkan, Mehmet A.; Shortlidge, Erin E.; Rosenstiel, Todd N.; Eppley, Sarah M.] Portland State Univ, Dept Biol, 1719 SW 10th Ave,SRTC Room 246, Portland, OR 97201 USA; [Casanova-Katny, Angelica] Univ Catolica Temuco, Fac Recursos Nat, Lab Ecofisiol Vegetal, Rudecindo Ortega 03694, Temuco, Chile; [Prather, Hannah M.] Reed Coll, Biol Dept, 3203 SE Woodstock Blvd, Portland, OR 97202 USA</t>
  </si>
  <si>
    <t>Portland State University; Portland State University; Universidad Catolica de Temuco; Reed College - Oregon</t>
  </si>
  <si>
    <t>Prather, HM (corresponding author), Portland State Univ, Ctr Life Extreme Environm, 1719 SW 10th Ave,SRTC Room 246, Portland, OR 97201 USA.;Prather, HM (corresponding author), Portland State Univ, Dept Biol, 1719 SW 10th Ave,SRTC Room 246, Portland, OR 97201 USA.;Prather, HM (corresponding author), Reed Coll, Biol Dept, 3203 SE Woodstock Blvd, Portland, OR 97202 USA.</t>
  </si>
  <si>
    <t>pratherh@reed.edu</t>
  </si>
  <si>
    <t>Shortlidge, Erin/ABA-9548-2021; Casanova-Katny, Angelica/M-3994-2014</t>
  </si>
  <si>
    <t>Prather, Hannah/0000-0002-5345-5143; Balkan, Mehmet/0000-0002-9686-633X; Casanova-Katny, Angelica/0000-0003-3860-1445; Chmielewski, Matthew/0000-0002-4467-4977; Shortlidge, Erin E/0000-0001-8753-1178</t>
  </si>
  <si>
    <t>US National Science Foundation (NSF) [PLR 1341742]; INACH [ECA 52-55]; project INACH [T0307]; FONDECYT [1181745]; Chilean Antarctic Institute (INACH)</t>
  </si>
  <si>
    <t>US National Science Foundation (NSF)(National Science Foundation (NSF)); INACH; project INACH; FONDECYT(Comision Nacional de Investigacion Cientifica y Tecnologica (CONICYT)CONICYT FONDECYT); Chilean Antarctic Institute (INACH)</t>
  </si>
  <si>
    <t>This work was funded by the US National Science Foundation (NSF) (grant no. PLR 1341742 to S.M.E. and T.N.R.). A.C.-K. thanks the support of INACH (grant no. ECA 52-55) and the project INACH (grant no.T0307), FONDECYT (grant no. 1181745). Thanks to the Chilean Antarctic Institute (INACH) for financial and outstanding logistical support.</t>
  </si>
  <si>
    <t>10.1098/rsos.190744</t>
  </si>
  <si>
    <t>WOS:000504006900017</t>
  </si>
  <si>
    <t>Convey, P; Peck, LS</t>
  </si>
  <si>
    <t>Convey, Peter; Peck, Lloyd S.</t>
  </si>
  <si>
    <t>Antarctic environmental change and biological responses</t>
  </si>
  <si>
    <t>ELEVATED SEAWATER TEMPERATURE; CLAM LATERNULA-ELLIPTICA; SIMULATED CLIMATE-CHANGE; OCEAN ACIDIFICATION; SOUTHERN-OCEAN; TERRESTRIAL ECOSYSTEMS; SIGNY ISLAND; MARINE BIODIVERSITY; BIOTIC INTERACTIONS; SHELL GROWTH</t>
  </si>
  <si>
    <t>Antarctica and the surrounding Southern Ocean are facing complex environmental change. Their native biota has adapted to the region's extreme conditions over many millions of years. This unique biota is now challenged by environmental change and the direct impacts of human activity. The terrestrial biota is characterized by considerable physiological and ecological flexibility and is expected to show increases in productivity, population sizes and ranges of individual species, and community complexity. However, the establishment of non-native organisms in both terrestrial and marine ecosystems may present an even greater threat than climate change itself. In the marine environment, much more limited response flexibility means that even small levels of warming are threatening. Changing sea ice has large impacts on ecosystem processes, while ocean acidification and coastal freshening are expected to have major impacts.</t>
  </si>
  <si>
    <t>[Convey, Peter; Peck, Lloyd S.] British Antarctic Survey, NERC, Madingley Rd, Cambridge CB3 0ET, England</t>
  </si>
  <si>
    <t>Convey, P (corresponding author), British Antarctic Survey, NERC, Madingley Rd, Cambridge CB3 0ET, England.</t>
  </si>
  <si>
    <t>pcon@bas.ac.uk</t>
  </si>
  <si>
    <t>Convey, Peter/AAV-5728-2020</t>
  </si>
  <si>
    <t>Convey, Peter/0000-0001-8497-9903</t>
  </si>
  <si>
    <t>NERC; NERC [bas0100036, NE/J007501/1] Funding Source: UKRI</t>
  </si>
  <si>
    <t>NERC(UK Research &amp; Innovation (UKRI)Natural Environment Research Council (NERC)); NERC(UK Research &amp; Innovation (UKRI)Natural Environment Research Council (NERC))</t>
  </si>
  <si>
    <t>P.C. and L.S.P. are supported by NERC core funding to the British Antarctic Survey's Biodiversity, Evolution, and Adaptation team.</t>
  </si>
  <si>
    <t>eaaz0888</t>
  </si>
  <si>
    <t>10.1126/sciadv.aaz0888</t>
  </si>
  <si>
    <t>WOS:000499736100103</t>
  </si>
  <si>
    <t>Tittensor, DP; Beger, M; Boerder, K; Boyce, DG; Cavanagh, RD; Cosandey-Godin, A; Crespo, GO; Dunn, DC; Ghiffary, W; Grant, SM; Hannah, L; Halpin, PN; Harfoot, M; Heaslip, SG; Jeffery, NW; Kingston, N; Lotze, HK; McGowan, J; McLeod, E; McOwen, CJ; O'Leary, BC; Schiller, L; Stanley, RRE; Westhead, M; Wilson, KL; Worm, B</t>
  </si>
  <si>
    <t>Tittensor, Derek P.; Beger, Maria; Boerder, Kristina; Boyce, Daniel G.; Cavanagh, Rachel D.; Cosandey-Godin, Aurelie; Crespo, Guillermo Ortuno; Dunn, Daniel C.; Ghiffary, Wildan; Grant, Susie M.; Hannah, Lee; Halpin, Patrick N.; Harfoot, Mike; Heaslip, Susan G.; Jeffery, Nicholas W.; Kingston, Naomi; Lotze, Heike K.; McGowan, Jennifer; McLeod, Elizabeth; McOwen, Chris J.; O'Leary, Bethan C.; Schiller, Laurenne; Stanley, Ryan R. E.; Westhead, Maxine; Wilson, Kristen L.; Worm, Boris</t>
  </si>
  <si>
    <t>Integrating climate adaptation and biodiversity conservation in the global ocean</t>
  </si>
  <si>
    <t>MARINE PROTECTED AREAS; CORAL-REEFS; CHANGE THREATENS; MANAGEMENT; RESERVES; CONNECTIVITY; NETWORKS; LESSONS; VULNERABILITY; RESILIENCE</t>
  </si>
  <si>
    <t>The impacts of climate change and the socioecological challenges they present are ubiquitous and increasingly severe. Practical efforts to operationalize climate-responsive design and management in the global network of marine protected areas (MPAs) are required to ensure long-term effectiveness for safeguarding marine biodiversity and ecosystem services. Here, we review progress in integrating climate change adaptation into MPA design and management and provide eight recommendations to expedite this process. Climate-smart management objectives should become the default for all protected areas, and made into an explicit international policy target. Furthermore, incentives to use more dynamic management tools would increase the climate change responsiveness of the MPA network as a whole. Given ongoing negotiations on international conservation targets, now is the ideal time to proactively reform management of the global seascape for the dynamic climate-biodiversity reality.</t>
  </si>
  <si>
    <t>[Tittensor, Derek P.; Boerder, Kristina; Boyce, Daniel G.; Lotze, Heike K.; Wilson, Kristen L.; Worm, Boris] Dalhousie Univ, Dept Biol, Halifax, NS, Canada; [Tittensor, Derek P.; Harfoot, Mike; Kingston, Naomi; McOwen, Chris J.] UN Environm Programme World Conservat Monitoring, Cambridge, England; [Beger, Maria] Univ Leeds, Fac Biol Sci, Sch Biol, Leeds, W Yorkshire, England; [Beger, Maria] Univ Queensland, Sch Biol Sci, Ctr Biodivers &amp; Conservat Sci, Brisbane, Qld, Australia; [Cavanagh, Rachel D.; Grant, Susie M.] British Antarctic Survey, Cambridge, England; [Cosandey-Godin, Aurelie] WWF Canada, Montreal, PQ, Canada; [Crespo, Guillermo Ortuno; Dunn, Daniel C.; Halpin, Patrick N.] Duke Univ, Nicholas Sch Environm, Marine Geospatial Ecol Lab, Durham, NC 27708 USA; [Dunn, Daniel C.] Univ Queensland, Sch Earth &amp; Environm Sci, Brisbane, Qld, Australia; [Ghiffary, Wildan] Global Fishing Watch, Washington, DC USA; [Hannah, Lee] Conservat Int, Moore Ctr Sci, Arlington, VA USA; [Heaslip, Susan G.; Jeffery, Nicholas W.; Stanley, Ryan R. E.; Westhead, Maxine] Fisheries &amp; Oceans Canada, Bedford Inst Oceanog, Dartmouth, NS, Canada; [McGowan, Jennifer; McLeod, Elizabeth] Nature Conservancy, 1815 N Lynn St, Arlington, VA USA; [O'Leary, Bethan C.] Univ Salford, Sch Environm &amp; Life Sci, Manchester, Lancs, England; [O'Leary, Bethan C.] Univ York, Dept Environm &amp; Geog, York, N Yorkshire, England; [Schiller, Laurenne] Dalhousie Univ, Marine Affairs Program, Halifax, NS, Canada; [Schiller, Laurenne] Ocean Wise, Vancouver, BC, Canada</t>
  </si>
  <si>
    <t>Dalhousie University; University of Leeds; University of Queensland; UK Research &amp; Innovation (UKRI); Natural Environment Research Council (NERC); NERC British Antarctic Survey; World Wildlife Fund; Duke University; University of Queensland; Conservation International; Fisheries &amp; Oceans Canada; Bedford Institute of Oceanography; Nature Conservancy; University of Manchester; University of Salford; University of York - UK; Dalhousie University</t>
  </si>
  <si>
    <t>Tittensor, DP (corresponding author), Dalhousie Univ, Dept Biol, Halifax, NS, Canada.;Tittensor, DP (corresponding author), UN Environm Programme World Conservat Monitoring, Cambridge, England.</t>
  </si>
  <si>
    <t>derek.tittensor@dal.ca</t>
  </si>
  <si>
    <t>Tittensor, Derek P./AAV-1117-2021; Heaslip, Susan G/I-9137-2012; Beger, Maria/ABC-5975-2022; Mcowen, Chris/KHY-3822-2024; McGowan, Jennifer A/A-7752-2014</t>
  </si>
  <si>
    <t>Tittensor, Derek P./0000-0002-9550-3123; Beger, Maria/0000-0003-1363-3571; Boyce, Daniel/0000-0003-4363-0929; Lotze, Heike/0000-0001-6258-1304; Worm, Boris/0000-0002-5742-8716; Cosandey-Godin, Aurelie/0000-0003-4257-5761; Dunn, Daniel/0000-0001-8932-0681; Cavanagh, Rachel/0000-0002-2474-9716; Grant, Susie/0000-0001-7941-3948; Ortuno Crespo, Guillermo/0000-0001-8029-5387</t>
  </si>
  <si>
    <t>Canada First Research Excellence Fund Ocean Frontier Institute (OFI): Safe and Sustainable Development of the Ocean Frontier (Module G); Jarislowsky Foundation; Global Environment Facility [GEF-5810]; Natural Environment Research Council (NERC); NERC [bas0100035] Funding Source: UKRI</t>
  </si>
  <si>
    <t>Canada First Research Excellence Fund Ocean Frontier Institute (OFI): Safe and Sustainable Development of the Ocean Frontier (Module G); Jarislowsky Foundation; Global Environment Facility; Natural Environment Research Council (NERC)(UK Research &amp; Innovation (UKRI)Natural Environment Research Council (NERC)); NERC(UK Research &amp; Innovation (UKRI)Natural Environment Research Council (NERC))</t>
  </si>
  <si>
    <t>This work was funded by the Canada First Research Excellence Fund Ocean Frontier Institute (OFI): Safe and Sustainable Development of the Ocean Frontier (Module G). D.P.T. acknowledges support from the Jarislowsky Foundation. Participation of L.H. was supported, in part, by a grant from the Global Environment Facility (GEF-5810). R.D.C. and S.M.G. were supported by Natural Environment Research Council (NERC) core funding to British Antarctic Survey.</t>
  </si>
  <si>
    <t>eaay9969</t>
  </si>
  <si>
    <t>10.1126/sciadv.aay9969</t>
  </si>
  <si>
    <t>WOS:000499736100101</t>
  </si>
  <si>
    <t>van der Ploeg, R; Boudreau, BP; Middelburg, JJ; Sluijs, A</t>
  </si>
  <si>
    <t>van der Ploeg, Robin; Boudreau, Bernard P.; Middelburg, Jack J.; Sluijs, Appy</t>
  </si>
  <si>
    <t>Cenozoic carbonate burial along continental margins</t>
  </si>
  <si>
    <t>GEOLOGY</t>
  </si>
  <si>
    <t>FORAMINIFERAL CALCITE; ANTARCTIC GLACIATION; OCEAN; RECORD; CYCLE; EVOLUTION; COMPENSATION; ACCUMULATION; DRIVEN</t>
  </si>
  <si>
    <t>Marine carbonate burial represents the largest long-term carbon sink at Earth's surface, occurring in both deep-sea (pelagic) environments and shallower waters along continental margins. The distribution of carbonate accumulation has varied over geological history and impacts the carbon cycle and ocean chemistry, but it remains difficult to quantitatively constrain. Here, we reconstruct Cenozoic carbonate burial along continental margins using a mass balance for global carbonate alkalinity, which integrates independent estimates for continental weathering and pelagic carbonate burial. Our results indicate that major changes in marginal carbonate burial were associated with important climate and sea-level change events, including the Eocene-Oligocene transition (ca. 34 Ma), the Oligocene-Miocene boundary Mi-1 glaciation (ca. 23 Ma), and the middle Miocene climate transition (ca. 14 Ma). In addition, we find that a major increase in continental weathering from ca. 10 Ma to the present may have driven a concomitant increase in pelagic carbonate burial. Together, our results show that changes in global climate, sea level, and continental weathering have all impacted carbonate burial over the Cenozoic, but the relative importance of these processes may have varied through time.</t>
  </si>
  <si>
    <t>[van der Ploeg, Robin; Middelburg, Jack J.; Sluijs, Appy] Univ Utrecht, Fac Geosci, Dept Earth Sci, NL-3584 CB Utrecht, Netherlands; [Boudreau, Bernard P.] Dalhousie Univ, Dept Oceanog, Halifax, NS B3H 4R2, Canada</t>
  </si>
  <si>
    <t>Utrecht University; Dalhousie University</t>
  </si>
  <si>
    <t>van der Ploeg, R (corresponding author), Univ Utrecht, Fac Geosci, Dept Earth Sci, NL-3584 CB Utrecht, Netherlands.</t>
  </si>
  <si>
    <t>R.vanderPloeg@uu.nl</t>
  </si>
  <si>
    <t>Middelburg, Jack/B-4951-2011; Sluijs, Appy/B-3726-2009</t>
  </si>
  <si>
    <t>Middelburg, Jack/0000-0003-3601-9072; van der Ploeg, Robin/0000-0001-5096-7496; Boudreau, Bernard/0000-0002-7748-1151; Sluijs, Appy/0000-0003-2382-0215</t>
  </si>
  <si>
    <t>Ministry of Education, Culture and Science (OCW) of the Netherlands</t>
  </si>
  <si>
    <t>This work was carried out under the program of the Netherlands Earth System Science Centre (NESSC), which is financially supported by the Ministry of Education, Culture and Science (OCW) of the Netherlands. We thank Mitchell Lyle, Bradley Opdyke, Gerald Dickens, and David Armstrong McKay for constructive reviews that significantly improved the quality of this manuscript.</t>
  </si>
  <si>
    <t>GEOLOGICAL SOC AMER, INC</t>
  </si>
  <si>
    <t>BOULDER</t>
  </si>
  <si>
    <t>PO BOX 9140, BOULDER, CO 80301-9140 USA</t>
  </si>
  <si>
    <t>0091-7613</t>
  </si>
  <si>
    <t>1943-2682</t>
  </si>
  <si>
    <t>10.1130/G46418.1</t>
  </si>
  <si>
    <t>JF3LG</t>
  </si>
  <si>
    <t>WOS:000491287900004</t>
  </si>
  <si>
    <t>Zurbuchen, J; Simms, AR</t>
  </si>
  <si>
    <t>Zurbuchen, Julie; Simms, Alexander R.</t>
  </si>
  <si>
    <t>Late Holocene ice-mass changes recorded in a relative sea-level record from Joinville Island, Antarctica</t>
  </si>
  <si>
    <t>SOUTH SHETLAND ISLANDS; BEACH-RIDGE SYSTEMS; JAMES-ROSS-ISLAND; MARGUERITE BAY; GLACIAL HISTORY; PENINSULA; SHELF; DEGLACIATION; SEDIMENTS; CLIMATE</t>
  </si>
  <si>
    <t>Recent ice-mass loss driven by warming along the Antarctic Peninsula has resulted in rapid changes in uplift rates across the region. Are such events only a function of recent warming? If not, does the Earth response to such events last long enough to be preserved in Holocene records of relative sea level (RSL), and thus have a bearing on global-scale glacial isostatic adjustment (GIA) models (e.g. ICE-6G)? Answering such questions in Antarctica is hindered by the scarcity of RSL reconstructions within the region. Here, a new RSL reconstruction for Antarctica is presented based on beach ridges from Joinville Island on the Antarctic Peninsula. We find that RSL has fallen 4.9 +/- 0.58 m over the past 3100 yr, and that the island experienced a significant increase in the rate of RSL fall from 1540 +/- 125 cal. (calibrated) yr B.P. to 1320 +/- 125 cal. yr B.P. This increase in the rate of RSL fall is likely due to the viscoelastic response of the solid Earth to terrestrial ice-mass loss from the Antarctic Peninsula, similar to the Earth response experienced after ice-mass loss following acceleration of glaciers behind the collapsed Larsen B ice shelf in 2002 C.E. Additionally, slower rates of beach-ridge progradation from 695 +/- 190 cal. yr B.P. to 235 +/- 175 cal. yr B.P. potentially reflect erosion of beach ridges from a RSL rise induced by a local glacial advance. The rapid response of the Earth to minor ice-mass changes recorded in the RSL record further supports recent assertions of a more responsive Earth to glacial unloading and at time scales relevant for GIA of Holocene and Pleistocene sea levels. Thus, current continental and global GIA models may not accurately capture the ice-mass changes of the Antarctic ice sheets at decadal and centennial time scales.</t>
  </si>
  <si>
    <t>[Zurbuchen, Julie; Simms, Alexander R.] Univ Calif Santa Barbara, Dept Earth Sci, Santa Barbara, CA 93106 USA</t>
  </si>
  <si>
    <t>University of California System; University of California Santa Barbara</t>
  </si>
  <si>
    <t>Zurbuchen, J (corresponding author), Univ Calif Santa Barbara, Dept Earth Sci, Santa Barbara, CA 93106 USA.</t>
  </si>
  <si>
    <t>jmzurbuchen@ucsb.edu</t>
  </si>
  <si>
    <t>Simms, Alexander R/E-5609-2012</t>
  </si>
  <si>
    <t>Simms, Alexander/0000-0001-5034-2189</t>
  </si>
  <si>
    <t>National Science Foundation (NSF) [0724929]; Geological Society of America Graduate Student Research Grant; NSF Graduate Research Fellowship; IHS</t>
  </si>
  <si>
    <t>National Science Foundation (NSF)(National Science Foundation (NSF)); Geological Society of America Graduate Student Research Grant; NSF Graduate Research Fellowship(National Science Foundation (NSF)); IHS</t>
  </si>
  <si>
    <t>This work was supported by National Science Foundation (NSF) grant 0724929 to A.R.S., a Geological Society of America Graduate Student Research Grant and an NSF Graduate Research Fellowship to J.Z., and a general educational grant from IHS for the academic use of the Kingdom software for the interpretation of GPR data. The authors would like to thank Laura Reynolds, Chris Garcia, and Cara Ferrier for assistance in the field, John Southon for help with radiocarbon dating, and Aidan Patterson for assistance with grain-size measurements. Additionally, we extend a sincere thanks to the captain and crew aboard the R/V Lawrence M. Gould, as well as Commodore Pablo Luis Fal and the crew aboard the ARA Almirante Irizar, who made embarking and disembarking on Joinville Island possible. We would also like to thank Lorraine Lisiecki and Devin Rand for their input regarding measuring rates of RSL change. We thank four anonymous reviewers whose comments improved the manuscript.</t>
  </si>
  <si>
    <t>10.1130/G46649.1</t>
  </si>
  <si>
    <t>WOS:000491287900012</t>
  </si>
  <si>
    <t>Ericson, JA; Hellessey, N; Nichols, PD; Nicol, S; Kawaguchi, S; Hoem, N; Virtue, P</t>
  </si>
  <si>
    <t>Ericson, Jessica A.; Hellessey, Nicole; Nichols, Peter D.; Nicol, Stephen; Kawaguchi, So; Hoem, Nils; Virtue, Patti</t>
  </si>
  <si>
    <t>New insights into the seasonal diet of Antarctic krill using triacylglycerol and phospholipid fatty acids, and sterol composition</t>
  </si>
  <si>
    <t>Antarctic krill; Fatty acid biomarkers; Inferred diet; Phospholipids; Sterols; Triacylglycerols</t>
  </si>
  <si>
    <t>EUPHAUSIA-SUPERBA DANA; LIPID-COMPOSITION; TROPHIC MARKERS; DIGESTIVE GLAND; MEGANYCTIPHANES-NORVEGICA; PHAEOCYSTIS-POUCHETII; FOOD-WEB; METABOLISM; WINTER; CRYSTALLOROPHIAS</t>
  </si>
  <si>
    <t>Fatty acid analysis for estimating dietary sources in marine predators is a powerful tool in food web research. However, questions have been raised about using fatty acids as dietary indicators from whole lipid samples, rather than from separate lipid classes. A drawback of scientific field-based studies is that samples are rarely collected over extended periods, precluding seasonal dietary comparisons. We used fisheries samples obtained over one year to investigate seasonal variations in the fatty acid composition of separated phospholipids and triacylglycerols of Antarctic krill (Euphausia superba). Seasonal variation was observed in fatty acid biomarkers within triacylglycerol and phospholipid fractions of krill. Fatty acids in krill triacylglycerols (thought to best represent recent diet), reflected omnivorous feeding with highest percentages of flagellate biomarkers (18:4n-3) in summer, and diatom biomarkers (16:1n-7c) in autumn, winter and spring. Carnivory biomarkers ( n-ary sumation 20:1 + 22:1 and 18:1n-9c/18:1n-7c) in krill were higher in autumn. Phospholipid fatty acids were less variable and higher in 20:5n-3 and 22:6n-3, which are essential components of cell membranes. Sterol composition did not yield detailed dietary information, but percentages and quantities of cholesterol, the major krill sterol, were significantly higher in winter and spring compared with summer and autumn. Copepod markers n-ary sumation 20:1 + 22:1 were not strongly associated with the triacylglycerol fraction during some seasons, and neither was 18:4n-3. Krill might mobilise 18:4n-3 from triacylglycerols to phospholipids for conversion to long-chain (&gt;= C-20) polyunsaturated fatty acids, which would have implications for its role as a dietary biomarker. For the first time, we demonstrate the dynamic seasonal relationship between specific biomarkers and krill lipid classes.</t>
  </si>
  <si>
    <t>[Ericson, Jessica A.; Hellessey, Nicole; Nichols, Peter D.; Nicol, Stephen; Virtue, Patti] Univ Tasmania, Inst Marine &amp; Antarctic Studies, Hobart, Tas 7004, Australia; [Ericson, Jessica A.; Hellessey, Nicole; Kawaguchi, So; Virtue, Patti] Antarctic Climate &amp; Ecosyst Cooperat Res Ctr, Hobart, Tas 7004, Australia; [Ericson, Jessica A.; Hellessey, Nicole; Nichols, Peter D.; Virtue, Patti] CSIRO Oceans &amp; Atmosphere, Hobart, Tas 7004, Australia; [Ericson, Jessica A.] Cawthron Inst, Private Bag 2, Nelson 7042, New Zealand; [Kawaguchi, So] Australian Antarctic Div, Kingston, Tas 7050, Australia; [Hoem, Nils] Aker Biomarine, Oksenoyveien 10, N-1327 Lysaker, Norway</t>
  </si>
  <si>
    <t>University of Tasmania; Antarctic Climate &amp; Ecosystems Cooperative Research Centre (ACE CRC); Commonwealth Scientific &amp; Industrial Research Organisation (CSIRO); Cawthron Institute; Australian Antarctic Division</t>
  </si>
  <si>
    <t>Ericson, JA (corresponding author), Univ Tasmania, Inst Marine &amp; Antarctic Studies, Hobart, Tas 7004, Australia.;Ericson, JA (corresponding author), Antarctic Climate &amp; Ecosyst Cooperat Res Ctr, Hobart, Tas 7004, Australia.;Ericson, JA (corresponding author), CSIRO Oceans &amp; Atmosphere, Hobart, Tas 7004, Australia.;Ericson, JA (corresponding author), Cawthron Inst, Private Bag 2, Nelson 7042, New Zealand.</t>
  </si>
  <si>
    <t>jessica.ericson@utas.edu.au</t>
  </si>
  <si>
    <t>Ericson, Jessica/AAP-1976-2020; Hellessey, Nicole/B-1695-2016; Nichols, Peter D/C-5128-2011</t>
  </si>
  <si>
    <t>Ericson, Jessica/0000-0001-5220-8493; Hellessey, Nicole/0000-0002-3053-8720; Hoem, Nils/0000-0002-3124-8290</t>
  </si>
  <si>
    <t>Australian Research Council [LP140100412]; Australian Research Council [LP140100412] Funding Source: Australian Research Council</t>
  </si>
  <si>
    <t>We would like to extend our warmest gratitude to the Captain and crew of Aker Biomarine's FV Saga Sea for collecting, carefully packaging and storing the krill used for this study, so as to maintain premium sample integrity. We also thank Dr Andy Revill for facilitating this research, and Mina Brock for technical assistance in the laboratory. This research was funded by Australian Research Council Linkage Grant LP140100412 between the Australian Antarctic Division, Commonwealth Scientific and Industrial Research Organization, Institute for Marine and Antarctic Studies (University of Tasmania), Griffith University and Aker Biomarine.</t>
  </si>
  <si>
    <t>10.1007/s00300-019-02573-6</t>
  </si>
  <si>
    <t>WOS:000490956900003</t>
  </si>
  <si>
    <t>Biggs, TEG; Alvarez-Fernandez, S; Evans, C; Mojica, KDA; Rozema, PD; Venables, HJ; Pond, DW; Brussaard, CPD</t>
  </si>
  <si>
    <t>Biggs, T. E. G.; Alvarez-Fernandez, S.; Evans, C.; Mojica, K. D. A.; Rozema, P. D.; Venables, H. J.; Pond, D. W.; Brussaard, C. P. D.</t>
  </si>
  <si>
    <t>Antarctic phytoplankton community composition and size structure: importance of ice type and temperature as regulatory factors</t>
  </si>
  <si>
    <t>Cellular carbon; Flow cytometry; Ice type; Pigments; Size fractionation; Temperature</t>
  </si>
  <si>
    <t>NORTHERN MARGUERITE BAY; FOOD-WEB STRUCTURE; INTERANNUAL VARIABILITY; CHLOROPHYLL-A; PHAEOCYSTIS-ANTARCTICA; CLIMATE-CHANGE; AMUNDSEN SEA; SPECIES COMPOSITION; PHYSICAL FACTORS; CONFLUENCE AREA</t>
  </si>
  <si>
    <t>Climate change at the Western Antarctic Peninsula (WAP) is predicted to cause major changes in phytoplankton community composition, however, detailed seasonal field data remain limited and it is largely unknown how (changes in) environmental factors influence cell size and ecosystem function. Physicochemical drivers of phytoplankton community abundance, taxonomic composition and size class were studied over two productive austral seasons in the coastal waters of the climatically sensitive WAP. Ice type (fast, grease, pack or brash ice) was important in structuring the pre-bloom phytoplankton community as well as cell size of the summer phytoplankton bloom. Maximum biomass accumulation was regulated by light and nutrient availability, which in turn were regulated by wind-driven mixing events. The proportion of larger-sized (&gt; 20 mu m) diatoms increased under prolonged summer stratification in combination with frequent and moderate-strength wind-induced mixing. Canonical correspondence analysis showed that relatively high temperature was correlated with nano-sized cryptophytes, whereas prymnesiophytes (Phaeocystis antarctica) increased in association with high irradiance and low salinities. During autumn of Season 1, a large bloom of 4.5-mu m-sized diatoms occurred under conditions of seawater temperature &gt; 0 degrees C and relatively high light and phosphate concentrations. This bloom was followed by a succession of larger nano-sized diatoms (11.4 mu m) related to reductions in phosphate and light availability. Our results demonstrate that flow cytometry in combination with chemotaxonomy and size fractionation provides a powerful approach to monitor phytoplankton community dynamics in the rapidly warming Antarctic coastal waters.</t>
  </si>
  <si>
    <t>[Biggs, T. E. G.; Brussaard, C. P. D.] NIOZ Royal Netherlands Inst Sea Res, Dept Marine Microbiol &amp; Biogeochem, Texel, Netherlands; [Biggs, T. E. G.; Brussaard, C. P. D.] Univ Utrecht, Texel, Netherlands; [Biggs, T. E. G.] Univ Amsterdam, Dept Freshwater &amp; Marine Ecol, IBED, Amsterdam, Netherlands; [Alvarez-Fernandez, S.] Biol Anstalt Helgoland, Alfred Wegener Inst, Helmholtz Zentrum Polar &amp; Meeresforsch, Helgoland, Germany; [Evans, C.] Natl Oceanog Ctr, Ocean Biogeochem &amp; Ecosyst Res Grp, Southampton, Hants, England; [Mojica, K. D. A.] Oregon State Univ, Dept Bot &amp; Plant Pathol, Cordley Hall, Corvallis, OR 97331 USA; [Rozema, P. D.] Univ Groningen, Energy &amp; Sustainabil Res Inst Groningen, Dept Ocean Ecosyst, Groningen, Netherlands; [Venables, H. J.] NERC, British Antarctic Survey, Cambridge, England; [Pond, D. W.] Univ Stirling, Inst Aquaculture, Stirling, Scotland</t>
  </si>
  <si>
    <t>Utrecht University; Royal Netherlands Institute for Sea Research (NIOZ); Utrecht University; University of Amsterdam; Helmholtz Association; Alfred Wegener Institute, Helmholtz Centre for Polar &amp; Marine Research; NERC National Oceanography Centre; Oregon State University; University of Groningen; UK Research &amp; Innovation (UKRI); Natural Environment Research Council (NERC); NERC British Antarctic Survey; University of Stirling</t>
  </si>
  <si>
    <t>Biggs, TEG; Brussaard, CPD (corresponding author), NIOZ Royal Netherlands Inst Sea Res, Dept Marine Microbiol &amp; Biogeochem, Texel, Netherlands.;Biggs, TEG; Brussaard, CPD (corresponding author), Univ Utrecht, Texel, Netherlands.;Biggs, TEG (corresponding author), Univ Amsterdam, Dept Freshwater &amp; Marine Ecol, IBED, Amsterdam, Netherlands.</t>
  </si>
  <si>
    <t>tristan.biggs@nioz.nl; corina.brussaard@nioz.nl</t>
  </si>
  <si>
    <t>Mojica, Kristina/AAK-7812-2020; Rozema, Patrick D/J-9546-2016</t>
  </si>
  <si>
    <t>Mojica, Kristina/0000-0003-0908-2869;</t>
  </si>
  <si>
    <t>Earth and Life Sciences Foundation (ALW) [866.10.102]; Netherlands Organisation for Scientific Research (NWO); NERC [noc010009, bas0100033] Funding Source: UKRI</t>
  </si>
  <si>
    <t>Earth and Life Sciences Foundation (ALW); Netherlands Organisation for Scientific Research (NWO)(Netherlands Organization for Scientific Research (NWO)); NERC(UK Research &amp; Innovation (UKRI)Natural Environment Research Council (NERC))</t>
  </si>
  <si>
    <t>We wish to thank the British Antarctic Survey for their logistical support and cooperation during the field campaign. This work was part of the ANTPHIRCO project (grant 866.10.102 awarded to C.P. D.B.) which was supported by the Earth and Life Sciences Foundation (ALW), with financial aid from the Netherlands Organisation for Scientific Research (NWO). Furthermore, we wish to thank Zoi Farenzena and Dorien Verheyen for their help and support during the field campaign as well as Swier Oosterhuis and Anna Noordeloos for their technical support at the Royal Netherlands Institute for Sea Research (NIOZ).</t>
  </si>
  <si>
    <t>10.1007/s00300-019-02576-3</t>
  </si>
  <si>
    <t>WOS:000490956900004</t>
  </si>
  <si>
    <t>Carlig, E; Di Blasi, D; Ghigliotti, L; Pisano, E; Koubbi, P; Vacchi, M</t>
  </si>
  <si>
    <t>Carlig, Erica; Di Blasi, Davide; Ghigliotti, Laura; Pisano, Eva; Koubbi, Philippe; Vacchi, Marino</t>
  </si>
  <si>
    <t>Diversified feeding strategies of Pleuragramma antarctica (Nototheniidae) in the Southern Ocean</t>
  </si>
  <si>
    <t>Antarctic silverfish; Stomach contents; Feeding strategy; Ross Sea; Adelie Land; Antarctic Peninsula</t>
  </si>
  <si>
    <t>DUMONT DURVILLE SEA; ROSS SEA; STOMACH CONTENTS; TROPHIC ECOLOGY; CLIMATE-CHANGE; REGIME SHIFTS; FOOD-WEB; SILVERFISH; FISHES; IMPACT</t>
  </si>
  <si>
    <t>The Antarctic silverfish Pleuragramma antarctica is a plankton feeder playing an important role at midtrophic level in High Antarctic ecosystems. Over years, a reasonable bulk of information has been collected on the trophic ecology of the species, nevertheless there are several aspects that still deserve full elucidation. Here, we explore the trophic plasticity of the Antarctic silverfish, its ability to change and optimize the diet according to the prey availability. A comparative analysis of stomach contents, fish condition, and feeding selectivity was performed on specimens from three different locations in the Southern Ocean: Ross Sea, Adelie Land, and Antarctic Peninsula. While confirming copepods and euphausiids as the most important items in the diet of the Antarctic silverfish, present study revealed significant local differences in diet composition and fish condition. The specimens from the Antarctic Peninsula showed the highest body condition and euphausiids were the preferential prey. Conversely, specimens from the Ross Sea and Adelie Land, where euphausiids are not as abundant as in those of the Antarctic Peninsula waters, showed a flexible and opportunistic trophic habit strategy, profiting of being able to rely on the great variety of planktonic prey. Being P. antarctica a key component of the pelagic ecosystem, improved knowledge of the trophic ecology of this fish would contribute to a throughout understanding of its response to environmental change.</t>
  </si>
  <si>
    <t>[Carlig, Erica; Di Blasi, Davide; Ghigliotti, Laura; Pisano, Eva; Vacchi, Marino] Natl Res Council CNR Italy, Inst Study Anthrop Impacts &amp; Sustainabil Marine E, Via De Marini 6, I-16149 Genoa, Italy; [Koubbi, Philippe] Univ Caen Basse Normandie, Unite Biol Organismes &amp; Ecosyst Aquat BOREA, Univ Pierre &amp; Marie Curie,Sorbonne Univ, Museum Natl Hist Nat,CNRS,IRD,UMR 7208, CP26,57 Rue Cuvier, F-75005 Paris, France</t>
  </si>
  <si>
    <t>Universite de Caen Normandie; Centre National de la Recherche Scientifique (CNRS); Institut de Recherche pour le Developpement (IRD); Museum National d'Histoire Naturelle (MNHN); Sorbonne Universite; CNRS - Institute of Ecology &amp; Environment (INEE)</t>
  </si>
  <si>
    <t>Carlig, E (corresponding author), Natl Res Council CNR Italy, Inst Study Anthrop Impacts &amp; Sustainabil Marine E, Via De Marini 6, I-16149 Genoa, Italy.</t>
  </si>
  <si>
    <t>ericacarlig@virgilio.it</t>
  </si>
  <si>
    <t>Di Blasi, Davide/AAV-5937-2021; Ghigliotti, Laura/AAN-6843-2021; Koubbi, Philippe/D-5873-2015</t>
  </si>
  <si>
    <t>Ghigliotti, Laura/0000-0003-2139-1381; Carlig, Erica/0000-0002-8537-8971</t>
  </si>
  <si>
    <t>Italian National Programme for Antarctic Research (PNRA) [2013/AZ1.18 RAISE]</t>
  </si>
  <si>
    <t>Italian National Programme for Antarctic Research (PNRA)</t>
  </si>
  <si>
    <t>This work was carried out within the project 2013/AZ1.18 RAISE (Integrate Research on Antarctic Silverfish Ecology in the Ross Sea), Italian National Programme for Antarctic Research (PNRA) and contributes to the SCAR Program AnT-ERA (Antarctic Thresholds -Ecosystem Resilience and Adaptation). We are grateful to all who contributed to the sampling useful for our analyses, in particular, Richard O'Driscoll (National Institute of Water and Atmospheric Research, Wellington, New Zealand), Magnus Lucassen (Alfred Wegener Institute, Bremerhaven, Germany), and Karl-Hermann Kock (Institute for Sea Fisheries, Johann Heinrich von Thune Institute, Hamburg, Germany) who invited MV to participate in the Polarstern XVIII/4. We thank Marina Giallain (Department of Earth, Environment and Life Sciences, University of Genoa) for her precious contribution in the stomach contents analysis. We thank also Katja Mintenbeck and two anonymous referees, whose comments greatly improved the manuscript.</t>
  </si>
  <si>
    <t>10.1007/s00300-019-02579-0</t>
  </si>
  <si>
    <t>WOS:000490956900007</t>
  </si>
  <si>
    <t>Küpper, FC; Amsler, CD; Morley, S; de Reviers, B; Reichardt, A; Peck, LS; Peters, AF</t>
  </si>
  <si>
    <t>Kupper, Frithjof C.; Amsler, Charles D.; Morley, Simon; de Reviers, Bruno; Reichardt, Aurelia; Peck, Lloyd S.; Peters, Akira F.</t>
  </si>
  <si>
    <t>Juvenile morphology of the large Antarctic canopy-forming brown alga, Desmarestia menziesii J. Agardh</t>
  </si>
  <si>
    <t>Adelaide Island; Antarctic Peninsula; Desmarestia chordalis; Desmarestia menziesii; Desmarestia rossii; ITS; Southern Ocean</t>
  </si>
  <si>
    <t>REPRODUCTIVE MORPHOLOGY; LIFE-HISTORY; SUPPORT</t>
  </si>
  <si>
    <t>For many types of seaweeds in Polar Regions, open questions remain about how their life cycle contributes to their overall adaptation to the extreme abiotic environment. This applies in particular to the major canopy-forming brown algae in much of the Antarctic Peninsula of the genus Desmarestia, which was investigated here. Diving surveys around Rothera Research Station (Adelaide Island, Antarctica) during December 2017-February 2018 revealed the widespread presence of a hitherto-unknown life form of Desmarestia sp. of a tender, feather-like morphology. Further studies explored whether this could be (1) a new, hitherto undescribed Desmarestia species (2) a new record for the region of a known Desmarestia species previously recorded elsewhere or (3) a so-far unknown life form of a species recorded for the region. Collections enabled the extraction of PCR-friendly DNA and sequencing of ITS1, which unambiguously showed that the samples belonged to Desmarestia menziesii, the only Desmarestia species presently recorded for the Adelaide Island/Marguerite Bay region. The presence of the juvenile morphology was subsequently confirmed throughout much of the natural range of D. menziesii during cruise-based diving surveys along the Western Antarctic Peninsula in 2019 and from collections at Anvers Island in 1989. Our collections thus constitute its juvenile morphology, which is not previously documented in the literature. The wider significance for the Polar seaweeds is discussed in the context of Taxonomy and Ecology.</t>
  </si>
  <si>
    <t>[Kupper, Frithjof C.; Peters, Akira F.] Univ Aberdeen, Sch Biol Sci, Cruickshank Bldg,St Machar Dr, Aberdeen AB24 3UU, Scotland; [Amsler, Charles D.] Univ Alabama Birmingham, Dept Biol, Birmingham, AL 35233 USA; [Morley, Simon; Reichardt, Aurelia; Peck, Lloyd S.] British Antarctic Survey, Nat Environm Res Council, Madingley Rd, Cambridge CB3 0ET, England; [de Reviers, Bruno] Sorbonne Univ, Museum Natl Hist Nat, Inst Systemat Evolut Biodiversite ISYEB, CNRS,EPHE, 57 Rue Cuvier,CP 39, F-75005 Paris, France; [Peters, Akira F.] Bezhin Rosko, 40 Rue Pecheurs, F-29250 Santec, Brittany, France</t>
  </si>
  <si>
    <t>University of Aberdeen; University of Alabama System; University of Alabama Birmingham; UK Research &amp; Innovation (UKRI); Natural Environment Research Council (NERC); NERC British Antarctic Survey; Centre National de la Recherche Scientifique (CNRS); Sorbonne Universite; Universite PSL; Ecole Pratique des Hautes Etudes (EPHE); Museum National d'Histoire Naturelle (MNHN)</t>
  </si>
  <si>
    <t>Küpper, FC (corresponding author), Univ Aberdeen, Sch Biol Sci, Cruickshank Bldg,St Machar Dr, Aberdeen AB24 3UU, Scotland.</t>
  </si>
  <si>
    <t>fkuepper@abdn.ac.uk</t>
  </si>
  <si>
    <t>Peters, Akira/0000-0001-5332-199X</t>
  </si>
  <si>
    <t>UK Natural Environment Research Council [NE/D521522/1, NE/J023094/1]; US National Science Foundation [OPP-1744550]; Scottish Funding Council [HR09011]; Collaborative Antarctic Science Scheme [CASS-134]; NERC [dml011000, bas0100036] Funding Source: UKRI</t>
  </si>
  <si>
    <t>UK Natural Environment Research Council(UK Research &amp; Innovation (UKRI)Natural Environment Research Council (NERC)); US National Science Foundation(National Science Foundation (NSF)); Scottish Funding Council; Collaborative Antarctic Science Scheme; NERC(UK Research &amp; Innovation (UKRI)Natural Environment Research Council (NERC))</t>
  </si>
  <si>
    <t>We are grateful to the UK Natural Environment Research Council for funding to FCK (grants NE/D521522/1 and NE/J023094/1), in particular through the Collaborative Antarctic Science Scheme (Grant CASS-134, 2017) to FCK and LSP. Funding for cruisebased observations in 2019 was from US National Science Foundation award OPP-1744550 to CDA. We thank Kate Stanton, Teresa Murphy and Ben Robinson (British Antarctic Survey) for support with diving operations around Rothera in January-February 2018, and also Richard L. Moe (UC Berkeley) for locating specimens corresponding to the morphology described here in the UC collection. Special thanks are due to Charlie Bibby (Financial Times) for taking professional photographs of the unknown Desmarestia sp. in the aquarium of the Bonner Lab at Rothera (Fig. 2a). We would also like to thank Richard L. Moe (UC Berkeley) and Christian Wiencke (AWI Bremerhaven) for their very helpful reviews of this paper. Also, the MASTS pooling initiative (Marine Alliance for Science and Technology for Scotland, funded by the Scottish Funding Council and contributing institutions; grant reference HR09011) is gratefully acknowledged for supporting FCK. This research contributes to the SCAR Ant-ERA research programme.</t>
  </si>
  <si>
    <t>10.1007/s00300-019-02584-3</t>
  </si>
  <si>
    <t>WOS:000490956900012</t>
  </si>
  <si>
    <t>Howe, JA; Husum, K; Inall, ME; Coogan, J; Luckman, A; Arosio, R; Abernethy, C; Verchili, D</t>
  </si>
  <si>
    <t>Howe, John A.; Husum, Katrine; Inall, Mark E.; Coogan, James; Luckman, Adrian; Arosio, Riccardo; Abernethy, Colin; Verchili, David</t>
  </si>
  <si>
    <t>Autonomous underwater vehicle (AUV) observations of recent tidewater glacier retreat, western Svalbard</t>
  </si>
  <si>
    <t>Autonomous underwater vehicle; Tidewater glacier; Meltwater plume; Retreat moraines; Atlantic Water advection</t>
  </si>
  <si>
    <t>ICE-SHEET DYNAMICS; SUBMARINE LANDFORMS; KONGSFJORDEN-KROSSFJORDEN; SUBGLACIAL DISCHARGE; ANTARCTIC ICEBERGS; DEGEER MORAINES; CALVING RATES; ARCTIC FJORD; SPITSBERGEN; RECORD</t>
  </si>
  <si>
    <t>Recent studies have highlighted the need to improve our understanding of the relationship between glacial-front bathymetry and oceanography in order to better predict the behaviour of tidewater glaciers. The glaciomarine fjords of western Svalbard are strongly influenced by temperate Atlantic Water advected from the West Spitsbergen Current. Marine terminating (tidewater) glaciers locally influence many Svalbard fjords through fluxes of sediments, nutrients and freshwater, however their response to ocean warming and the imprint left by their recent retreat on the seabed remains unresolved. Here we present glacial front data collected by an autonomous underwater vehicle (AUV) from four tidewater glaciers; Fjortende Julibreen (Krossfjorden), Conwaybreen, Kongsbreen and Kronebreen (Kongsfjorden). The seabed adjacent to the glacial terminus has been mapped providing high-resolution bathymetry (0.5 m-1.0 m grid cell size), side-scan and photographs with additional simultaneous oceanographic observations. The aim being to survey the glacial front submarine landforms, to identify the water mass structure and to observe any melt water plume activity. The bathymetry data displays a diverse assemblage of glacial landforms including numerous retreat moraines, glacial lineations, crevasse-squeeze ridges and sediment debris flows reflecting the dynamic depositional environment of the glacial front. The age of the features and the annual rate of retreat have been estimated using satellite remote sensing imagery to digitise the glacial front positions over time. The glacial landforms have been produced by the last few years of retreat as these glaciers gradually become land-terminating. The AUV also observed in-situ subglacial meltwater plumes at the two most active glaciers (Kongsbreen and Kronebreen) and an associated signature of warm Atlantic Water occurring at the glacier face. The presence of relatively warm, oceanic waters enhances subsurface melting, accelerating the ablation rate, while fresh (melt) water injection at depth influences local water mass structure and the wider fjord circulation. At the glacial fronts of Kongsbreen and Kronebreen sedimentation from subglacial meltwater plumes dominate the ice-proximal zone and settling from suspension is more prevalent away from the glacier. This study shows how sensitive dynamic glaciomarine systems are to change in the local marine environment and how the use of autonomous vehicles can greatly aid in the monitoring of glacial change by collecting simultaneous high-resolution in-situ datasets where vessel based observations are lacking.</t>
  </si>
  <si>
    <t>[Howe, John A.; Inall, Mark E.; Coogan, James; Abernethy, Colin] Scottish Marine Inst, Scottish Assoc Marine Sci, Oban PA37 1QA, Argyll, Scotland; [Husum, Katrine] Fram Ctr, Norwegian Polar Inst, N-9296 Tromso, Norway; [Luckman, Adrian] Swansea Univ, Coll Sci, Dept Geog, Swansea SA2 8PP, W Glam, Wales; [Arosio, Riccardo] Ctr Environm Fisheries &amp; Aquaculture Sci, Lowestoft NR33 0HT, Suffolk, England; [Verchili, David] Univ Alicante, Fac Sci, Alicante, Spain</t>
  </si>
  <si>
    <t>UHI Millennium Institute; Norwegian Polar Institute; Swansea University; Centre for Environment Fisheries &amp; Aquaculture Science; Universitat d'Alacant</t>
  </si>
  <si>
    <t>Howe, JA (corresponding author), Scottish Marine Inst, Scottish Assoc Marine Sci, Oban PA37 1QA, Argyll, Scotland.</t>
  </si>
  <si>
    <t>john.howe@sams.ac.uk</t>
  </si>
  <si>
    <t>Husum, Katrine/HGD-4711-2022; Inall, Mark E/I-4835-2014</t>
  </si>
  <si>
    <t>Husum, Katrine/0000-0003-1380-5900; Coogan, James/0000-0002-5757-4465; Arosio, Riccardo/0000-0002-3076-1922</t>
  </si>
  <si>
    <t>University Centre, Svalbard (UNIS); Norwegian Polar Institute; UK Natural Environment Research Council (NERC) National Marine Facility; Erasmus Mundi exchange project; Scottish Association for Marine Science physical oceanography Neil McDougall Bursary; Centre of Ice, Climate and Ecosystems (ICE) at Norwegian Polar Institute; Ministry of Climate and Environment, Norway; Svalbard Science Forum [257581]; NERC [NE/R017042/1] Funding Source: UKRI</t>
  </si>
  <si>
    <t>University Centre, Svalbard (UNIS); Norwegian Polar Institute; UK Natural Environment Research Council (NERC) National Marine Facility(UK Research &amp; Innovation (UKRI)Natural Environment Research Council (NERC)); Erasmus Mundi exchange project; Scottish Association for Marine Science physical oceanography Neil McDougall Bursary; Centre of Ice, Climate and Ecosystems (ICE) at Norwegian Polar Institute; Ministry of Climate and Environment, Norway; Svalbard Science Forum; NERC(UK Research &amp; Innovation (UKRI)Natural Environment Research Council (NERC))</t>
  </si>
  <si>
    <t>Thank you to all the staff at the Ny Alesund research station, Kongsfjord, Svalbard and to the officers and crew of RV Lance. The Kings Bay Company, the University Centre, Svalbard (UNIS) and the Norwegian Polar Institute (NPI) for their wonderful hospitality and logistical support whilst in Svalbard. Thank you to Vidar Nilsen and Roar Strand the masters of MV Teisten and Teledyne Gavia AUV team for technical support. The Gavia offshore surveyor AUV is part of the UK Natural Environment Research Council (NERC) National Marine Facility. David Verchilli of the University of Alicante was funded through an Erasmus Mundi exchange project. James Coogan was supported by the Scottish Association for Marine Science physical oceanography Neil McDougall Bursary. The authors would also like to thank three anonymous reviewers for their detailed and constructive reviews. This work is supported by the Centre of Ice, Climate and Ecosystems (ICE) at Norwegian Polar Institute, the Ministry of Climate and Environment, Norway and Svalbard Science Forum, project number 257581.</t>
  </si>
  <si>
    <t>10.1016/j.margeo.2019.106009</t>
  </si>
  <si>
    <t>JE3XF</t>
  </si>
  <si>
    <t>WOS:000490627500005</t>
  </si>
  <si>
    <t>Nitsche, FO; Correia, R</t>
  </si>
  <si>
    <t>Nitsche, Frank O.; Correia, Ricardo</t>
  </si>
  <si>
    <t>East Antarctic ice flow dynamic based on subglacial landforms near Dibble Glacier</t>
  </si>
  <si>
    <t>East Antarctica; Glacial geomorphology; Continental margin; Shelf morphology</t>
  </si>
  <si>
    <t>PINE ISLAND BAY; WILKES LAND MARGIN; CONTINENTAL-MARGIN; SEDIMENTARY PROCESSES; GEOMORPHIC FEATURES; TURBIDITE SYSTEMS; TERRE ADELIE; SHEET; WEST; SHELF</t>
  </si>
  <si>
    <t>Paleo ice sheet reconstruction in Antarctica provides key constrains for understanding and predicting future ice sheet behaviour. Along the East Antarctic margin there are still large sections with little or no information about previous extent and dynamics of the paleo-ice sheet. Here we present new multibeam and Chirp subbottom data from the East Antarctic continental margin between the Frost and Dibble Glaciers (128 degrees E and 134 degrees E), acquired during expedition NBP1503 with the icebreaker NB Palmer. The inner continental shelf shows a moderately deep seafloor (200-600 m) with steep and deeply incised channels, most likely created by subglacial meltwater. On the mid shelf we identified a similar to 1000 m deep basin with drumlin-shaped and linear glacial features. The shelf break is relatively shallow (300-400 m) and incised by numerous gullies that extent onto the continental slope. The presence of these features suggests that grounded, streaming ice has reached the shelf break during the last glaciation. Both, the subglacial channels on the continental shelf and the numerous gullies near the shelf break are indicative of melt water underneath the grounding ice. Our interpretation suggests that compared to toady the ice flow in this area might have been significantly different during glacial times when the paleo ice sheet cover most or all of the continental shelf.</t>
  </si>
  <si>
    <t>[Nitsche, Frank O.] Columbia Univ, Lamont Doherty Earth Observ, Palisades, NY USA; [Correia, Ricardo] Univ Aveiro, Dept Geosci, Aveiro, Portugal; [Correia, Ricardo] Univ Aveiro, CESAM, Aveiro, Portugal</t>
  </si>
  <si>
    <t>Columbia University; Universidade de Aveiro; Universidade de Aveiro</t>
  </si>
  <si>
    <t>Nitsche, FO (corresponding author), 61 Route 9W,POB 1000, Palisades, NY 10964 USA.</t>
  </si>
  <si>
    <t>fnitsche@ldeo.columbia.edu</t>
  </si>
  <si>
    <t>Nitsche, Frank O/A-9343-2009</t>
  </si>
  <si>
    <t>Nitsche, Frank O/0000-0002-4137-547X; Correia, Ricardo/0000-0003-3323-1940</t>
  </si>
  <si>
    <t>USAP [NBP1503]; NSF [ANT-1245879]; ProPolar (Programa Polar Portugues); University of Aveiro/CESAM, Portugal</t>
  </si>
  <si>
    <t>USAP; NSF(National Science Foundation (NSF)); ProPolar (Programa Polar Portugues); University of Aveiro/CESAM, Portugal</t>
  </si>
  <si>
    <t>We thank the captain and crew of RVIB NB Palmer and the USAP support staff of cruise NBP1503 for their support and help during data collection. Special thanks for K. Gavahan and D. Richardson for helping with the multibeam data acquisition. We also thank three anonymous reviewers for their insightful and constructive comments that significantly improved the manuscript. This project was funded through NSF grant ANT-1245879. R. Correia received support from ProPolar (Programa Polar Portugues) and the University of Aveiro/CESAM, Portugal.</t>
  </si>
  <si>
    <t>10.1016/j.margeo.2019.106007</t>
  </si>
  <si>
    <t>WOS:000490627500011</t>
  </si>
  <si>
    <t>Warratz, G; Schwenk, T; Voigt, I; Bozzano, G; Henrich, R; Violante, R; Lantzsch, H</t>
  </si>
  <si>
    <t>Warratz, Grit; Schwenk, Tilmann; Voigt, Ines; Bozzano, Graziella; Henrich, Ruediger; Violante, Roberto; Lantzsch, Hendrik</t>
  </si>
  <si>
    <t>Interaction of a deep-sea current with a blind submarine canyon (Mar del Plata Canyon, Argentina)</t>
  </si>
  <si>
    <t>South Atlantic; Blind canyon; Continental margin morphology, stratigraphy and processes; Contourite-turbidite interaction; Antarctic Intermediate Water; Antarctic Bottom Water</t>
  </si>
  <si>
    <t>ANTARCTIC INTERMEDIATE WATER; TURBIDITY-CURRENT ACTIVITY; SEDIMENT-TRANSPORT; CONTINENTAL-MARGIN; SYSTEM OFFSHORE; CLIMATE; SLOPE; CIRCULATION; LEVEL; MORPHOLOGY</t>
  </si>
  <si>
    <t>The Mar del Plata (MdP) Canyon at the Argentine continental margin is incorporated into a major contourite depositional system, built by the incursion of southern-sourced water masses affecting the seafloor at different waters depths. The new sedimentological, morphological and hydro acoustic data provide novel insights into contour and turbidity current interactions in mid-slope (blind) canyons, which do not have a connection to the shelf or an onshore river system. Such canyons are capable to record climate-related ocean stratification changes, current variability, and slope stability. Three sediment cores were obtained along the MdP Canyon thalweg covering the last 20,000 years and compiled with two cores from the adjacent Ewing Terrace. Turbidity-current activity within the MdP Canyon was limited to the time interval from Last Glacial Maximum (LGM) to the late deglacial. During the LGM and early deglacial, turbidites reached both the proximal sector and the distal northern flank of the canyon. During the late deglacial only the proximal sector was characterized by turbidite deposition. Similarities in mineralogy and grain-size data indicate that the material transported by the turbidity currents originated from the mid-slope Ewing Terrace. Glacial turbidity-current activity was most probably favored by increased sediment supply along the Ewing Terrace from a shallowed and/or enhanced glacial Antarctic Intermediate Water (AAIW) nepheloid layer. These sediments were trapped by the MdP Canyon, in particular at the head area. During the late deglacial, a displacement or limited AAIW nepheloid layer resulted in less sediment transfer along the Ewing Terrace and immediate accumulation in the MdP Canyon head restricting turbidite deposition to the proximal sector of the canyon. In general, contourite-turbidite interactions provide valuable information on variations in thermohaline circulation such as AAIW distribution and current strength.</t>
  </si>
  <si>
    <t>[Warratz, Grit; Schwenk, Tilmann; Voigt, Ines; Henrich, Ruediger; Lantzsch, Hendrik] Univ Bremen, MARUM, Ctr Marine Environm Sci, Klagenfurter Str 4, D-28359 Bremen, Germany; [Warratz, Grit; Schwenk, Tilmann; Voigt, Ines; Henrich, Ruediger; Lantzsch, Hendrik] Fac Geosci, Klagenfurter Str 4, D-28359 Bremen, Germany; [Bozzano, Graziella; Violante, Roberto] Serv Hidrog Naval, Dept Oceanog, Div Geol &amp; Geofis Marina, Montes Oca 2124,C1270ABV, Buenos Aires, DF, Argentina</t>
  </si>
  <si>
    <t>University of Bremen; Servicio de Hidrografia Naval</t>
  </si>
  <si>
    <t>Warratz, G (corresponding author), Univ Bremen, MARUM, Ctr Marine Environm Sci, Klagenfurter Str 4, D-28359 Bremen, Germany.;Warratz, G (corresponding author), Fac Geosci, Klagenfurter Str 4, D-28359 Bremen, Germany.</t>
  </si>
  <si>
    <t>warratz@uni-bremen.de</t>
  </si>
  <si>
    <t>Schwenk, Tilmann/AGD-5168-2022</t>
  </si>
  <si>
    <t>Schwenk, Tilmann/0000-0002-9916-0340; Bozzano, Graziella/0000-0002-9286-5380</t>
  </si>
  <si>
    <t>DFG-Research Center/Cluster of Excellence The Ocean in the Earth System (MARUM); GLOMAR - Bremen International Graduate School for Marine Sciences; DFG [V02094/1-1]</t>
  </si>
  <si>
    <t>DFG-Research Center/Cluster of Excellence The Ocean in the Earth System (MARUM)(German Research Foundation (DFG)); GLOMAR - Bremen International Graduate School for Marine Sciences; DFG(German Research Foundation (DFG))</t>
  </si>
  <si>
    <t>We are thankful for the very constructive comments and remarks of the Editor M. Rebesco, T. Mulder and the second anonymous reviewer. Their input significantly improved the content of this manuscript. We acknowledge S. Krastel for comments and discussion. We thank B. Kockisch for lab assistance and C. Hilgenfeldt and the working group Marine Geophysics (University of Bremen) for the helpful collaboration and providing equipment for MS measurements. We acknowledge C. Vogt for XRD measurements. XRF data were acquired at the XRF Core Scanner Lab at the MARUM, University of Bremen. Sample material was provided by the GeoB Core Repository at MARUM - Center for Marine Environmental Sciences, University of Bremen. Special thanks go to Captain and crew of RV Meteor during cruise M78/3 and the hydro-acoustic watchkeepers. This study was funded through the DFG-Research Center/Cluster of Excellence The Ocean in the Earth System (MARUM) and was supported by GLOMAR - Bremen International Graduate School for Marine Sciences. Ines Voigt further acknowledges the support from DFG grant V02094/1-1. The new data reported in this paper is archived in PANGAEA (doi:https://doi.org/10.1594/PANGAEA.904259).</t>
  </si>
  <si>
    <t>10.1016/j.margeo.2019.106002</t>
  </si>
  <si>
    <t>WOS:000490627500007</t>
  </si>
  <si>
    <t>Heinonen, JS; Luttinen, AV; Spera, FJ; Bohrson, WA</t>
  </si>
  <si>
    <t>Heinonen, Jussi S.; Luttinen, Arto V.; Spera, Frank J.; Bohrson, Wendy A.</t>
  </si>
  <si>
    <t>Deep open storage and shallow closed transport system for a continental flood basalt sequence revealed with Magma Chamber Simulator</t>
  </si>
  <si>
    <t>CONTRIBUTIONS TO MINERALOGY AND PETROLOGY</t>
  </si>
  <si>
    <t>Continental flood basalts; Differentiation; Assimilation; Modeling; Magma Chamber Simulator</t>
  </si>
  <si>
    <t>DRONNING-MAUD-LAND; SOUTHWEST INDIAN RIDGE; LARGE IGNEOUS PROVINCE; ENERGY-CONSTRAINED ASSIMILATION; GRENVILLE-AGE METAMORPHISM; TRACE-ELEMENT COMPOSITION; CHEMICAL MASS-TRANSFER; FRACTIONAL CRYSTALLIZATION; EAST ANTARCTICA; GEOCHEMICAL VARIATIONS</t>
  </si>
  <si>
    <t>The Magma Chamber Simulator (MCS) quantitatively models the phase equilibria, mineral chemistry, major and trace elements, and radiogenic isotopes in a multicomponent-multiphase magma + wallrock + recharge system by minimization or maximization of the appropriate thermodynamic potential for the given process. In this study, we utilize MCS to decipher the differentiation history of a continental flood basalt sequence from the Antarctic portion of the similar to 180 Ma Karoo large igneous province. Typical of many flood basalts, this suite exhibits geochemical evidence (e.g., negative initial epsilon(Nd)) of interaction with crustal materials. We show that isobaric assimilation-fractional crystallization models fail to produce the observed lava compositions. Instead, we propose two main stages of differentiation: (1) the primitive magmas assimilated Archean crust at depths of similar to 10-30 km (pressures of 300-700 MPa), while crystallizing olivine and orthopyroxene; (2) subsequent fractional crystallization of olivine, clinopyroxene, and plagioclase took place at lower pressures in upper crustal feeder systems without significant additional assimilation. Such a scenario is corroborated with additional thermophysical considerations of magma transport via a crack network. The proposed two-stage model may be widely applicable to flood basalt plumbing systems: assimilation is more probable in magmas pooled in hotter crust at depth where the formation of wallrock partial melts is more likely compared to rapid passage of magma through shallower fractures next to colder wallrock.</t>
  </si>
  <si>
    <t>[Heinonen, Jussi S.] Univ Helsinki, Dept Geosci &amp; Geog, POB 64, FIN-00014 Helsinki, Finland; [Heinonen, Jussi S.; Bohrson, Wendy A.] Cent Washington Univ, Dept Geol Sci, 400 E Univ Way, Ellensburg, WA 98926 USA; [Luttinen, Arto V.] Univ Helsinki, Finnish Museum Nat Hist, POB 44, FIN-00014 Helsinki, Finland; [Spera, Frank J.] Univ Calif Santa Barbara, Dept Earth Sci, Lagoon Rd, Santa Barbara, CA 93106 USA; [Spera, Frank J.] Univ Calif Santa Barbara, Earth Res Inst, Lagoon Rd, Santa Barbara, CA 93106 USA; [Bohrson, Wendy A.] Colorado Sch, Geol &amp; Geol Engn Dept, 1516 Illinois St, Golden, CO 80401 USA</t>
  </si>
  <si>
    <t>University of Helsinki; Central Washington University; University of Helsinki; University of California System; University of California Santa Barbara; University of California System; University of California Santa Barbara</t>
  </si>
  <si>
    <t>Heinonen, JS (corresponding author), Univ Helsinki, Dept Geosci &amp; Geog, POB 64, FIN-00014 Helsinki, Finland.;Heinonen, JS (corresponding author), Cent Washington Univ, Dept Geol Sci, 400 E Univ Way, Ellensburg, WA 98926 USA.</t>
  </si>
  <si>
    <t>jussi.s.heinonen@helsinki.fi; arto.luttinen@helsinki.fi; spera@geol.ucsb.edu; bohrson@mines.edu</t>
  </si>
  <si>
    <t>Spera, Frank J./E-5597-2012; Heinonen, Jussi/L-6152-2013</t>
  </si>
  <si>
    <t>Heinonen, Jussi/0000-0001-8998-4357; spera, frank/0000-0002-6876-9313; Luttinen, Arto Vesa/0000-0002-3129-0392</t>
  </si>
  <si>
    <t>University of Helsinki including Helsinki University Central Hospital; Academy of Finland [295129, 305663, 306962]; Academy of Finland (AKA) [305663, 306962] Funding Source: Academy of Finland (AKA)</t>
  </si>
  <si>
    <t>University of Helsinki including Helsinki University Central Hospital; Academy of Finland(Research Council of Finland); Academy of Finland (AKA)(Research Council of Finland)</t>
  </si>
  <si>
    <t>Open access funding provided by University of Helsinki including Helsinki University Central Hospital. We are grateful to reviewers Andrea Marzoli and Else-Ragnhild Neumann and Editor Mark Ghiorso for a swift and balanced processing of the manuscript. Thanks to the MCS team for all the support and comradery over the past years: Jenna Adams, Melissa Scruggs, Marie Takach, Garrett Zeff, and the ever-cheerful cultivator of IGOR's brains, Guy Brown. This work was supported by Academy of Finland Grants 295129, 305663, and 306962.</t>
  </si>
  <si>
    <t>0010-7999</t>
  </si>
  <si>
    <t>1432-0967</t>
  </si>
  <si>
    <t>CONTRIB MINERAL PETR</t>
  </si>
  <si>
    <t>Contrib. Mineral. Petrol.</t>
  </si>
  <si>
    <t>10.1007/s00410-019-1624-0</t>
  </si>
  <si>
    <t>JD1FB</t>
  </si>
  <si>
    <t>WOS:000489719500002</t>
  </si>
  <si>
    <t>Jossart, Q; Sands, CJ; Sewell, MA</t>
  </si>
  <si>
    <t>Jossart, Quentin; Sands, Chester J.; Sewell, Mary A.</t>
  </si>
  <si>
    <t>Dwarf brooder versus giant broadcaster: combining genetic and reproductive data to unravel cryptic diversity in an Antarctic brittle star</t>
  </si>
  <si>
    <t>HEREDITY</t>
  </si>
  <si>
    <t>PELAGIC LARVAL DURATION; ASTROTOMA-AGASSIZII; ECHINODERMATA OPHIUROIDEA; CONNECTIVITY; SPECIATION; EVOLUTION; HISTORY; SEA; POECILOGONY; DIVERSIFICATION</t>
  </si>
  <si>
    <t>Poecilogony, or multiple developmental modes in a single species, is exceedingly rare. Several species described as poecilogenous were later demonstrated to be multiple (cryptic) species with a different developmental mode. The Southern Ocean is known to harbor a high proportion of brooders (Thorson's Rule) but with an increasing number of counter examples over recent years. Here we evaluated poecilogony vs. crypticism in the brittle star Astrotoma agassizii across the Southern Ocean. This species was initially described from South America as a brooder before some pelagic stages were identified in Antarctica. Reproductive and mitochondrial data were combined to unravel geographic and genetic variation of developmental modes. Our results indicate that A. agassizii is composed of seven well-supported and deeply divergent clades (I: Antarctica and South Georgia; II: South Georgia and Sub-Antarctic locations including Kerguelen, Patagonian shelf, and New Zealand; III-VI-VII: Patagonian shelf, IV-V: South Georgia). Two of these clades demonstrated strong size dimorphism when in sympatry and can be linked to differing developmental modes (Clade V: dwarf brooder vs. Clade I: giant broadcaster). Based on their restricted geographic distributions and on previous studies, it is likely that Clades III-VIVII are brooders. Clade II is composed of different morphological species, A. agassizii and A. drachi, the latter originally used as the outgroup. By integrating morphology, reproductive, and molecular data we conclude that the variation identified in A. agassizii is best described as crypticism rather than poecilogony.</t>
  </si>
  <si>
    <t>[Jossart, Quentin; Sewell, Mary A.] Univ Auckland, Auckland, New Zealand; [Jossart, Quentin; Sands, Chester J.] British Antarctic Survey, Cambridge, England; [Jossart, Quentin] Vrije Univ Brussel, Brussels, Belgium</t>
  </si>
  <si>
    <t>University of Auckland; UK Research &amp; Innovation (UKRI); Natural Environment Research Council (NERC); NERC British Antarctic Survey; Vrije Universiteit Brussel</t>
  </si>
  <si>
    <t>Jossart, Q (corresponding author), Univ Auckland, Auckland, New Zealand.;Jossart, Q (corresponding author), British Antarctic Survey, Cambridge, England.;Jossart, Q (corresponding author), Vrije Univ Brussel, Brussels, Belgium.</t>
  </si>
  <si>
    <t>qjossart@gmail.com</t>
  </si>
  <si>
    <t>Sands, Chester/0000-0003-1028-0328; Jossart, Quentin/0000-0002-2280-243X; Sewell, Mary A./0000-0002-1595-7951</t>
  </si>
  <si>
    <t>New Zealand Antarctic Research Institute (NZARI) postdoctoral fellowship [NZARI 2016-1-8]; New Zealand Government under the NZ International Polar Year Census of Antarctic Marine Life Project [So001IPY, IPY2007-01, TAN0802]; MFish [TAN0602, TAN0402, TAN0705]; LINZ [TAN0705]; NIWA [TAN0705]; Department of Conservation [TAN0705]; New Zealand Ministry for Primary Industries; Terres Australes et Antarctiques Francaises (TAAF); Syndicat des Armateurs Reunionnais de Palangriers Congelateurs (SARPC); Direction des Peches Maritimes et de l'Aquaculture, Ministere de l'Agriculture et de l'Alimentation (DPMA); Reserve Nationale Naturelle of TAAF; Museum national d'Histoire naturelle, Paris (MNHN); IPEV; MNHN; CNRS; Sorbonne Universite; NERC [bas0100036] Funding Source: UKRI</t>
  </si>
  <si>
    <t>New Zealand Antarctic Research Institute (NZARI) postdoctoral fellowship; New Zealand Government under the NZ International Polar Year Census of Antarctic Marine Life Project; MFish; LINZ; NIWA; Department of Conservation; New Zealand Ministry for Primary Industries; Terres Australes et Antarctiques Francaises (TAAF); Syndicat des Armateurs Reunionnais de Palangriers Congelateurs (SARPC); Direction des Peches Maritimes et de l'Aquaculture, Ministere de l'Agriculture et de l'Alimentation (DPMA); Reserve Nationale Naturelle of TAAF; Museum national d'Histoire naturelle, Paris (MNHN); IPEV; MNHN; CNRS(Centre National de la Recherche Scientifique (CNRS)); Sorbonne Universite; NERC(UK Research &amp; Innovation (UKRI)Natural Environment Research Council (NERC))</t>
  </si>
  <si>
    <t>This work was supported by a New Zealand Antarctic Research Institute (NZARI) postdoctoral fellowship (contract number: NZARI 2016-1-8, Type A-Research Projects of Excellence in Antarctic, Subantarctic, and Southern Ocean Research). We thank the following people for their help: S. Mills and M. Eleaume for the sharing of samples; C. Moreau, S. Lavery, W. Goodall-Copestake, D. Barnes, and G. Stowasser for helpful discussions; S. Mills and R. Martin-Ledo for their taxonomic expertise; S. Stohr and M. Jangoux for their help in the identification of the reproductive structures; E. Frost, V. Thakur, D. Montenegro, M. Clark, and G. Caulier for their assistance in the laboratory; The BAS Research Development and Support team, with a special thanks to P. Geissler and G. Hillyard; and R. McLeod and G. Wilson for their friendly and professional following up of the NZARI project. We thank the NIWA Invertebrate Collection for providing the specimens and the following projects, which collected the material: voyage TAN0802, funded by the New Zealand Government under the NZ International Polar Year Census of Antarctic Marine Life Project (Phase 1: So001IPY; Phase 2; IPY2007-01). We gratefully acknowledge project governance provided by the Ministry of Fisheries (MFish) Science Team and the Ocean Survey 20/20 CAML Advisory Group (Land Information New Zealand (LINZ), MFish, Antarctica New Zealand, Ministry of Foreign Affairs and Trade, and National Institute of Water and Atmospheric Research (NIWA)); TAN0602, Antarctic Geophysical &amp; Scientific Studies funded by MFish; TAN0402, A biodiversity survey of the western Ross Sea and Balleny Islands in 2004 undertaken by NIWA and financed by MFish; TAN0705, Ocean Survey 20/20 Chatham/Challenger Biodiversity and Seabed Habitat Project, jointly funded by MFish, LINZ, NIWA, and Department of Conservation; TRIP specimens collected under the Scientific Observer Program funded by the New Zealand Ministry for Primary Industries. We thank the master, the crew, and the scientific team of the FV Austral to have collected, sorted, and made available for studies the benthic samples of the POKER 2 (2010) cruise. We are grateful to the leader of the cruise, G. Duhamel (MNHN) and Echinodermata curator M. Eleaume to have granted access to POKER 2 collection. Work at sea was supported by the Terres Australes et Antarctiques Francaises (TAAF), the Syndicat des Armateurs Reunionnais de Palangriers Congelateurs (SARPC), the Direction des Peches Maritimes et de l'Aquaculture, Ministere de l'Agriculture et de l'Alimentation (DPMA), the Reserve Nationale Naturelle of TAAF, and the Museum national d'Histoire naturelle, Paris (MNHN). We thank the scientific team of IPEV (Institut Polaire Francais Paul-Emile Victor) program 1124 REVOLTA (Radiation EVOLutives en Terre Adelie) cruises 2009-12 (chief scientists M. Eleaume, N. Ameziane, and G. Lecointre). Financial and technical support was granted by IPEV, MNHN, CNRS, and Sorbonne Universite. We thank the captains, crews, and science leaders who contributed to the material collected from the RRS James Clarke Ross (JR144, JR179, and JR262), RV Polarstern (PS77), and Akademik Treshnikov (Antarctic Circumnavigation Expedition, Swiss Polar Institute).</t>
  </si>
  <si>
    <t>0018-067X</t>
  </si>
  <si>
    <t>1365-2540</t>
  </si>
  <si>
    <t>Heredity</t>
  </si>
  <si>
    <t>10.1038/s41437-019-0228-9</t>
  </si>
  <si>
    <t>JC4YH</t>
  </si>
  <si>
    <t>WOS:000489283800006</t>
  </si>
  <si>
    <t>Soal, K; Govers, Y; Bienert, J; Bekker, A</t>
  </si>
  <si>
    <t>Soal, K.; Govers, Y.; Bienert, J.; Bekker, A.</t>
  </si>
  <si>
    <t>System identification and tracking using a statistical model and a Kalman filter</t>
  </si>
  <si>
    <t>MECHANICAL SYSTEMS AND SIGNAL PROCESSING</t>
  </si>
  <si>
    <t>System identification; Operational Modal Analysis; Ship structures; Multivariate statistics; Kalman filter; Automated modal parameter selection</t>
  </si>
  <si>
    <t>STOCHASTIC SUBSPACE IDENTIFICATION; TEMPERATURE; VARIABILITY</t>
  </si>
  <si>
    <t>The sensitivity of system identification estimates to changing environmental and operational parameters is important for structural health monitoring and inverse force estimation. Damage to a structure can be misidentified or masked by modal shifts as a result of environmental parameters. In this paper a novel approach to reduce the uncertainties and improve the sensitivity of system identification and tracking is presented based on a data driven statistical model and a Kalman filter. A key objective is to make experimental data maximally informative by using additional system inputs. The method is first demonstrated on numerical data where it was found to improve accuracy and identify underlying trends. Investigations were then conducted on full scale data from the research vessel Polarstern. Model training led to the development of a sliding predictive model using an optimized linear regression method. The model was found to accurately re-create the training data set and was used to make predictions based on future system inputs. Since both the model prediction and the system identification estimates contain different uncertainties the Kalman filter was used to combine both estimates in an optimal way. The Kalman filter estimates were observed to produce balanced and consistent results. The Kalman estimates were also not overly or consistently biased by the SSI estimates or the model predictions. (C) 2019 Elsevier Ltd. All rights reserved.</t>
  </si>
  <si>
    <t>[Soal, K.; Bekker, A.] Stellenbosch Univ, Dept Mech &amp; Mechatron Engn, Stellenbosch, South Africa; [Govers, Y.] Deutsch Zentrum Luft &amp; Raumfahrt, Inst Aeroelast, Gottingen, Germany; [Bienert, J.] TH Ingolstadt, Fak Maschinenbau, Ingolstadt, Germany</t>
  </si>
  <si>
    <t>Stellenbosch University; Helmholtz Association; German Aerospace Centre (DLR)</t>
  </si>
  <si>
    <t>Soal, K (corresponding author), Stellenbosch Univ, Dept Mech &amp; Mechatron Engn, Stellenbosch, South Africa.</t>
  </si>
  <si>
    <t>Keithsoal@gmail.com</t>
  </si>
  <si>
    <t>Govers, Yves/R-7082-2017</t>
  </si>
  <si>
    <t>Govers, Yves/0000-0003-2236-596X</t>
  </si>
  <si>
    <t>South African National Research Foundation (NRF); Council of Managers of National Antarctic Programs (COMNAP); German Academic Exchange Service (DAAD)</t>
  </si>
  <si>
    <t>South African National Research Foundation (NRF)(National Research Foundation - South Africa); Council of Managers of National Antarctic Programs (COMNAP); German Academic Exchange Service (DAAD)(Deutscher Akademischer Austausch Dienst (DAAD))</t>
  </si>
  <si>
    <t>The financial support of the South African National Research Foundation (NRF), Council of Managers of National Antarctic Programs (COMNAP) and German Academic Exchange Service (DAAD) is gratefully acknowledged.</t>
  </si>
  <si>
    <t>0888-3270</t>
  </si>
  <si>
    <t>MECH SYST SIGNAL PR</t>
  </si>
  <si>
    <t>Mech. Syst. Signal Proc.</t>
  </si>
  <si>
    <t>10.1016/j.ymssp.2019.05.011</t>
  </si>
  <si>
    <t>Engineering, Mechanical</t>
  </si>
  <si>
    <t>JD0TQ</t>
  </si>
  <si>
    <t>WOS:000489689600051</t>
  </si>
  <si>
    <t>Zanini, A; Vernetto, S; Ciancio, V; Di Giovan, G; Morfino, P; Liberatore, A; Giannini, G; Hubert, G</t>
  </si>
  <si>
    <t>Zanini, Alba; Vernetto, Silvia; Ciancio, Vicente; Di Giovan, Gustavo; Morfino, Paolo; Liberatore, Alessandro; Giannini, Gianrossano; Hubert, Guillaume</t>
  </si>
  <si>
    <t>Environmental radiation dosimetry at high southern latitudes with Liulin type instruments</t>
  </si>
  <si>
    <t>JOURNAL OF ENVIRONMENTAL RADIOACTIVITY</t>
  </si>
  <si>
    <t>Cosmic rays; Antarctic; Dosimetry; Liulin; High latitudes</t>
  </si>
  <si>
    <t>MAGNETIC-FIELD; COSMIC-RAYS; NEUTRON MONITOR; STATIONS; SPECTROMETER; INTENSITY</t>
  </si>
  <si>
    <t>Because of the geomagnetic field shape, the polar regions are the most exposed to secondary particles and radiation produced by primary cosmic rays in the atmosphere. At present, only few experimental measurements of environmental dose are reported in literature at high southern latitudes. A three year campaign has been carried out in two different locations, Ushuaia (Argentina, 54.80 degrees S, 68.30 degrees W) and Marambio (Antarctica, 64.24 degrees S, 56.63 degrees W), using a Liulin type detector, allowing to measure the total environmental radiation flux and dose. The Liulin type instrument, measuring the energy deposition in a silicon detector, is especially suitable to evaluate the dose, separating the low and high LET (Linear Energy Transfer) components. The instrument was installed at the GAW Station in Ushuaia and inside the LAMBI Laboratory at the Marambio Antarctic base. In December 2017 preliminary measurements have been carried out at the French-Italian base Dome C, at 3233 m a.s.l., with a Liulin-AR, a new version of Liulin spectrometer, specifically built for this application by the Space Research and Technology Institute of Bulgarian Academy of Sciences. In this paper the environmental dose values obtained in the different southern high latitude locations are compared and discussed.</t>
  </si>
  <si>
    <t>[Zanini, Alba; Vernetto, Silvia] Ist Nazl Fis Nucl, Sez Torino, Via P Giuria 1, I-10125 Turin, Italy; [Vernetto, Silvia] Ist Nazl Astrofis, Osservatorio Astrofis Torino, Via P Giuria 1, I-10125 Turin, Italy; [Ciancio, Vicente; Di Giovan, Gustavo] Univ Natl La Plata, Ave 7776, RA-1900 La Plata, Buenos Aires, Argentina; [Morfino, Paolo] Efesto Sarl, 55 Ave Marceau, F-75116 Paris 1, France; [Liberatore, Alessandro] Univ Torino, Dipartimento Fis, Via P Giuria, I-10125 Turin, Italy; [Giannini, Gianrossano] Univ Trieste, Via Valerio 2, I-34127 Trieste, Italy; [Giannini, Gianrossano] Ist Nazl Fis Nucl, Sez Trieste, Via Valerio 2, I-34127 Trieste, Italy; [Hubert, Guillaume] Off Natl Etud &amp; Rech Aerosp, French Aerosp Lab, 2 Ave Edouard Belin, F-31055 Toulouse, France</t>
  </si>
  <si>
    <t>Istituto Nazionale di Fisica Nucleare (INFN); Istituto Nazionale Astrofisica (INAF); National University of La Plata; University of Turin; University of Trieste; Istituto Nazionale di Fisica Nucleare (INFN); National Office for Aerospace Studies &amp; Research (ONERA)</t>
  </si>
  <si>
    <t>Vernetto, S (corresponding author), Ist Nazl Fis Nucl, Sez Torino, Via P Giuria 1, I-10125 Turin, Italy.</t>
  </si>
  <si>
    <t>zanini@to.infn.it; vernetto@to.infn.it; cianciounlp@gmail.com; iliana.digiovan@gmail.com; p.morfino@efestoenergy.com; alessandro.liberatore@protonmail.com; gianrossano.giannini@ts.infn.it; Guillaume.Hubert@onera.fr</t>
  </si>
  <si>
    <t>Liberatore, Alessandro/AAD-2629-2019</t>
  </si>
  <si>
    <t>Liberatore, Alessandro/0000-0002-0016-7594; hubert, guillaume/0000-0002-3537-9642</t>
  </si>
  <si>
    <t>0265-931X</t>
  </si>
  <si>
    <t>1879-1700</t>
  </si>
  <si>
    <t>J ENVIRON RADIOACTIV</t>
  </si>
  <si>
    <t>J. Environ. Radioact.</t>
  </si>
  <si>
    <t>10.1016/j.jenvrad.2019.105993</t>
  </si>
  <si>
    <t>JC3QD</t>
  </si>
  <si>
    <t>WOS:000489192300009</t>
  </si>
  <si>
    <t>Lee, S; Shin, D; Han, C; Choi, KS; Hur, SD; Lee, J; Byun, DS; Kim, YT; Hong, S</t>
  </si>
  <si>
    <t>Lee, Sanghee; Shin, Daechol; Han, Changhee; Choi, Kwang-Sik; Hur, Soon Do; Lee, Jooyoung; Byun, Do-Seong; Kim, Young-Taeg; Hong, Sungmin</t>
  </si>
  <si>
    <t>Characteristic concentrations and isotopic composition of airborne lead at urban, rural and remote sites in western Korea</t>
  </si>
  <si>
    <t>Atmospheric pollution; Lead; Lead isotopes; Source identification; Western Korea</t>
  </si>
  <si>
    <t>LONG-RANGE TRANSPORT; HEAVY-METALS; ASIAN DUST; PARTICULATE MATTER; ANTARCTIC SNOW; ATMOSPHERIC LEAD; INDUSTRIAL LEAD; DRY DEPOSITION; TRACE-ELEMENTS; REDUCING LEAD</t>
  </si>
  <si>
    <t>Anthropogenic Pb emitted from East Asia, particularly China, is often long-range transported to the east by the prevailing westerlies. To characterize the geographical properties of varying atmospheric Pb concentrations by transboundary and domestic source(s)-related Pb in Korea, closely adjacent to China, the Al and Pb concentrations and the stable Pb isotopic composition were determined in the total suspended particles (TSP) collected at urban (IC), rural (TA), and remote background (JJ) sites in western Korea from August 2015 to October 2016. The annual average Pb concentrations were significantly higher in urban and rural areas (IC, 16.2 ng m(-3) and TA, 11.1 ng m(-3)) than in remote area (JJ, 6.41 ng m(-3)), showing pronounced seasonal variations with relatively higher concentrations in winter and spring and lower concentrations in summer and autumn. Significantly high enrichment factors (EF) for Pb indicate that anthropogenic contributions are important for this toxic element in TSP. Coupling the Pb isotopic signatures with the air mass back trajectories identified the major potential source regions for individual samples. The results show that during winter, China was the dominant contributor, accounting for 92%, 82%, and 100% of the sampling periods at IC, TA, and JJ, respectively. The Chinese contribution decreased in summer and autumn, whereas the Korean contribution increased, according to the East Asian monsoon system. The Pb concentrations increased by 2.2 (IC), 1.2 (TA) and 1.4 (JJ) times when the Chinese contribution was dominant, compared to the Korea-dominant periods. The Pb isotopic systematics for the samples characterized by the dominant Korean contribution differed substantially between the three sites, implying that the relative importance of various domestic sources varied with geographical areas in western Korea. (C) 2019 Elsevier Ltd. All rights reserved.</t>
  </si>
  <si>
    <t>[Lee, Sanghee; Shin, Daechol; Hong, Sungmin] Inha Univ, Dept Ocean Sci, 100 Inha Ro, Incheon 22212, South Korea; [Lee, Sanghee] Natl Inst Environm Res, Hwangyong Ro 42, Incheon 22689, South Korea; [Han, Changhee; Hur, Soon Do] Korea Polar Res Inst, 26 Songdomirae Ro, Incheon 21990, South Korea; [Choi, Kwang-Sik] Jeju Natl Univ, Sch Marine Biomed Sci BK21 PLUS, 102 Jejudaehak Ro, Jeju Si 63243, Jeju Special Se, South Korea; [Lee, Jooyoung; Byun, Do-Seong; Kim, Young-Taeg] Korea Hydrog &amp; Oceanog Agcy, 351 Haeyang Ro, Busan 49111, South Korea</t>
  </si>
  <si>
    <t>Inha University; National Institute of Environmental Research (NIER), Republic of Korea; Korea Polar Research Institute (KOPRI); Jeju National University</t>
  </si>
  <si>
    <t>Choi, Kwang-Sik Albert/B-5367-2011; Byun, Do-Seong/AAK-7132-2021</t>
  </si>
  <si>
    <t>Korea Hydrographic and Oceanographic Agency (KHOA) [51606-01, 53636-01]; Ministry of Oceans and Fisheries (MOF), Korea</t>
  </si>
  <si>
    <t>Korea Hydrographic and Oceanographic Agency (KHOA); Ministry of Oceans and Fisheries (MOF), Korea</t>
  </si>
  <si>
    <t>We wish to thank all personnel for their cooperation in aerosol sampling. This study was supported by research grants (51606-01 and 53636-01) funded by the Korea Hydrographic and Oceanographic Agency (KHOA), the Ministry of Oceans and Fisheries (MOF), Korea.</t>
  </si>
  <si>
    <t>10.1016/j.envpol.2019.113050</t>
  </si>
  <si>
    <t>JB9FT</t>
  </si>
  <si>
    <t>WOS:000488887600019</t>
  </si>
  <si>
    <t>Linnane, A; Smith, ADM; McGarvey, R; Feenstra, JE; Matthews, JM; Hartmann, K; Gardner, C</t>
  </si>
  <si>
    <t>Linnane, Adrian; Smith, Anthony D. M.; McGarvey, Richard; Feenstra, John E.; Matthews, Janet M.; Hartmann, Klaas; Gardner, Caleb</t>
  </si>
  <si>
    <t>Trends in productivity of Southern Rock Lobster Jasus edwardsii, across south-eastern Australia: Evidence of a regime shift?</t>
  </si>
  <si>
    <t>Southern Rock Lobster; Jasus edwardsii; Productivity; Regime shift; Surplus production</t>
  </si>
  <si>
    <t>PUERULUS SETTLEMENT; LEEUWIN CURRENT; RECRUITMENT; FISHERY; SEA; PATTERNS</t>
  </si>
  <si>
    <t>In south-eastern Australia, Southern Rock Lobster Jasus edwardsii supports important regional fisheries across the States of South Australia, Victoria and Tasmania. Previous studies across the region have identified considerable synchrony in both larval settlement and recruitment, suggesting that the mechanisms driving these processes occur across broad spatial scales. This study aimed to further examine cross-jurisdictional fishery patterns by analysing long-term trends in Surplus Production (SP) as a measure of annual stock productivity. The results showed evidence of a common trend across south-eastern Australia. Specifically, a substantially rapid decline in SP was observed around the late 1990s and early to mid-2000s period. This decline was particularity evident in both the Northern Zone of South Australia and the Tasmanian fishery. It is suggested that these results may reflect a regime shift in Southern Rock Lobster productivity across south-eastern Australia, which should be considered in terms of future management of the resource.</t>
  </si>
  <si>
    <t>[Linnane, Adrian; McGarvey, Richard; Feenstra, John E.; Matthews, Janet M.] South Australian Res &amp; Dev Inst Aquat Sci, POB 120, Henley Beach, SA 5022, Australia; [Smith, Anthony D. M.] CSIRO Oceans &amp; Atmosphere, GPO Box 1538, Hobart, Tas, Australia; [Smith, Anthony D. M.; Hartmann, Klaas; Gardner, Caleb] Univ Tasmania, Inst Marine &amp; Antarctic Studies, 15-21 Nubeena Crescent, Taroona, Tas 7053, Australia</t>
  </si>
  <si>
    <t>Commonwealth Scientific &amp; Industrial Research Organisation (CSIRO); University of Tasmania</t>
  </si>
  <si>
    <t>Linnane, A (corresponding author), South Australian Res &amp; Dev Inst Aquat Sci, POB 120, Henley Beach, SA 5022, Australia.</t>
  </si>
  <si>
    <t>Adrian.Linnane@sa.gov.au</t>
  </si>
  <si>
    <t>Hartmann, Klaas/B-3991-2008; Gardner, Caleb/I-7086-2013</t>
  </si>
  <si>
    <t>McGarvey, Richard/0000-0001-8698-8774; Gardner, Caleb/0000-0003-0324-4337</t>
  </si>
  <si>
    <t>Australian Fisheries Research and Development Corporation</t>
  </si>
  <si>
    <t>We thank Kylie Odgers, Peter Hawthorne and Douglas Graske for assistance provided in data entry and collation. The Australian Fisheries Research and Development Corporation provided funds for research projects that augmented this work. We also thank licence holders in all States for the provision of commercial rock lobster fishery data.</t>
  </si>
  <si>
    <t>10.1016/j.fishres.2019.105308</t>
  </si>
  <si>
    <t>JB1DR</t>
  </si>
  <si>
    <t>WOS:000488300900011</t>
  </si>
  <si>
    <t>Yates, P; Ziegler, P; Welsford, D; Wotherspoon, S; Burch, P; Maschette, D</t>
  </si>
  <si>
    <t>Yates, Peter; Ziegler, Philippe; Welsford, Dirk; Wotherspoon, Simon; Burch, Paul; Maschette, Dale</t>
  </si>
  <si>
    <t>Distribution of Antarctic toothfish Dissostichus mawsoni along East Antarctica: Environmental drivers and management implications</t>
  </si>
  <si>
    <t>Fisheries management; Habitat use; Antarctica; Dissostichus mawsoni</t>
  </si>
  <si>
    <t>PATAGONIAN TOOTHFISH; ROSS SEA; POPULATION-STRUCTURE; LIFE-HISTORY; OCEAN ECOSYSTEMS; STOCK ASSESSMENT; NURSERY AREAS; ORANGE ROUGHY; FISH; ICE</t>
  </si>
  <si>
    <t>As Antarctic fish species experience increasing anthropogenic pressures there is a growing need to characterise the structure and function of their populations and understand how they may respond to changes in their environment. We integrated fishery-dependent and environmental data from years 2003-2017 to investigate the distribution of Antarctic toothfish Dissostichus mawsoni along a c. 3000 nm expanse of the shelf and slope along East Antarctica (30-150 degrees E). Spatially-explicit generalised additive mixed models were used to characterise the environmental drivers of relative abundance, mean individual weight, maturity-stage composition and sex ratio. Antarctic toothfish were not randomly distributed across the region, and spatial variations were characterised by complex relationships involving topography, temperature, salinity and sea ice. In particular, catch rates were highest at depths between 1000-1700 m. Mean weight and the proportion of fish that were mature both increased with depth and decreased with bottom temperature. Model predictions were also used to develop hypotheses relating to population function, including the location of nursery and spawning areas. This characterisation of the population can facilitate evaluation of fishing impacts in East Antarctica, and improve our understanding of the role of toothfish in Antarctic and Southern Ocean ecosystems.</t>
  </si>
  <si>
    <t>[Yates, Peter; Ziegler, Philippe; Welsford, Dirk; Wotherspoon, Simon; Burch, Paul; Maschette, Dale] Australian Antarctic Div, Dept Environm &amp; Energy, 203 Channel Highway, Kingston, Tas, Australia; [Wotherspoon, Simon] Univ Tasmania, Inst Marine &amp; Antarctic Studies, 20 Castray Esplanade, Battery Point, Tas, Australia; [Burch, Paul] CSIRO, Battery Point, Tas, Australia; [Maschette, Dale] Univ Tasmania, Fisheries &amp; Aquaculture Ctr, Inst Marine &amp; Antarctic Studies, 20 Castray Esplanade, Battery Point, Tas, Australia</t>
  </si>
  <si>
    <t>Australian Antarctic Division; University of Tasmania; Commonwealth Scientific &amp; Industrial Research Organisation (CSIRO); University of Tasmania</t>
  </si>
  <si>
    <t>Yates, P (corresponding author), Australian Antarctic Div, Dept Environm &amp; Energy, 203 Channel Highway, Kingston, Tas, Australia.</t>
  </si>
  <si>
    <t>peter.yates2@my.jcu.edu.au</t>
  </si>
  <si>
    <t>Burch, Paul/GLU-8548-2022; Wotherspoon, Simon J/B-2390-2013</t>
  </si>
  <si>
    <t>Wotherspoon, Simon J/0000-0002-6947-4445; Yates, Peter/0000-0003-4659-7159; Welsford, Dirk/0000-0001-5379-5052; Maschette, Dale/0000-0003-2590-8544; Ziegler, Philippe/0000-0001-5940-9394</t>
  </si>
  <si>
    <t>Australian Antarctic Program [4030]</t>
  </si>
  <si>
    <t>Australian Antarctic Program</t>
  </si>
  <si>
    <t>We gratefully acknowledge the assistance of the crew, skippers and scientific observers aboard vessels of Australian Longline Pty Ltd, Peche Avenir, Pesquerias Georgia S.L, SUNWOO Corporation, and Taiyo A &amp; F Co. Ltd for collecting data included in this paper. Thanks also to Ben Raymond and Mike Sumner for assistance with sourcing and processing environmental data, the CCAMLR Secretariat for assistance with data requests, and to Tim Lamb and Troy Robertson for crucial contributions to database management. This study was funded through the Australian Antarctic Program, Project 4030; with significant in-kind support from the Australian Antarctic Division, and Australian Longline Pty Ltd.</t>
  </si>
  <si>
    <t>10.1016/j.fishres.2019.105338</t>
  </si>
  <si>
    <t>WOS:000488300900037</t>
  </si>
  <si>
    <t>Lovecchio, JP; Naipauer, M; Cayo, LE; Rohais, S; Giunta, D; Flores, G; Gerster, R; Bolatti, ND; Joseph, P; Valencia, VA; Ramos, VA</t>
  </si>
  <si>
    <t>Pablo Lovecchio, Juan; Naipauer, Maximiliano; Eric Cayo, Lubin; Rohais, Sebastien; Giunta, David; Flores, Gonzalo; Gerster, Ricardo; Bolatti, Nestor D.; Joseph, Philippe; Valencia, Victor A.; Ramos, Victor A.</t>
  </si>
  <si>
    <t>Rifting evolution of the Malvinas basin, offshore Argentina: New constrains from zircon U-Pb geochronology and seismic characterization</t>
  </si>
  <si>
    <t>Malvinas; Rifting; Geochronology; Tobifera; Jurassic; Triassic</t>
  </si>
  <si>
    <t>CAPE-MEREDITH COMPLEX; GONDWANA BREAK-UP; FALKLAND ISLANDS; CONTINENTAL COLLISION; ANTARCTIC PENINSULA; MAGMATIC EVOLUTION; TECTONIC EVOLUTION; VOLCANIC PROVINCE; SILICIC VOLCANISM; CENTRAL PATAGONIA</t>
  </si>
  <si>
    <t>The Malvinas basin, emplaced offshore southern Patagonia, is an asymmetric extensional basin formed by NNW-striking faults. In this contribution we present a review and updated structural framework for the Malvinas basin, together with two new U-Pb zircon ages for the synrift series. By extrapolation from the neighboring Austral basin, the Middle Jurassic Serie Tobifera unit has typically been interpreted as the synrift infill of the Malvinas basin and correlated to the V2 event of the Chon Aike Magmatic Province. A tuff sample recovered from Serie Tobifera in a well in the Malvinas basin, confirmed this correlation and yielded a crystallization age of 169.6 +/- 2 Ma (U-Pb in zircon). Furthermore, a volcanic breccia obtained from a deeper section within the synrift, yielded a Late Triassic age (215 Ma, U-Pb in zircon). This is the first Triassic age in the Malvinas basin and allowed correlation of these deposits with the El Tranquilo basin in the Deseado Massif (onshore Patagonia). The synextensional emplacement of the retroarc Chon Aike Magmatic Province is associated with trenchward migration of the coetaneous volcanic arc. To explain the rotational extension observed in the Chon Aike structural fabric at continental plate-scale, we follow the differential rollback model for the Jurassic evolution of southern Patagonia and introduce a vertical slab tear between Patagonia and Antarctica. The slab tear model provides a border condition for the differential rollback and explains the lateral displacement between Eastern and Western Gondwana during the Mozambique Channel opening. Moreover, the asthenospheric window opened by the slab tear would have produced a thermal anomaly that triggered the opening of the Weddell Sea in the Late Jurassic between Eastern and Western Gondwana.</t>
  </si>
  <si>
    <t>[Pablo Lovecchio, Juan; Eric Cayo, Lubin; Giunta, David; Flores, Gonzalo; Gerster, Ricardo; Bolatti, Nestor D.] YPF SA, Explorat, Macacha Guemes 515, RA-1106 Buenos Aires, DF, Argentina; [Naipauer, Maximiliano] Univ Buenos Aires, CONICET, Inst Geocronol &amp; Geol Isotop INGEIS, Buenos Aires, DF, Argentina; [Rohais, Sebastien; Joseph, Philippe] IFP Energies Nouvelles, Direct Georessources, Rueil Malmaison, France; [Valencia, Victor A.] Washington State Univ, Pullman, WA 99164 USA; [Ramos, Victor A.] Univ Buenos Aires, CONICET, Inst Estudios Andinos Don Pablo Groeber IDEAN, Buenos Aires, DF, Argentina</t>
  </si>
  <si>
    <t>Consejo Nacional de Investigaciones Cientificas y Tecnicas (CONICET); University of Buenos Aires; IFP Energies Nouvelles; Washington State University; University of Buenos Aires; Consejo Nacional de Investigaciones Cientificas y Tecnicas (CONICET)</t>
  </si>
  <si>
    <t>Lovecchio, JP (corresponding author), Macacha Guemes 515, RA-1106 Buenos Aires, DF, Argentina.</t>
  </si>
  <si>
    <t>Juan.lovecchio@ypf.com</t>
  </si>
  <si>
    <t>Cayo, Lubin Eric/0000-0002-5367-3933</t>
  </si>
  <si>
    <t>1873-0647</t>
  </si>
  <si>
    <t>10.1016/j.jsames.2019.102253</t>
  </si>
  <si>
    <t>WOS:000488136300042</t>
  </si>
  <si>
    <t>Suárez, R; González, PD; Ghiglione, MC</t>
  </si>
  <si>
    <t>Suarez, Rodrigo; Gonzalez, Pablo D.; Ghiglione, Matias C.</t>
  </si>
  <si>
    <t>A review on the tectonic evolution of the Paleozoic-Triassic basins from Patagonia: Record of protracted westward migration of the pre-Jurassic subduction zone</t>
  </si>
  <si>
    <t>Patagonia; Antarctic Peninsula; Accretionary orogenesis; Retreating slab; Pre-Jurassic; Paleozoic-Triassic basins; Detrital zircons</t>
  </si>
  <si>
    <t>U-PB SHRIMP; CHONOS METAMORPHIC COMPLEX; SIERRA GRANDE FORMATION; SOUTHERN SOUTH-AMERICA; LA MODESTA FORMATION; ANTARCTIC PENINSULA; DETRITAL ZIRCONS; HF-ISOTOPE; PALEOGEOGRAPHIC IMPLICATIONS; GEOCHRONOLOGICAL EVIDENCE</t>
  </si>
  <si>
    <t>The Paleozoic-Triassic Patagonian basins, at present comprising the Andean hinterland and structural basement of active basins, document a pre-Jurassic evolution associated with accretionary processes at the paleo-Pacific convergent margin. The Early Cambrian basins constitute the earliest record for the emplacement of the Terra Australis Orogen in northern Patagonia and preserve metavolcanic strata derived from an extensional magmatic arc. Together, pre-Jurassic basins document the Early Cambrian to Late Triassic oceanward migration of the trench-forearc system, evidencing that slab retreat was the common subduction setup. Tectonostratigraphy of these basins can be divided into three major sequences, from east to west: (i) early-middle Cambrian, (ii) Silurian-Carboniferous and (iii) Late Permian-late Triassic, which are separated by angular unconformities, evidencing large deformational pulses (advancing stages?) at Early Ordovician, early-middle Permian, and Late Triassic-Early Jurassic times. The Early Cambrian basins are mainly represented in the North Patagonian Massif by the Nahuel Niyeu forearc basin and the El Jaguelito backarc basin, which were closed and metamorphosed during the Early Ordovician. The Silurian-Devonian clastic sequences of the Atlantic region and Malvinas Islands evolved in an intracontinental rift setting and were deformed in the Permian when thrust tectonics took place at the continental scale, while the contemporaneous trench-forearc system represented in western Patagonia was governed by slab dynamics and accretion of oceanic material. During the final Pangea assembly (Permian-Triassic), the Antarctic Peninsula crustal block formed part of Patagonia as evidenced the detrital zircons record in the Permian-Triassic arc-flank basins. Deformation and metamorphism of these late Paleozoic-early Mesozoic basins could have occurred during the latest Triassic-Early Jurassic Chonide event.</t>
  </si>
  <si>
    <t>[Suarez, Rodrigo; Ghiglione, Matias C.] Univ Buenos Aires, CONICET, Inst Estudios Andinos, Buenos Aires, DF, Argentina; [Gonzalez, Pablo D.] Univ Nacl Rio Negro, Inst Invest Paleobiol &amp; Geol, CONICET, Gen Roca, Argentina</t>
  </si>
  <si>
    <t>University of Buenos Aires; Consejo Nacional de Investigaciones Cientificas y Tecnicas (CONICET); Consejo Nacional de Investigaciones Cientificas y Tecnicas (CONICET)</t>
  </si>
  <si>
    <t>Suárez, R (corresponding author), Univ Buenos Aires, CONICET, Inst Estudios Andinos IDEAN, Intendente Guiraldes 2160,Ciudad Univ, Buenos Aires, DF, Argentina.</t>
  </si>
  <si>
    <t>rsuarez@gl.fcen.uba.ar</t>
  </si>
  <si>
    <t>Gonzalez, Pablo Diego/0000-0003-3498-8128</t>
  </si>
  <si>
    <t>[PICT-2013-1291]; [PI-UNRN 40-A-462]; [PICT-0787 ANPCyT]</t>
  </si>
  <si>
    <t>The early stage of the present work was enriched through discussions with Julio Hlebszevitsch, Mauricio Calderon, Gerson Greco and Santiago Gonzalez. We wish to thank reviewers Victor Ramos, Sebastian Oriolo and Andres Folguera for their valuable suggestions, and Maximiliano Naipauer by editorial handling. This work was carried out thanks to the financial support of grants projects Agencia PICT-2013-1291 (M.C.G.), and PI-UNRN 40-A-462 and PICT-0787 ANPCyT (P.D.G).</t>
  </si>
  <si>
    <t>10.1016/j.jsames.2019.102256</t>
  </si>
  <si>
    <t>WOS:000488136300041</t>
  </si>
  <si>
    <t>Thöle, LM; Amsler, HE; Moretti, S; Auderset, A; Gilgannon, J; Lippold, J; Vogel, H; Crosta, X; Mazaud, A; Michel, E; Martínez-García, A; Jaccard, SL</t>
  </si>
  <si>
    <t>Thole, Lena M.; Amsler, H. Eri; Moretti, Simone; Auderset, Alexandra; Gilgannon, James; Lippold, Joerg; Vogel, Hendrik; Crosta, Xavier; Mazaud, Alain; Michel, Elisabeth; Martinez-Garcia, Alfredo; Jaccard, Samuel L.</t>
  </si>
  <si>
    <t>Glacial-interglacial dust and export production records from the Southern Indian Ocean</t>
  </si>
  <si>
    <t>Southern Ocean; iron fertilization; glacial-interglacial changes; Subantarctic Zone; Antarctic Zone</t>
  </si>
  <si>
    <t>MILLENNIAL-SCALE CHANGES; ANTARCTIC SEA-ICE; ATMOSPHERIC CO2; IRON FERTILIZATION; KERGUELEN ISLANDS; BIOGENIC OPAL; POLAR OCEAN; CIRCULATION; VARIABILITY; EXTENT</t>
  </si>
  <si>
    <t>We present Th-230-normalized dust and export production fluxes for two contrasted marine sediment cores spanning the Antarctic Polar Front, close to the Kerguelen Plateau in the Southern Indian Ocean, covering the last glacial cycle. We report glacial lithogenic fluxes comparable to the South Atlantic and higher than in the South Pacific sectors of the Southern Ocean. Structural and temporal discrepancies with dust reconstructions from Antarctic ice cores and the Atlantic and Pacific sectors of the Subantarctic Zone (SAZ) point towards Southern Africa and/or the Kerguelen Plateau as an additional source of lithogenic material to the Southern Indian Ocean during the last ice age. In the SAZ, export production proxies respond to iron (Fe) fertilization with total organic carbon (TOC) fluxes as high as those previously reported from the Atlantic sector of the Southern Ocean. However, the correlation between export production and dust proxies is weaker than in the other sectors, and shows a muted response of export production during peak glacials. We hypothesize that this muted response may be related to macronutrient (co-)limitation imposed on phytoplankton growth possibly induced by a northward displacement of wind-driven upwelling and/or the polar frontal system during peak glacials. The Antarctic Zone (AZ) record depicts the typical pattern of enhanced export production during interglacials and comparatively low productivity during glacials suggesting a decrease in the supply of macronutrients to the AZ surface during ice ages compared to warm periods, as previously proposed. However, a muted response of opal fluxes during marine isotope stage (MIS) 5e argues for a southward migration of the frontal system during warmer MIS 5e, possibly causing silicic acid (co-)limitation at this site. These results illustrate the important role of Fe fertilization and changes in wind-driven upwelling intensities in modulating the strength and efficiency of the biological carbon pump in the Southern Ocean, but also highlight the potential role of frontal movements in explaining export production variability at sites located close to the Antarctic Circumpolar Current (ACC) fronts. Overall, our new datasets provide new insights on the regional differences in dust and export production patterns that need to be considered in order to evaluate the efficiency of carbon sequestration in the different sectors of the Southern Ocean during ice ages. (C) 2019 Elsevier B.V. All rights reserved.</t>
  </si>
  <si>
    <t>[Thole, Lena M.; Amsler, H. Eri; Gilgannon, James; Vogel, Hendrik; Jaccard, Samuel L.] Univ Bern, Inst Geol Sci, Bern, Switzerland; [Thole, Lena M.; Amsler, H. Eri; Vogel, Hendrik; Jaccard, Samuel L.] Univ Bern, Oeschger Ctr Climate Change Res, Bern, Switzerland; [Moretti, Simone; Auderset, Alexandra; Martinez-Garcia, Alfredo] Max Planck Inst Chem, Climate Geochem Dept, Mainz, Germany; [Lippold, Joerg] Heidelberg Univ, Inst Earth Sci, Heidelberg, Germany; [Crosta, Xavier] Univ Bordeaux, EPOC, Bordeaux, France; [Mazaud, Alain; Michel, Elisabeth] LSCE, Gif Sur Yvette, France</t>
  </si>
  <si>
    <t>University of Bern; University of Bern; Max Planck Society; Ruprecht Karls University Heidelberg; Universite de Bordeaux; Centre National de la Recherche Scientifique (CNRS); CEA; Centre National de la Recherche Scientifique (CNRS); Universite Paris Saclay</t>
  </si>
  <si>
    <t>Thöle, LM (corresponding author), Univ Utrecht, Dept Earth Sci, Marine Palynol &amp; Paleoceanog, Princetonlaan 8a, NL-3584 CB Utrecht, Netherlands.</t>
  </si>
  <si>
    <t>l.m.thole@uu.nl</t>
  </si>
  <si>
    <t>Vogel, Hendrik/ABG-1123-2020; Vogel, Hendrik/C-6148-2014; Martinez-Garcia, Alfredo/A-6244-2010; Auderset, Alexandra/AAX-5483-2020; Gilgannon, James/ABA-2633-2021; Gilgannon, James/AAJ-4415-2021; Jaccard, Samuel/G-3447-2014</t>
  </si>
  <si>
    <t>Vogel, Hendrik/0000-0002-9902-8120; Martinez-Garcia, Alfredo/0000-0002-7206-5079; Auderset, Alexandra/0000-0002-6316-4980; Gilgannon, James/0000-0003-2597-1762; Amsler, Helen Eri/0000-0001-9603-9003; Thole, Lena/0000-0002-5405-3613; Moretti, Simone/0000-0002-6772-7269; Jaccard, Samuel/0000-0002-5793-0896</t>
  </si>
  <si>
    <t>Swiss National Science Foundation (SNSF) [P1BEP2_168625, PP00P2_144811, PP00P2_172915]; Deutsche Forschungsgemeinschaft [Li1815-4]; Max Plank Society; NCCR project PlanetS (Swiss National Science Foundation grant) [51NF40-141881]; Swiss National Science Foundation (SNF) [P1BEP2_168625] Funding Source: Swiss National Science Foundation (SNF)</t>
  </si>
  <si>
    <t>Swiss National Science Foundation (SNSF)(Swiss National Science Foundation (SNSF)); Deutsche Forschungsgemeinschaft(German Research Foundation (DFG)); Max Plank Society(Max Planck Society); NCCR project PlanetS (Swiss National Science Foundation grant)(Swiss National Science Foundation (SNSF)); Swiss National Science Foundation (SNF)(Swiss National Science Foundation (SNSF))</t>
  </si>
  <si>
    <t>We gratefully thank Igor Villa, Martin Wille, Jorg Rickli, Edel O'Sullivan and Alessandro Maltese for help with the ICP-MS measurements, Julijana Krbanjevic for TC/TOC measurements, Maureen Soon for biogenic opal measurements, the Institute of Environmental Physics, Heidelberg University for lab space and comparative measurements and Olivier Cartapanis for instructions and help with the XRF measurements and result evaluation. Financial support for this study was provided by the Swiss National Science Foundation (SNSF grants P1BEP2_168625 to LMT and PP00P2_144811 and PP00P2_172915 to SLJ), the Deutsche Forschungsgemeinschaft (grant Li1815-4 to JL), and the Max Plank Society. The MC-ICP-MS at the Institute of Geological Sciences, University of Bern has been acquired within the framework on the NCCR project PlanetS (Swiss National Science Foundation grant 51NF40-141881).</t>
  </si>
  <si>
    <t>10.1016/j.epsl.2019.115716</t>
  </si>
  <si>
    <t>JA8YO</t>
  </si>
  <si>
    <t>WOS:000488137400005</t>
  </si>
  <si>
    <t>van der Linden, SJA; Edwards, JM; van Heerwaarden, CC; Vignon, E; Genthon, C; Petenko, I; Baas, P; Jonker, HJJ; van de Wiel, BJH</t>
  </si>
  <si>
    <t>van der Linden, Steven J. A.; Edwards, John M.; van Heerwaarden, Chief C.; Vignon, Etienne; Genthon, Christophe; Petenko, Igor; Baas, Peter; Jonker, Harmen J. J.; van de Wiel, Bas J. H.</t>
  </si>
  <si>
    <t>Large-Eddy Simulations of the Steady Wintertime Antarctic Boundary Layer</t>
  </si>
  <si>
    <t>BOUNDARY-LAYER METEOROLOGY</t>
  </si>
  <si>
    <t>Antarctic boundary layer; Large-eddy simulations; Long-lived stable boundary layer; Subsidence heating</t>
  </si>
  <si>
    <t>APERTURE SCINTILLOMETER TEST; ATMOSPHERIC SURFACE-LAYER; SUBGRID-SCALE MODEL; DOME-C; PART I; TEMPERATURE INVERSION; NUMERICAL-SIMULATION; ENERGY BALANCE; WATER-VAPOR; TURBULENCE</t>
  </si>
  <si>
    <t>Observations of two typical contrasting weakly stable and very stable boundary layers from the winter at Dome C station, Antarctica, are used as a benchmark for two centimetre-scale-resolution large-eddy simulations. By taking the Antarctic winter, the effects of the diurnal cycle are eliminated, enabling the study of the long-lived steady stable boundary layer. With its homogeneous, flat snow surface, and extreme stabilities, the location is a natural laboratory for studies on the long-lived stable boundary layer. The two simulations differ only in the imposed geostrophic wind speed, which is identified as the main deciding factor for the resulting regime. In general, a good correspondence is found between the observed and simulated profiles of mean wind speed and temperature. Discrepancies in the temperature profiles are likely due to the exclusion of radiative transfer in the current simulations. The extreme stabilities result in a considerable contrast between the stable boundary layer at the Dome C site and that found at typical mid-latitudes. The boundary-layer height is found to range from approximately 50m in the most extreme case. Remarkably, heating of the boundary layer by subsidence may result in thermal equilibrium of the boundary layer in which the associated heating is balanced by the turbulent cooling towards the surface. Using centimetre-scale resolutions, accurate large-eddy simulations of the extreme stabilities encountered in Antarctica appear to be possible. However, future simulations should aim to include radiative transfer and sub-surface heat transport to increase the degree of realism of these types of simulations.</t>
  </si>
  <si>
    <t>[van der Linden, Steven J. A.; Baas, Peter; Jonker, Harmen J. J.; van de Wiel, Bas J. H.] Delft Univ Technol, Geosci &amp; Remote Sensing, Stevinweg 1, NL-2628 CN Delft, Netherlands; [Edwards, John M.] Met Off, Exeter, Devon, England; [van Heerwaarden, Chief C.] Wageningen Univ &amp; Res, Meteorol &amp; Air Qual Grp, Wageningen, Netherlands; [Vignon, Etienne] Ecole Polytech Fed Lausanne, Environm Remote Sensing Lab, Lausanne, Switzerland; [Genthon, Christophe] CNRS, Lab Meteolor Dynam, Paris, France; [Petenko, Igor] CNR, Inst Atmospher Sci &amp; Climate, Rome, Italy; [Petenko, Igor] Russian Acad Sci, AM Obukhov Inst Atmospher Phys, Moscow, Russia</t>
  </si>
  <si>
    <t>Delft University of Technology; Met Office - UK; Wageningen University &amp; Research; Swiss Federal Institutes of Technology Domain; Ecole Polytechnique Federale de Lausanne; Centre National de la Recherche Scientifique (CNRS); Consiglio Nazionale delle Ricerche (CNR); Istituto di Scienze dell'Atmosfera e del Clima (ISAC-CNR); Russian Academy of Sciences; Obukhov Institute of Atmospheric Physics of Russian Academy of Sciences</t>
  </si>
  <si>
    <t>van der Linden, SJA (corresponding author), Delft Univ Technol, Geosci &amp; Remote Sensing, Stevinweg 1, NL-2628 CN Delft, Netherlands.</t>
  </si>
  <si>
    <t>s.j.a.vanderlinden@tudelft.nl</t>
  </si>
  <si>
    <t>van der Linden, Steven/HOC-7303-2023; van der Linden, Steven/ABB-9017-2021; van Heerwaarden, Chiel/AAN-3040-2020</t>
  </si>
  <si>
    <t>van der Linden, Steven/0000-0001-9150-0892; van der Linden, Steven/0000-0001-9150-0892; van Heerwaarden, Chiel/0000-0001-7202-3525; VIGNON, Etienne/0000-0003-3801-9367</t>
  </si>
  <si>
    <t>IPEV [1013]; NWO Exact and Natural Sciences; European Research Council [648666]; European Research Council (ERC) [648666] Funding Source: European Research Council (ERC)</t>
  </si>
  <si>
    <t>IPEV; NWO Exact and Natural Sciences; European Research Council(European Research Council (ERC)); European Research Council (ERC)(European Research Council (ERC)Spanish Government)</t>
  </si>
  <si>
    <t>The authors thank Beatrice Saggiorato, Jonathan Izett and Stephan de Roode for their valuable suggestions and feedback. Bart van Stratum is acknowledged for his help in adapting MicroHH for this study. The authors also thank S. Argentini, G. Mastrantonio, A. Viola and A. Conidi for their assistance in preparing the sodar observations. Concordia station at Dome C is jointly managed by the French (IPEV) and Italian (PNRA) polar institutes and programs. In situ boundary-layer observations used here are obtained in the framework of the CALVA project supported by IPEV (project 1013). This work was sponsored by NWO Exact and Natural Sciences for the use of supercomputer facilities. We gratefully acknowledge funding by the European Research Council through an ERC-Consolidator grant (648666).</t>
  </si>
  <si>
    <t>0006-8314</t>
  </si>
  <si>
    <t>1573-1472</t>
  </si>
  <si>
    <t>BOUND-LAY METEOROL</t>
  </si>
  <si>
    <t>Bound.-Layer Meteor.</t>
  </si>
  <si>
    <t>10.1007/s10546-019-00461-4</t>
  </si>
  <si>
    <t>JA5QY</t>
  </si>
  <si>
    <t>WOS:000487899100002</t>
  </si>
  <si>
    <t>Kahkashan, S; Wang, XH; Chen, JF; Bai, YC; Ya, ML; Wu, YL; Cai, YZ; Wang, SQ; Saleem, M; Aftab, J; Inam, A</t>
  </si>
  <si>
    <t>Kahkashan, Sanober; Wang, Xinhong; Chen, Jianfang; Bai, Youcheng; Ya, Miaolei; Wu, Yuling; Cai, Yizhi; Wang, Siquan; Saleem, Monawwar; Aftab, Javed; Inam, Asif</t>
  </si>
  <si>
    <t>Concentration, distribution and sources of perfluoroalkyl substances and organochlorine pesticides in surface sediments of the northern Bering Sea, Chukchi Sea and adjacent Arctic Ocean</t>
  </si>
  <si>
    <t>Perfluoroalkyl substances; Organochlorine pesticides; Surface sediment; Arctic ocean</t>
  </si>
  <si>
    <t>PERSISTENT ORGANIC POLLUTANTS; PEARL RIVER DELTA; POLYFLUOROALKYL SUBSTANCES; PERFLUORINATED COMPOUNDS; SPATIAL-DISTRIBUTION; ATLANTIC-OCEAN; WATER; TRANSPORT; CONTAMINANTS; ESTUARINE</t>
  </si>
  <si>
    <t>Perfluoroalkyl substances (PFAS) and organochlorine pesticides (OCPs) in surface sediments were investigated from the Bering Sea, the Chukchi Sea and adjacent Arctic Ocean in 2010. Total concentrations (dry weight) of Sigma(14)PFAS in surface sediments (0.85 +/- 0.22 ng g(-1)) of the Bering Sea were lower than that in the Chukchi Sea and adjacent Arctic Ocean (1.27 +/- 0.53 ng g(-1)). Perfluoro-butanoic acid (PFBS) and perfluoro-octanoic acid (PFOA) were the dominant PFAS in these areas. The concentrations of Sigma(15)OCPs in the sediment of the Bering Sea (13.00 +/- 6.17 ng g(-1)) was slightly higher than that in the Chukchi and Arctic Ocean (12.05 +/- 2.27 ng g(-1)). The most abundant OCPs were hexachlorocyclohexane isomers (HCHs) and dichlorodiphenyltrichloroethane (DDT) and its metabolites. The composition patterns of HCHs and DDTs indicated that they were mainly derived from the early residues via river runoff. Increasing trends of PFAS, HCHs and DDTs in surface sediments from the Bering Sea to the Arctic Ocean were found, indicating oceanic transport. In summary, the concentrations of OCPs were orders of magnitude greater than the observed PFAS concentrations, and the concentrations of PFAS and OCPs in surface sediments from the Bering Sea to the Chukchi Sea and adjacent Arctic Ocean are at the low to moderate levels by comparing with other coastal and marine sediments worldwide. (C) 2019 Elsevier Ltd. All rights reserved.</t>
  </si>
  <si>
    <t>[Kahkashan, Sanober; Wang, Xinhong; Ya, Miaolei; Wu, Yuling; Cai, Yizhi; Wang, Siquan] Xiamen Univ, Coll Environm &amp; Ecol, State Key Lab Marine Environm Sci, Xiamen 361102, Fujian, Peoples R China; [Kahkashan, Sanober; Chen, Jianfang; Bai, Youcheng] Minist Nat Resources, State Ocean Adm, Key Lab Marine Ecosyst &amp; Biogeochem, Hangzhou 310012, Zhejiang, Peoples R China; [Kahkashan, Sanober; Chen, Jianfang; Bai, Youcheng] Minist Nat Resources, Inst Oceanog 2, Hangzhou 310012, Zhejiang, Peoples R China; [Kahkashan, Sanober; Saleem, Monawwar; Aftab, Javed; Inam, Asif] Natl Inst Oceanog, Block 1, Karachi 75600, Pakistan</t>
  </si>
  <si>
    <t>Xiamen University; Ministry of Natural Resources of the People's Republic of China; Ministry of Natural Resources of the People's Republic of China; PCSIR Laboratories Complex</t>
  </si>
  <si>
    <t>Wang, XH (corresponding author), Xiamen Univ, Coll Environm &amp; Ecol, State Key Lab Marine Environm Sci, Xiamen 361102, Fujian, Peoples R China.</t>
  </si>
  <si>
    <t>xhwang@xmu.edu.cn</t>
  </si>
  <si>
    <t>Ya, Miaolei/GSE-0584-2022; Cai, Yizhi/A-3550-2010; Inam, Asif/AAI-4697-2020; Ya, Miaolei/AAX-2534-2020; Wu, Yuling/AGX-5539-2022; wang, xinhong/G-3991-2010</t>
  </si>
  <si>
    <t>Inam, Asif/0000-0003-3603-9241; Ya, Miaolei/0000-0001-7858-3611; Wu, Yuling/0000-0002-2099-6840; wang, siquan/0000-0002-0249-218X</t>
  </si>
  <si>
    <t>National Natural Science Foundation of China [41877474]; Fundamental Research Funds for the Central Universities [20720190111]; Fujian Provincial Department of Science Technology [201610014]; Second Institute of Oceanography (SIO), Hangzhou; Chinese Arctic and Antarctic Administration; State Oceanic Administration of China</t>
  </si>
  <si>
    <t>National Natural Science Foundation of China(National Natural Science Foundation of China (NSFC)); Fundamental Research Funds for the Central Universities(Fundamental Research Funds for the Central Universities); Fujian Provincial Department of Science Technology; Second Institute of Oceanography (SIO), Hangzhou; Chinese Arctic and Antarctic Administration; State Oceanic Administration of China</t>
  </si>
  <si>
    <t>This work was supported by National Natural Science Foundation of China (41877474), Fundamental Research Funds for the Central Universities (20720190111) and the Fujian Provincial Department of Science &amp; Technology (201610014). The authors are grateful to the Second Institute of Oceanography (SIO), Hangzhou for supporting this research work. Many thanks are given to the crew of the R/V Xuelong and for the support from the Chinese Arctic and Antarctic Administration, State Oceanic Administration of China.</t>
  </si>
  <si>
    <t>10.1016/j.chemosphere.2019.06.219</t>
  </si>
  <si>
    <t>JA1HB</t>
  </si>
  <si>
    <t>WOS:000487567000103</t>
  </si>
  <si>
    <t>Wang, DX; Jiang, Y; Xiao, SC; Wang, M; Liu, QA; Huang, LY; Xue, CL; Wang, Q; Lin, TT; Shao, HB; McMinn, A</t>
  </si>
  <si>
    <t>Wang, Dongxu; Jiang, Yong; Xiao, Shicong; Wang, Min; Liu, Qian; Huang, Liyang; Xue, Chenglong; Wang, Qi; Lin, Tongtong; Shao, Hongbing; McMinn, Andrew</t>
  </si>
  <si>
    <t>Characterization and Genome Analysis of a Novel Alteromonas Phage JH01 Isolated from the Qingdao Coast of China</t>
  </si>
  <si>
    <t>CURRENT MICROBIOLOGY</t>
  </si>
  <si>
    <t>SP NOV.; MARINE; BACTERIOPHAGE; SEQUENCES</t>
  </si>
  <si>
    <t>A novel Alteromonas phage JH01, with the host strain identified to be Alteromonas marina SW-47(T), was isolated from the Qingdao coast during the summer of 2017. Transmission electron microscopy analysis showed that phage JH01 can be categorized into the Siphoviridae family, with an icosahedral head of 62 +/- 5 nm and a long contractile tail of 254 +/- 10 nm. The bioinformatic analysis shows that this phage consists of a linear, double-stranded 46,500 bp DNA molecule with a GC content of 44.39%, and 58 ORFs with no tRNA genes. The ORFs are classified into four groups, including phage packaging, phage structure, DNA replication and regulation, and hypothetical protein. The phylogenetic tree, constructed using neighbor-joining analysis, shows that phage JH01 has altitudinal homology with some Vibrio and Pseudoalteromonas phage B8b. Comparative analysis reveals the high similarity between phage JH01 and phage B8b. Additionally, our study of phage JH01 provides useful information for further research on the interaction between Alteromonas phages and their hosts.</t>
  </si>
  <si>
    <t>[Wang, Dongxu; Jiang, Yong; Xiao, Shicong; Wang, Min; Liu, Qian; Huang, Liyang; Xue, Chenglong; Wang, Qi; Lin, Tongtong; Shao, Hongbing] Ocean Univ China, Coll Marine Life Sci, Qingdao 266003, Shandong, Peoples R China; [Jiang, Yong; Wang, Min] Ocean Univ China, Inst Evolut &amp; Marine Biodivers, Qingdao 266003, Shandong, Peoples R China; [Jiang, Yong; Wang, Min] Ocean Univ China, Key Lab Polar Oceanog &amp; Global Ocean Change, Qingdao 266003, Shandong, Peoples R China; [McMinn, Andrew] Univ Tasmania, Inst Marine &amp; Antarctic Studies, Private Bag 129, Hobart, Tas 7001, Australia</t>
  </si>
  <si>
    <t>Jiang, Y; Wang, M (corresponding author), Ocean Univ China, Coll Marine Life Sci, Qingdao 266003, Shandong, Peoples R China.;Jiang, Y; Wang, M (corresponding author), Ocean Univ China, Inst Evolut &amp; Marine Biodivers, Qingdao 266003, Shandong, Peoples R China.;Jiang, Y; Wang, M (corresponding author), Ocean Univ China, Key Lab Polar Oceanog &amp; Global Ocean Change, Qingdao 266003, Shandong, Peoples R China.</t>
  </si>
  <si>
    <t>yongjiang@ouc.edu.cn; mingwang@ouc.edu.cn</t>
  </si>
  <si>
    <t>cong, z/KCF-0053-2024; Wang, Min/AFR-9645-2022; Jiang, Yong/AGK-3016-2022; liu, qian/HDM-2936-2022</t>
  </si>
  <si>
    <t>Wang, Min/0000-0002-2357-589X; Jiang, Yong/0000-0002-4072-1668; Jiang, Yong/0000-0001-6055-488X; McMinn, Andrew/0000-0002-2133-3854</t>
  </si>
  <si>
    <t>National Natural Science Foundation of China [31500339, 41676178, 41076088]; National Key Research and Development Program of China [2017YFA0603200, 2018YFC1406704]; Marine Scientific and Technological Innovation Project - Pilot National Laboratory for Marine Science and Technology (Qingdao) [2018SDKJ0406-6, 2016ASKJ14]; Fundamental Research Funds for the Central University of Ocean University of China [201812002, 201762017, 201562018]</t>
  </si>
  <si>
    <t>National Natural Science Foundation of China(National Natural Science Foundation of China (NSFC)); National Key Research and Development Program of China; Marine Scientific and Technological Innovation Project - Pilot National Laboratory for Marine Science and Technology (Qingdao); Fundamental Research Funds for the Central University of Ocean University of China</t>
  </si>
  <si>
    <t>We are grateful to the research vessel Dong Fang Hong 2, for providing the seawater samples. The research was funded by the National Natural Science Foundation of China (Grant Nos. 31500339, 41676178 and 41076088), the National Key Research and Development Program of China (Grant Nos. 2017YFA0603200, 2018YFC1406704), Marine Scientific and Technological Innovation Project Financially Supported by Pilot National Laboratory for Marine Science and Technology (Qingdao) (Grant Nos. 2018SDKJ0406-6, 2016ASKJ14), and Fundamental Research Funds for the Central University of Ocean University of China (Grant Nos. 201812002, 201762017 and 201562018).</t>
  </si>
  <si>
    <t>0343-8651</t>
  </si>
  <si>
    <t>1432-0991</t>
  </si>
  <si>
    <t>CURR MICROBIOL</t>
  </si>
  <si>
    <t>Curr. Microbiol.</t>
  </si>
  <si>
    <t>10.1007/s00284-019-01751-3</t>
  </si>
  <si>
    <t>IZ5RX</t>
  </si>
  <si>
    <t>WOS:000487141900004</t>
  </si>
  <si>
    <t>Feng, L; Liv, JG; Ali, TA; Li, JS; Li, J; Kuang, XX</t>
  </si>
  <si>
    <t>Feng, Lian; Liv, Junguo; Ali, Twig A.; Li, Junsheng; Li, Juan; Kuang, Xingxing</t>
  </si>
  <si>
    <t>Impacts of the decreased freeze-up period on primary production in Qinghai Lake</t>
  </si>
  <si>
    <t>INTERNATIONAL JOURNAL OF APPLIED EARTH OBSERVATION AND GEOINFORMATION</t>
  </si>
  <si>
    <t>Chl-a; nFLH; ABI; Ocean color; Ice cover; Remote sensing; MODIS; VIIRS</t>
  </si>
  <si>
    <t>REMOTE-SENSING REFLECTANCE; TIBETAN PLATEAU; CLIMATE-CHANGE; WATER; CHINA; MODEL; PHYTOPLANKTON; TEMPERATURE; NUTRIENT; SEAWIFS</t>
  </si>
  <si>
    <t>Although previous research has focused on the inundation changes in Qinghai Lake, the largest lake in China, few studies have investigated the variations in primary production and correlated these changes with environmental transitions. In this study, this knowledge gap was filled using multiple ocean color satellite missions between 2003 and 2017. The results indicated a substantial increase in phytoplankton growth over recent years, during which the normalized fluorescence line height (nFLH) and algal bloom index (ABI) increased by approximately 45% and 61%, respectively, from the first (2003-2012) to the second period (2013-2017). Such a remarkable increase is likely associated with a rapid decrease in the duration of the freeze-up period, for which the 2014-2017 mean was &gt; 2 standard deviations below that of the previous years. High temperatures and a large number of sunshine hours could possibly explain the elevated nFLH and ABI in 2013. A multiple general linear model revealed that the freeze-up period, number of sunshine hours, and temperature explained 76.1%, 5.6%, and 10.2%, respectively, of the long-term changes in primary production in Qinghai Lake during the observed period. This study not only provides the first comprehensive analysis of the biogeochemical properties of Qinghai Lake but also demonstrates the capability of multiple remote sensing products in addressing environmental problems. Further, the method here is easily extendable to similar water bodies worldwide to study their potential responses to climate variability.</t>
  </si>
  <si>
    <t>[Feng, Lian; Liv, Junguo; Kuang, Xingxing] Southern Univ Sci &amp; Technol, Sch Environm Sci &amp; Engn, Guangdong Prov Key Lab Soil &amp; Groundwater Pollut, Shenzhen, Peoples R China; [Feng, Lian] Southern Univ Sci &amp; Technol, Shenzhen Municipal Engn Lab Environm IoT Technol, Shenzhen 518055, Guangdong, Peoples R China; [Ali, Twig A.] Amer Univ Sharjah, Coll Engn, Geospatial Anal Ctr, Sharjah 26666, U Arab Emirates; [Li, Junsheng] Chinese Acad Sci, Inst Remote Sensing &amp; Digital Earth, Key Lab Digital Earth Sci, Beijing, Peoples R China; [Li, Juan] Wuhan Univ, Chinese Antarctic Ctr Surveying &amp; Mapping, Wuhan 430079, Hubei, Peoples R China</t>
  </si>
  <si>
    <t>Southern University of Science &amp; Technology; Southern University of Science &amp; Technology; American University of Sharjah; Chinese Academy of Sciences; The Institute of Remote Sensing &amp; Digital Earth, CAS; Wuhan University</t>
  </si>
  <si>
    <t>Kuang, XX (corresponding author), Southern Univ Sci &amp; Technol, Sch Environm Sci &amp; Engn, Guangdong Prov Key Lab Soil &amp; Groundwater Pollut, Shenzhen, Peoples R China.</t>
  </si>
  <si>
    <t>kuangxx@sustech.edu.cn</t>
  </si>
  <si>
    <t>Kuang, Xingxing/F-6080-2019; Feng, Lian/JQI-0512-2023</t>
  </si>
  <si>
    <t>Feng, Lian/0000-0002-4590-3022</t>
  </si>
  <si>
    <t>Strategic Priority Research Program of Chinese Academy of Sciences [XDA20060402]; National Natural Science Foundation of China [41671338, 91747204, 41625001, 41471308]; Youth Innovation Promotion Association of Chinese Academy of Sciences [2015128]; Guangdong Provincial Key Laboratory of Soil and Groundwater Pollution Control [20178030301012]; State Environmental Protection Key Laboratory of Integrated Surface Water-Groundwater Pollution Control; Southern University of Science and Technology [G01296001]</t>
  </si>
  <si>
    <t>Strategic Priority Research Program of Chinese Academy of Sciences(Chinese Academy of Sciences); National Natural Science Foundation of China(National Natural Science Foundation of China (NSFC)); Youth Innovation Promotion Association of Chinese Academy of Sciences; Guangdong Provincial Key Laboratory of Soil and Groundwater Pollution Control; State Environmental Protection Key Laboratory of Integrated Surface Water-Groundwater Pollution Control; Southern University of Science and Technology</t>
  </si>
  <si>
    <t>This work was supported by the Strategic Priority Research Program of Chinese Academy of Sciences, under grant XDA20060402, the National Natural Science Foundation of China under grants 41671338, 91747204, 41625001 and 41471308, the Youth Innovation Promotion Association of Chinese Academy of Sciences (2015128), the Guangdong Provincial Key Laboratory of Soil and Groundwater Pollution Control (No. 20178030301012), the State Environmental Protection Key Laboratory of Integrated Surface Water-Groundwater Pollution Control, and the Southern University of Science and Technology under grant G01296001. We also acknowledge the extensive comments and suggestions from two anonymous reviewers.</t>
  </si>
  <si>
    <t>1569-8432</t>
  </si>
  <si>
    <t>1872-826X</t>
  </si>
  <si>
    <t>INT J APPL EARTH OBS</t>
  </si>
  <si>
    <t>Int. J. Appl. Earth Obs. Geoinf.</t>
  </si>
  <si>
    <t>10.1016/j.jag.2019.101915</t>
  </si>
  <si>
    <t>JA1JV</t>
  </si>
  <si>
    <t>WOS:000487574200008</t>
  </si>
  <si>
    <t>Vogt, M; Hopp, J; Gail, HP; Ott, U; Trieloff, M</t>
  </si>
  <si>
    <t>Vogt, Manfred; Hopp, Jens; Gail, Hans-Peter; Ott, Ulrich; Trieloff, Mario</t>
  </si>
  <si>
    <t>Acquisition of terrestrial neon during accretion - A mixture of solar wind and planetary components</t>
  </si>
  <si>
    <t>Volatiles; Terrestrial accretion; Solar wind irradiation; Solar neon; Planetary neon; Terrestrial neon</t>
  </si>
  <si>
    <t>INTERPLANETARY DUST PARTICLES; PRIMORDIAL NOBLE-GASES; LATE HEAVY BOMBARDMENT; ANTARCTIC MICROMETEORITES; RARE-GASES; COSMIC SPHERULES; MAGMA OCEAN; ISOTOPIC COMPOSITION; ENERGETIC PARTICLES; ATMOSPHERIC LOSS</t>
  </si>
  <si>
    <t>Earth's mantle contains Ne resembling the solar wind implanted Ne-B component in meteorites (Ne-20/Ne-22(Ne-B): similar to 12.7). The atmosphere, instead, displays a ''planetary signature (Ne-20/Ne-22(Atm):9.80). We explore the parameter space of a model that explains these isotopic variations by the contribution of late accreting volatile-rich material (e.g., carbonaceous chondrite-like) to Earth's atmosphere, while Earth's mantle incorporated solar wind type Ne that was previously implanted into part of the accreting material. Analyses of the present-day terrestrial influx mass distributions show two major peaks at large bodies &gt;1 km and small similar to 200 mu m dust particles. The latter dominate the influx of the surface implanted Ne-B component. Ne measurements of small particles define a maximum surface flux (neon reaching the terrestrial surface) peaking at 9 mm, while larger micrometeorites experience ablation losses and isotopic fractionation upon atmospheric entry. Using these data, we reconstruct the unfractionated Ne-B upper atmosphere flux which peaks at similar to 75 mm. As the extraterrestrial influx mass distribution between larger bodies and debris dust is governed by equilibrium due to collisions and fragmentation, it is an approximation of the early solar system (after nebula dissipation), where the mass distribution was similar but total fluxes were higher. Contributions of Ne-B by small dust and planetary Ne-A from larger bodies strongly depend on formation region. Originating around the 1 AU region, early accretionary fluxes were dominated by Ne-B as large bodies likely contained only negligible amounts of Ne-A. Ne-B will be ultimately delivered to the earliest protoatmosphere by impact or thermal degassing and a significant fraction of Ne-B can enter the Earth's interior via dissolution into a magma ocean before the Moon-forming impact. After the Moon-forming impact, Ne-B reenters the atmosphere by mantle degassing and a later meteoritic contribution modified the atmospheric composition. This meteoritic component was likely dominated by Ne-A, as the only remaining planetesimals at that time were in the asteroid belt or beyond, leading to preferential contributions of carbonaceous chondrite-type material. In our model we take into account possible variations of several parameters, e.g. the isotopic composition of the late accretion (i.e., Ne-20/Ne-22:5.2-9.2). For example, a Ne-20/(22) Ne ratio of 8.2 (Ne-A composition) would imply similar to 2% mass increase of Earth from CC-type material after the Moon-forming impact, and would require that today's atmosphere (Ne-20/Ne-22 = 9.8) formed by roughly equal mixing of late accreted Ne-A and mantle Ne-B. The amount of Ne-B added from the mantle implies a certain degree of mantle degassing (in this case 82-96%, depending on today's mantle neon inventory) and constrains two further parameters: the fraction of solar wind irradiated material delivered to Earth before the Moon-forming impact and the magma ocean depth. The latter determines the fraction of Ne-B dissolved from a protoatmosphere. For example, magma ocean depths between 500 and 2900 km allow 4-15% dissolution of the protoatmospheric Ne-B inventory, and would require only less than 10% of irradiated accreting material. Only unreasonable magma ocean depths lower than 200 km require several ten percent of irradiated material. (C) 2019 Elsevier Ltd. All rights reserved.</t>
  </si>
  <si>
    <t>[Vogt, Manfred; Hopp, Jens; Ott, Ulrich; Trieloff, Mario] Heidelberg Univ, Inst Geowissensch, Klaus Tschira Lab Far Kosmochem, INF 236, D-69120 Heidelberg, Germany; [Vogt, Manfred] Karlsruher Inst Technol, INE, Hermann von Helmholtz Pl, D-76344 Eggenstein Leopoldshafen, Germany; [Gail, Hans-Peter] Heidelberg Univ, Inst Theoret Astrophys, Zentrum Astron, Albert Ueberle Str 2, D-69120 Heidelberg, Germany; [Ott, Ulrich] MTA Atomki, Bem Ter 18-c, H-4026 Debrecen, Hungary; [Ott, Ulrich] Max Planck Inst Chem, Hahn Meitner Weg 1, D-55128 Mainz, Germany</t>
  </si>
  <si>
    <t>Ruprecht Karls University Heidelberg; Helmholtz Association; Karlsruhe Institute of Technology; Ruprecht Karls University Heidelberg; Hungarian Academy of Sciences; Hungarian Research Network; HUN-REN Institute for Nuclear Research; Max Planck Society</t>
  </si>
  <si>
    <t>Vogt, M (corresponding author), Heidelberg Univ, Inst Geowissensch, Klaus Tschira Lab Far Kosmochem, INF 236, D-69120 Heidelberg, Germany.</t>
  </si>
  <si>
    <t>manfred.vogt@kit.edu</t>
  </si>
  <si>
    <t>Ott, Ulrich/ABH-2337-2020</t>
  </si>
  <si>
    <t>Vogt, Manfred/0000-0002-5149-0543</t>
  </si>
  <si>
    <t>Klaus Tschira Stiftung gGmbH</t>
  </si>
  <si>
    <t>This work was financially supported by the Klaus Tschira Stiftung gGmbH.</t>
  </si>
  <si>
    <t>10.1016/j.gca.2019.08.016</t>
  </si>
  <si>
    <t>IY8BD</t>
  </si>
  <si>
    <t>WOS:000486618200010</t>
  </si>
  <si>
    <t>Lee, MR; Cohen, BE; King, AJ; Greenwood, RC</t>
  </si>
  <si>
    <t>Lee, Martin R.; Cohen, Benjamin E.; King, Ashley J.; Greenwood, Richard C.</t>
  </si>
  <si>
    <t>The diversity of CM carbonaceous chondrite parent bodies explored using Lewis Cliff 85311</t>
  </si>
  <si>
    <t>Carbonaceous chondrite; parent body; oxygen isotopes; refractory inclusions; aqueous alteration</t>
  </si>
  <si>
    <t>FINE-GRAINED RIMS; AQUEOUS ALTERATION; SHOCK METAMORPHISM; MODAL MINERALOGY; PARIS METEORITE; RICH INCLUSIONS; SOLAR-SYSTEM; OXYGEN; BODY; PHYLLOSILICATES</t>
  </si>
  <si>
    <t>Lewis Cliff (LEW) 85311 is classified as a Mighei-like (CM) carbonaceous chondrite, yet it has some unusual properties that highlight an unrealised diversity within the CMs, and also questions how many parent bodies are sampled by the group. This meteorite is composed of rimmed chondrules, chondrule fragments and refractory inclusions that are set in a fine-grained phyllosilicate-rich matrix. The chondrules are of a similar size to those in the CMs, and have narrow fine-grained rims. LEW 85311 has been mildly aqueously altered, as evidenced by the preservation of melilite and kamacite, and X-ray diffraction results showing a low phyllosilicate fraction and a high ratio of cronstedtite to Fe, Mg serpentine. The chemical composition of LEW 85311 matrix, fine-grained rims, tochilinite and P-rich sulphides is similar to mildly aqueously altered CMs. LEW 85311 is enriched in refractory elements and REEs such that its CI-normalised profile falls between the CMs and CVs, and its oxygen isotopic composition plots in the CV-CK-CO field. Other distinctive properties of this meteorite include the presence of abundant refractory inclusions, and hundreds of micrometer size objects composed of needle-fibre calcite. LEW 85311 could come from part of a single CM parent body that was unusually rich in refractory inclusions, but more likely samples a different parent body to most other members of the group that accreted a subtly different mixture of materials. The mineralogical and geochemical evolution of LEW 85311 during subsequent aqueous alteration was similar to other CMs and was arrested at an early stage, corresponding to a petrologic subtype of CM2.7, probably due to an unusually low proportion of accreted ice. The CM carbonaceous chondrites sample multiple parent bodies whose similar size and inventory of accreted materials, including radiogenic isotopes, led to a comparable post-accretionary evolution. (C) 2019 The Authors. Published by Elsevier Ltd.</t>
  </si>
  <si>
    <t>[Lee, Martin R.; Cohen, Benjamin E.] Univ Glasgow, Sch Geog &amp; Earth Sci, Glasgow G12 8QQ, Lanark, Scotland; [King, Ashley J.] Nat Hist Museum London, Dept Earth Sci, Cromwell Rd, London SW7 5BD, England; [Greenwood, Richard C.] Open Univ, Planetary &amp; Space Sci, Walton Hall, Milton Keynes MK7 6AA, Bucks, England</t>
  </si>
  <si>
    <t>University of Glasgow; Natural History Museum London; Open University - UK</t>
  </si>
  <si>
    <t>Lee, MR (corresponding author), Univ Glasgow, Sch Geog &amp; Earth Sci, Glasgow G12 8QQ, Lanark, Scotland.</t>
  </si>
  <si>
    <t>Martin.Lee@Glasgow.ac.uk</t>
  </si>
  <si>
    <t>; Lee, Martin/D-9169-2011</t>
  </si>
  <si>
    <t>Cohen, Benjamin/0000-0002-1634-8998; Lee, Martin/0000-0002-6004-3622; King, Ashley/0000-0001-6113-5417; Greenwood, Richard/0000-0002-5544-8027</t>
  </si>
  <si>
    <t>NSF; NASA; UK Science and Technology Facilities Council [ST/N000846/1]; STFC [ST/N000846/1, ST/P000657/1] Funding Source: UKRI</t>
  </si>
  <si>
    <t>NSF(National Science Foundation (NSF)); NASA(National Aeronautics &amp; Space Administration (NASA)); UK Science and Technology Facilities Council(UK Research &amp; Innovation (UKRI)Science &amp; Technology Facilities Council (STFC)); STFC(UK Research &amp; Innovation (UKRI)Science &amp; Technology Facilities Council (STFC))</t>
  </si>
  <si>
    <t>We thank Peter Chung for help with the SEM work, and are grateful to ANSMET for providing the samples of LEW 85311.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 This work was funded by the UK Science and Technology Facilities Council through grant ST/N000846/1. Author contributions: M.R.L. and B.E.C. designed the research project; M.R.L., B.E.C., A.J.K. and R.C.G. undertook analyses and contributed to writing and editing of the manuscript; M.R.L. acquired funding. We thank Alan Rubin and an anonymous reviewer for their helpful comments on the manuscript.</t>
  </si>
  <si>
    <t>10.1016/j.gca.2019.07.027</t>
  </si>
  <si>
    <t>WOS:000486618200015</t>
  </si>
  <si>
    <t>Oke, PR; Pilo, GS; Ridgway, K; Kiss, A; Rykova, T</t>
  </si>
  <si>
    <t>Oke, Peter R.; Pilo, Gabriela S.; Ridgway, Ken; Kiss, Andrew; Rykova, Tatiana</t>
  </si>
  <si>
    <t>A search for the Tasman Front</t>
  </si>
  <si>
    <t>JOURNAL OF MARINE SYSTEMS</t>
  </si>
  <si>
    <t>Ocean circulation; East Australian Current; Tasman Front</t>
  </si>
  <si>
    <t>EAST AUSTRALIAN CURRENT; OBJECTIVE ANALYSIS SCHEME; OCEAN DATA ASSIMILATION; WORLD OCEAN; SOUTHWEST PACIFIC; ZONAL JETS; EDDY; CIRCULATION; SURFACE; VARIABILITY</t>
  </si>
  <si>
    <t>The traditional view of the circulation in the Tasman Sea includes a coherent, quasi-zonal, eastward flow towards the northern tip of New Zealand that is widely referred to as the Tasman Front. This flow was first suggested in the 1960s by oceanographers reasoning that the source of volume transport feeding the East Auckland Current, around northern New Zealand and extending down the east coast, must be off eastern Australia. The first reported in situ measurements of the Tasman Front included hand-drawn temperature sections that highlighted features that are not supported by observations. Here, we objectively map the original data, showing that the published reports of strong, sub-surface, north-south temperature gradients were unjustified. In the absence of additional observations, we can't be sure of the context of those original measurements - so we have objectively searched fields in a recent 25-year ocean reanalysis to identify scenarios that are consistent with the observations. We suggest that the most likely interpretation of the original data, is that they measured an eddy field - or a series of discontinuous streams across the central Tasman Sea. We also analyse data from surface drifting buoys to show that water traversing the Tasman Sea may take several different paths. We conclude that a continuous, zonal, eastward flow across the Tasman Sea is less common than widely-accepted conceptual models imply. Instead, we suggest that the eastward flow between Australia and northern New Zealand is perhaps better described as an eastern extension of the EAC - since this doesn't imply the presence of a front, and doesn't preclude a broad flow. For clarity, we also suggest that the southern branch of the EAC, known as the EAC extension, should be referred to as the southern extension of the EAC.</t>
  </si>
  <si>
    <t>[Oke, Peter R.; Ridgway, Ken; Rykova, Tatiana] CSIRO Oceans &amp; Atmosphere, GPO Box 1538, Hobart, Tas 7001, Australia; [Pilo, Gabriela S.] Univ Tasmania, Inst Marine &amp; Antarctic Studies, Hobart, Tas, Australia; [Pilo, Gabriela S.; Kiss, Andrew] ARC Ctr Excellence Climate Extremes, Hobart, Tas, Australia; [Kiss, Andrew] Australian Natl Univ, Canberra, ACT, Australia</t>
  </si>
  <si>
    <t>Commonwealth Scientific &amp; Industrial Research Organisation (CSIRO); University of Tasmania; Australian National University</t>
  </si>
  <si>
    <t>Oke, PR (corresponding author), CSIRO Oceans &amp; Atmosphere, GPO Box 1538, Hobart, Tas 7001, Australia.</t>
  </si>
  <si>
    <t>peter.oke@csiro.au</t>
  </si>
  <si>
    <t>Kiss, Andrew E/E-7733-2016; Rykova, Tatiana/L-4135-2018; Ridgway, Ken/AAA-4040-2019; Oke, Peter R/C-5127-2011</t>
  </si>
  <si>
    <t>Kiss, Andrew E/0000-0001-8960-9557; Pilo, Gabriela/0000-0002-8590-8645; Ridgway, Ken/0000-0002-5861-1360</t>
  </si>
  <si>
    <t>Australian Government; Australian Research Council [LP160100073]; Australian Research Council Centre of Excellence for Climate Extremes [CE170100023]; Australian Research Council [LP160100073] Funding Source: Australian Research Council</t>
  </si>
  <si>
    <t>Australian Government(Australian Government); Australian Research Council(Australian Research Council); Australian Research Council Centre of Excellence for Climate Extremes(Australian Research Council); Australian Research Council(Australian Research Council)</t>
  </si>
  <si>
    <t>Data was sourced from the Integrated Marine Observing System (IMOS, www.aodn.org.au).IMOS is a national collaborative research infrastructure, supported by the Australian Government. Satellite altimeter data is provided by NASA, ESA, ISRO, NOAA, and CNES. SST observations are provided by NOAA (www.nodc.noaa.gov) and Remote Sensing Systems (www.remss.com).Model data used in this study are from the Bluelink suite of global models (http://dapds00.nci.org.au/thredds/catalog/gb6/BRAN/catalog.html) and from the Consortium for Ocean -Sea Ice Modelling in Australia (COSIMA; http://cosima.org.au).COSIMA is supported by the Australian Research Council Linkage grant LP160100073. Model runs used resources and services from the National Computational Infrastructure (NCI), which is supported by the Australian Government. We obtained the SCOW dataset from http://cioss.coas.oregonstate.edu/scow/.We acknowledge support from the Australian Research Council Centre of Excellence for Climate Extremes (CE170100023)</t>
  </si>
  <si>
    <t>0924-7963</t>
  </si>
  <si>
    <t>1879-1573</t>
  </si>
  <si>
    <t>J MARINE SYST</t>
  </si>
  <si>
    <t>J. Mar. Syst.</t>
  </si>
  <si>
    <t>10.1016/j.jmarsys.2019.103217</t>
  </si>
  <si>
    <t>Geosciences, Multidisciplinary; Marine &amp; Freshwater Biology; Oceanography</t>
  </si>
  <si>
    <t>Geology; Marine &amp; Freshwater Biology; Oceanography</t>
  </si>
  <si>
    <t>IY1EC</t>
  </si>
  <si>
    <t>WOS:000486133400006</t>
  </si>
  <si>
    <t>Cerda, IA; Gasparini, Z; Coria, RA; Salgado, L; Reuero, M; Ponce, D; Gonzalez, R; Jannello, JM; Moly, J</t>
  </si>
  <si>
    <t>Cerda, Ignacio A.; Gasparini, Zulma; Coria, Rodolfo A.; Salgado, Leonardo; Reuero, Marcelo; Ponce, Denis; Gonzalez, Romina; Jannello, J. Marcos; Moly, Juan</t>
  </si>
  <si>
    <t>Paleobiological inferences for the Antarctic dinosaur Antarctopelta oliveroi (Ornithischia: Ankylosauria) based on bone histology of the holotype</t>
  </si>
  <si>
    <t>CRETACEOUS RESEARCH</t>
  </si>
  <si>
    <t>Paleohistology; Dinosauria; Osteoderm; Growth dynamics; Paleopathology</t>
  </si>
  <si>
    <t>JAMES-ROSS-ISLAND; ALLIGATOR-MISSISSIPPIENSIS; GROWTH-PATTERNS; SEXUAL-MATURITY; LIFE-HISTORY; OSTEODERMS; EVOLUTION; REDESCRIPTION; PHYLOGENY; AETOSAUR</t>
  </si>
  <si>
    <t>A detailed histological study of Antarctopelta oliveroi, from the Upper Cretaceous of Antarctica, is performed in order to increase our knowledge of the ankylosaur bone histology and its taxonomical and paleobiological implications. The main goals of this contribution are: to infer the ontogenetic stage of the holotype of Antarctopelta oliveroi (MLP 86-X-28-1); to evaluate the degree of interelemental histological variation; to compare its histology with that of other ankylosaurs; to provide information about the phylogenetic affinities of Antarctopelta regarding dermal armor histology; and to evaluate the influence of a high latitude, strongly seasonal ecosystem on the growth of Antarctopelta. The sample includes several postcranial elements from the holotype (e.g. osteoderms, appendicular bones, dorsal ribs, ossified tendons). Bone histology reveals that the specimen was sexually mature at its time of death. Although a distinct Outer Circumferential Layer is not evident in all the sampled elements, the bone microstructure suggests quite slow appositional growth (i.e. most of the growth had already occurred) at the time of death. Primary cortical bone of the sampled elements, mostly composed of fibrolamellar bone tissue interrupted by growth marks, reveals a cyclical growth strategy as reported for other ankylosaurs and non-avian dinosaurs. The bone histology of Antarctopelta indicates that, as with other Southern Hemisphere polar dinosaurs, there are no apparent differences in growth strategy compared with its low latitude relatives. Therefore, no evident physiological modifications appears to be linked with the distribution of ankylosaurs and other non-avian dinosaurs at higher latitudes (&gt;60 degrees S). (C) 2019 Elsevier Ltd. All rights reserved.</t>
  </si>
  <si>
    <t>[Cerda, Ignacio A.; Gasparini, Zulma; Coria, Rodolfo A.; Salgado, Leonardo; Reuero, Marcelo; Ponce, Denis; Gonzalez, Romina; Jannello, J. Marcos] Consejo Nacl Invest Cient &amp; Tecn, Buenos Aires, DF, Argentina; [Cerda, Ignacio A.; Salgado, Leonardo; Ponce, Denis] Univ Nacl Rio Negro, Sede Alto Valle Valle Medio, Inst Invest Paleobiol &amp; Geol, Av Roca 1242, RA-8332 Gral Roca, Rio Negro, Argentina; [Cerda, Ignacio A.; Ponce, Denis] Museo Prov Carlos Ameghino, Belgrano 1700,Paraje Pichi Ruca Predio Marabunta, RA-8300 Cipolletti, Rio Negro, Argentina; [Gasparini, Zulma; Reuero, Marcelo; Moly, Juan] Univ Nacl La Plata, Fac Ciencias Nat &amp; Museo, Div Paleontol Vertebrados, Paseo Bosque S-N,B1900 FWA, La Plata, Buenos Aires, Argentina; [Coria, Rodolfo A.] Museo Carmen Funes, Av Cordoba 55 8318,Plaza Huincul, Neuquen, Argentina; [Reuero, Marcelo] Inst Antartico Argentino, 25 Mayo 1151, RA-1650 San Martin, Argentina; [Gonzalez, Romina] Ctr Ecol Aplicada Litoral, Ruta 5,Km 5,2, RA-3400 Corrientes, Argentina; [Jannello, J. Marcos] Museo Hist Nat San Rafael, Grp Vinculado IANIGLA, Av Ballofet S-N, RA-5600 Mendoza, Argentina</t>
  </si>
  <si>
    <t>Consejo Nacional de Investigaciones Cientificas y Tecnicas (CONICET); National University of La Plata; Museo La Plata; Instituto Antartico Argentino</t>
  </si>
  <si>
    <t>Cerda, IA (corresponding author), Consejo Nacl Invest Cient &amp; Tecn, Buenos Aires, DF, Argentina.</t>
  </si>
  <si>
    <t>nachocerda6@yahoo.com.ar; zgaspari@fcnym.unlp.edu.ar; rcoria@unrn.edu.ar; lsalgado@unrn.com.ar; regui@fcnym.unlp.edu.ar; denispunrn@yahoo.com.ar; romigonzl95@gmail.com; jjannello@mendoza-conicet.gob.ar; juanjomoly@yahoo.com.ar</t>
  </si>
  <si>
    <t>Coria, Rodolfo/JXM-9875-2024; Ponce, Denis Alejandro/JQX-1708-2023</t>
  </si>
  <si>
    <t>ANPCyT [PICTO 2010-0093, PICT-2017-0607]</t>
  </si>
  <si>
    <t>ANPCyT(ANPCyT)</t>
  </si>
  <si>
    <t>We especially thank the Institute Antartico Argentino (DNA-MRECIC) and Fuerza Aerea Argentina, which provided logistic support for our participation in Antarctic fieldwork. This is a contribution to projects PICTO 2010-0093 and PICT-2017-0607 (ANPCyT to MR). J. O'Gorman provided relevant literature. S. Rozadilla provided valuable information about the studied specimen. The constructive comments of three anonymous reviewers have greatly improved this manuscript.</t>
  </si>
  <si>
    <t>0195-6671</t>
  </si>
  <si>
    <t>1095-998X</t>
  </si>
  <si>
    <t>CRETACEOUS RES</t>
  </si>
  <si>
    <t>Cretac. Res.</t>
  </si>
  <si>
    <t>10.1016/j.cretres.2019.07.001</t>
  </si>
  <si>
    <t>IU5QT</t>
  </si>
  <si>
    <t>WOS:000483643100008</t>
  </si>
  <si>
    <t>Ruiz, PG; Fernández, MS; Talevi, M; Leardi, JM; Reguero, MA</t>
  </si>
  <si>
    <t>Gonzalez Ruiz, Pablo; Fernandez, Marta S.; Talevi, Marianella; Leardi, Juan M.; Reguero, Marcelo A.</t>
  </si>
  <si>
    <t>A new Plotosaurini mosasaur skull from the upper Maastrichtian of Antarctica. Plotosaurini paleogeographic occurrences</t>
  </si>
  <si>
    <t>Upper cretaceous; Marambio Island; Antarctic Peninsula; Mosasaur</t>
  </si>
  <si>
    <t>CRETACEOUS PHOSPHATES; FAMILY MOSASAURIDAE; SEYMOUR-ISLAND; MARAMBIO GROUP; NORTH-ISLAND; 1ST RECORD; REPTILIA; SQUAMATA; PATAGONIA; MOANASAURUS</t>
  </si>
  <si>
    <t>During the Antarctic summer campaigns and as a result of paleontological fieldworks 2013-2015 several mosasaur remains have been collected from the upper Maastrichtian Lopez de Bertodano Formation exposed at Marambio (=Seymour) Island, of the Antarctic Peninsula. One of these specimens preserves part of the skull and dentition, which represent one of the few known skulls from Antarctica. The new specimen (MLP 15-1-24-41) is similar to member of the mosasaur tribe Plotosaurini, sharing the same fronto-parietal suture pattern, and a similar dental morphology as some of the species assigned to the genus. As the specimen is not complete enough to propose a new name it is referred to Mosasaurus sp. The presence of these remains on the southern hemisphere represents one of the most complete records of a Mosasaurus mosasaur. (C) 2019 Elsevier Ltd. All rights reserved.</t>
  </si>
  <si>
    <t>[Gonzalez Ruiz, Pablo] Consejo Nacl Invest Cient &amp; Tecn, Grp Vinculado IANIGLA, Museo Hist Nat San Rafael, Parque Mariano Moreno S-N,M5602DPH, Mendoza, Argentina; [Fernandez, Marta S.; Reguero, Marcelo A.] UNLP, Div Paleontol Vertebrados, Unidades Invest Anexo Museo, Fac Ciencias Nat &amp; Museo,CONICET, La Plata, Buenos Aires, Argentina; [Talevi, Marianella] UNRN, CONICET, Inst Invest Paleobiol &amp; Geol, Av Roca 1242,R8332EXZ, General Roca, Rio Negro, Argentina; [Leardi, Juan M.] UBA, CONICET, Inst Estudios Andinos Don Pablo Groeber, Dept Ciencias Geol,Fac Ciencias Exactas y Nat, Intendente Guiraldes 2160 Ciudad Univ Pabellon 2, Caba, Argentina; [Leardi, Juan M.] Univ Buenos Aires, Fac Ciencias Exactas &amp; Nat, Dept Biodiversidad &amp; Biol Expt, Buenos Aires, DF, Argentina; [Reguero, Marcelo A.] Inst Antartico Argentino, Direcc Nacl Antartico, 25 Mayo 1143, San Martin, Argentina</t>
  </si>
  <si>
    <t>Consejo Nacional de Investigaciones Cientificas y Tecnicas (CONICET); Consejo Nacional de Investigaciones Cientificas y Tecnicas (CONICET); National University of La Plata; Museo La Plata; Consejo Nacional de Investigaciones Cientificas y Tecnicas (CONICET); Consejo Nacional de Investigaciones Cientificas y Tecnicas (CONICET); University of Buenos Aires; University of Buenos Aires; Instituto Antartico Argentino</t>
  </si>
  <si>
    <t>Ruiz, PG (corresponding author), Consejo Nacl Invest Cient &amp; Tecn, Museo Hist Nat San Rafael, Parque Mariano Moreno S-N,M5602DPH, Mendoza, Argentina.</t>
  </si>
  <si>
    <t>pgonzalez@mendoza-conicet.gob.ar; martafer@fcnym.unlp.edu.ar; mtalevi@unrn.edu.ar</t>
  </si>
  <si>
    <t>Reguero, Marcelo A./JHS-4893-2023</t>
  </si>
  <si>
    <t>Fernandez, Marta/0000-0001-6935-7575; Leardi, Juan Martin/0000-0003-3687-7958</t>
  </si>
  <si>
    <t>Agencia Nacional de Promocion Cientifica y Tecnologica [PICT 2016-1039, PICT 2016-0607]; Universidad Nacional de Rio Negro [PI-UNRN 40-A-660]</t>
  </si>
  <si>
    <t>Agencia Nacional de Promocion Cientifica y Tecnologica(ANPCyTSpanish Government); Universidad Nacional de Rio Negro</t>
  </si>
  <si>
    <t>We would like to thank the Museo de la Plata director, the Dr. Silvia Ametrano for providing the working facilities for this study. We would also like to thank Dr. Eduardo Tonni for allowing access to the materials. We thank Juan Jose Moly, Leonel Gustavo Acosta and Francisco Solari Orellana for their work as technicians during the fossil preparation stages. We also thank the anonymous reviewers of this work for their insightful comments and observations that helped to greatly improve the manuscript and raised interesting discussion points. We thank Marcelo de la Fuente for all his help during the preparation of the manuscript. And we thank Ana Rivadero for helping with the language proofing of the original manuscript This work was partially supported by Agencia Nacional de Promocion Cientifica y Tecnologica (PICTS 2016-1039, 2016-0607) Universidad Nacional de Rio Negro (PI-UNRN 40-A-660). This is JML's R-273 contribution to the Institute de Estudios Andinos Don Pablo Groeber.</t>
  </si>
  <si>
    <t>10.1016/j.cretres.2019.06.012</t>
  </si>
  <si>
    <t>WOS:000483643100007</t>
  </si>
  <si>
    <t>Muñoz, G; Rebolledo, M</t>
  </si>
  <si>
    <t>Munoz, G.; Rebolledo, M.</t>
  </si>
  <si>
    <t>Comparison of the parasite community of two notothens, Notothenia rossii and N. coriiceps (Pisces: Nototheniidae), from King George Island, Antarctica</t>
  </si>
  <si>
    <t>Antarctic fish; Notothenia; parasite communities; parasite diversity</t>
  </si>
  <si>
    <t>SOUTH-SHETLAND ISLANDS; ADMIRALTY BAY; ACANTHOCEPHALAN INFECTION; HOST-SPECIFICITY; FISH; DIVERSITY; ECOLOGY</t>
  </si>
  <si>
    <t>In this study, we analysed and compared the whole parasite community from the fish Notothenia rossii and Notothenia coriiceps collected from Fildes Bay at King George Island, Antarctica, during January-February 2017 in a field campaign supported by the Chilean Antarctic Institute. The fish samples collected were 45 specimens of N. rossii and 22 of N. coriiceps, with total lengths averaging 29.7 +/- 5.3 cm and 32.5 +/- 3.2 cm, respectively. Fish were dissected to collect their internal and external parasites. All the fish were parasitized; 13 taxa were found in N. rossii and 12 taxa in N. coriiceps. Acanthocephalans, mainly Metacanthocephalus johnstoni and Aspersentis megarhynchus, were the most abundant and prevalent parasites in both fish species. The abundance and richness of the parasite infracommunity increased with the host body length only in N. rossii. Twelve parasitic taxa were shared by both notothen species. Abundance and prevalence of parasitic taxa, as well as the average richness and abundance of the parasite infracommunities were mostly similar between the two fish species. Parasite compositions of N. coriiceps reported in published studies from King George Island were relatively comparable to our sample. We concluded that the two congeneric and sympatric fish species had highly similar parasite communities, which indicates that they use resources in a similar way, thus allowing them to become parasitized with the same parasitic species and in the same abundances. All parasites recorded in this study have been found in several other fish species; therefore, parasites from notothens are considered to be generalists.</t>
  </si>
  <si>
    <t>[Munoz, G.; Rebolledo, M.] Univ Valparaiso, Fac Ciencias Mar &amp; Recursos Nat, Ave Borgono 16344, Vina Del Mar, Chile</t>
  </si>
  <si>
    <t>Universidad de Valparaiso</t>
  </si>
  <si>
    <t>Muñoz, G (corresponding author), Univ Valparaiso, Fac Ciencias Mar &amp; Recursos Nat, Ave Borgono 16344, Vina Del Mar, Chile.</t>
  </si>
  <si>
    <t>gabriela.munoz@uv.cl</t>
  </si>
  <si>
    <t>Munoz, Gabriela/0000-0002-9915-7555</t>
  </si>
  <si>
    <t>[RT 32-16]</t>
  </si>
  <si>
    <t>This study was supported by research project RT 32-16 granted to GM.</t>
  </si>
  <si>
    <t>PII S0022149X18000858</t>
  </si>
  <si>
    <t>10.1017/S0022149X18000858</t>
  </si>
  <si>
    <t>IU6JF</t>
  </si>
  <si>
    <t>WOS:000483691900009</t>
  </si>
  <si>
    <t>Bragazza, L; Robroek, BJM; Jassey, VEJ; Arif, MS; Marchesini, R; Guglielmin, M; Cannone, N</t>
  </si>
  <si>
    <t>Bragazza, Luca; Robroek, Bjorn J. M.; Jassey, Vincent E. J.; Arif, Muhammad Saleem; Marchesini, Roberta; Guglielmin, Mauro; Cannone, Nicoletta</t>
  </si>
  <si>
    <t>Soil microbial community structure and enzymatic activity along a plant cover gradient in Victoria Land (continental Antarctica)</t>
  </si>
  <si>
    <t>GEODERMA</t>
  </si>
  <si>
    <t>Mosses; Fungi; Bacteria; PLFAs; Stoichiometry</t>
  </si>
  <si>
    <t>FATTY-ACID ANALYSIS; ORGANIC-MATTER; LATITUDINAL GRADIENT; TERRESTRIAL ECOSYSTEMS; NUTRIENT LIMITATION; BIOTIC INTERACTIONS; VALLEY SOIL; DRY VALLEYS; CARBON; BACTERIAL</t>
  </si>
  <si>
    <t>In continental Antarctica, autotrophs are exclusively represented by cyanobacteria, algae, lichens and mosses. Consequently, Antarctic soil communities are expected to be rather simple and primarily dominated by microorganisms. Recently, a change in abundance of mosses and lichens has been observed in continental Antarctica in response to an increase of the active permafrost layer, but the implication of this change to soil micro-organisms remains little known. Here we aim to clarify to what extent the abundance of mosses and lichens affects soil biogeochemistry in Victoria Land, with a particular focus on soil microbial abundance and associated soil enzymatic activity. To achieve this aim, we assessed the structure of soil microbiome and the activity of hydrolytic C, N, and P enzymes along a gradient in soil physico-chemical conditions and plant cover. Moss cover strongly relates to the amount of soil organic carbon (SOC), soil water and nutrient content. Soils with higher content of organic carbon were characterized by higher microbial biomass and showed a relatively higher abundance of fungi as compared to bacteria. More specifically, PLFAs biomarkers for Actinomycetes and Gram-positive bacteria were mainly associated to soils with lower SOC. In order to sustain a higher microbial biomass, total activity of hydrolytic enzymes increased with increasing SOC content. Eco-enzymatic stoichiometry, based on C to P and C to N ratios, indicates a higher investment in N- and P-hydrolytic enzymes (ratio &lt; 1), particularly at low SOC content. Oppositely, an increase in C-hydrolytic enzyme activity (ratio approximate to 1) was observed with increasing accumulation of organic carbon. Such a result seems to indicate a stronger role of soil pH at low SOC on enzymatic stoichiometry (abiotic control) whereas with increasing accumulation of organic matter the enzymatic stoichiometry is more affected by microbial metabolism (biotic control).</t>
  </si>
  <si>
    <t>[Bragazza, Luca; Marchesini, Roberta] Univ Ferrara, Dept Life Sci &amp; Biotechnol, Corso Ercole I dEste 32, I-44121 Ferrara, Italy; [Robroek, Bjorn J. M.] Univ Southampton, Sch Biol Sci, Southampton SO17 1BJ, Hants, England; [Jassey, Vincent E. J.] Univ Toulouse, Lab Ecol Fonct &amp; Environm, CNRS, INP,UPS, 118 Route Narbonne, F-31062 Toulouse, France; [Arif, Muhammad Saleem] Govt Coll Univ, Dept Environm Sci &amp; Engn, Faisalabad 38000, Pakistan; [Guglielmin, Mauro] Univ Insubria, Dipartimento Sci Teor &amp; Applicate, Via JH Dunant 3, I-21100 Varese, Italy; [Cannone, Nicoletta] Univ Insubria, Dipardmento Sci &amp; Alta Tecnol, Via Valleggio 11, I-22100 Como, Italy</t>
  </si>
  <si>
    <t>University of Ferrara; University of Southampton; Centre National de la Recherche Scientifique (CNRS); CNRS - Institute of Physics (INP); Universite de Toulouse; Universite Federale Toulouse Midi-Pyrenees (ComUE); Universite Toulouse III - Paul Sabatier; Institut National Polytechnique de Toulouse; Government College University Faisalabad; University of Insubria; University of Insubria</t>
  </si>
  <si>
    <t>Bragazza, L (corresponding author), Univ Ferrara, Dept Life Sci &amp; Biotechnol, Corso Ercole I dEste 32, I-44121 Ferrara, Italy.</t>
  </si>
  <si>
    <t>luca.bragazza@unife.it</t>
  </si>
  <si>
    <t>Arif, Muhammad/AHE-9710-2022; Jassey, Vincent/Z-3002-2019; Robroek, Bjorn/P-7929-2016; Bragazza, Luca/U-9089-2017</t>
  </si>
  <si>
    <t>Jassey, Vincent/0000-0002-1450-2437; Robroek, Bjorn/0000-0002-6714-0652; Arif, Muhammad Saleem/0000-0003-1247-0539; Bragazza, Luca/0000-0001-8583-284X</t>
  </si>
  <si>
    <t>Italian National Program for Antarctic Research [PNRA 2013 AZ.1.05]; University of Ferrara</t>
  </si>
  <si>
    <t>Italian National Program for Antarctic Research; University of Ferrara</t>
  </si>
  <si>
    <t>This study was supported by the Italian National Program for Antarctic Research (grant PNRA 2013 AZ.1.05) and by the University of Ferrara (grant Fondo di Ateneo per la Ricerca -FAR 2014 and 2016). We acknowledge M. Dalle Fratte for field sampling and A. Buttler for laboratory support.</t>
  </si>
  <si>
    <t>0016-7061</t>
  </si>
  <si>
    <t>1872-6259</t>
  </si>
  <si>
    <t>Geoderma</t>
  </si>
  <si>
    <t>10.1016/j.geoderma.2019.06.033</t>
  </si>
  <si>
    <t>Soil Science</t>
  </si>
  <si>
    <t>Agriculture</t>
  </si>
  <si>
    <t>IT0CI</t>
  </si>
  <si>
    <t>WOS:000482513900015</t>
  </si>
  <si>
    <t>Pudasaini, S; Wilkins, D; Adler, L; Hince, G; Spedding, T; King, C; Ferrari, B</t>
  </si>
  <si>
    <t>Pudasaini, Santa; Wilkins, Daniel; Adler, Lewis; Hince, Greg; Spedding, Tim; King, Catherine; Ferrari, Belinda</t>
  </si>
  <si>
    <t>Characterization of polar metabolites and evaluation of their potential toxicity in hydrocarbon contaminated Antarctic soil elutriates</t>
  </si>
  <si>
    <t>Polar metabolites; Aldehydes; Toxicity Hydrocarbon contamination; Putt arctic soils</t>
  </si>
  <si>
    <t>SOLID-PHASE MICROEXTRACTION; PETROLEUM-HYDROCARBONS; FUEL SPILL; ALDEHYDES; BIODEGRADATION; GROUNDWATER; DERIVATIZATION; DEGRADATION; PRODUCTS; MICROTOX</t>
  </si>
  <si>
    <t>Hydrocarbon polar metabolites are gaining interest from industry and the remediation community due to their ubiquity and uncertainty around their toxicity. In this study, we used headspace-gas chromatography/mass spectrometry (HS-GC/MS) to characterize polar metabolites present in elutriates derived from uncontaminated, freshly hydrocarbon contaminated and partially remediated Antarctic soils. Elutriates represent the bioavailable fraction and may be used as a proxy for leachate runoff in environmental risk assessments. Control and contaminated soil elutriates were analysed for the presence of 12 aldehydes and two ketones, which cover a broad spectrum of metabolites, ranging from nC2 - nC12 carbon chain length. A total of nine aldehydes were detected in the soil elutriates. Types of aldehydes present in uncontaminated and hydrocarbon contaminated elutriates were similar. Among the polar metabolites measured in elutriates, acetaldehyde was most abundant in partially remediated soils. Microtox assays were used to determine the potential toxicity of elutriates. In addition, three aldehydes that were present at the highest concentrations in the contaminated and partially remediated soil elutriates (acetaldehyde, octanal and undecanal) were tested as single compounds. Contaminated soil elutriates tested were found to be toxic, with partially remediated elutriates less toxic than freshly contaminated elutriates. None of the three aldehydes tested separately were toxic at levels at which they were measured in elutriates. We infer that high levels of acetaldehyde in partially remediated soil due to hydrocarbon degradation highlight the potential of this metabolite as a useful chemical marker for hydrocarbon degradation under certain conditions. Microtox was sensitive to metabolites and provided a useful initial screening tool for elutriates. Crown Copyright 2019 Published by Elsevier BM. All rights reserved.</t>
  </si>
  <si>
    <t>[Pudasaini, Santa; Ferrari, Belinda] UNSW Sydney, Sch Biotechnol &amp; Biomol Sci, Sydney, NSW 2052, Australia; [Wilkins, Daniel; Hince, Greg; Spedding, Tim; King, Catherine] Australian Antarctic Div, 203 Channel Highway, Kingston, Tas 7050, Australia; [Adler, Lewis] UNSW Sydney, Bioanalyt Mass Spectrometry Facil, Sydney, NSW 2052, Australia</t>
  </si>
  <si>
    <t>University of New South Wales Sydney; Australian Antarctic Division; University of New South Wales Sydney</t>
  </si>
  <si>
    <t>Ferrari, B (corresponding author), UNSW Sydney, Sch Biotechnol &amp; Biomol Sci, Sydney, NSW 2052, Australia.</t>
  </si>
  <si>
    <t>b.ferrari@unsw.edu.au</t>
  </si>
  <si>
    <t>Ferrari, Belinda/AAI-3022-2020; Wilkins, Daniel/AAF-3959-2020; King, Catherine/G-7059-2017</t>
  </si>
  <si>
    <t>Ferrari, Belinda/0000-0001-5043-3726; Spedding, Tim/0000-0002-4023-2469; Adler, Lewis/0000-0001-8427-8947; King, Catherine/0000-0003-3356-0381; Wilkins, Daniel/0000-0003-2081-483X</t>
  </si>
  <si>
    <t>UNSW Sydney, Australia; Australian Antarctic Division [RG190163]; UNSW; Australian Antarctic Science project [4036]</t>
  </si>
  <si>
    <t>UNSW Sydney, Australia; Australian Antarctic Division; UNSW; Australian Antarctic Science project</t>
  </si>
  <si>
    <t>The authors acknowledge the internal funding support by UNSW Sydney, Australia, and the Australian Antarctic Division (#RG190163). This work was conducted under internal grant funding schemes of UNSW and Australian Antarctic Science project #4036. Mass spectrometry work was carried out at the BMSF in the Mark Wainwright Analytical Center, UNSW Sydney. We would also like to thank the researchers and technical officers from the Australian Antarctic Division, Anna Nydahl, Lauren Wise and others who helped collecting samples from Casey station between 2013 and 2018.</t>
  </si>
  <si>
    <t>10.1016/j.scitotenv.2019.06.389</t>
  </si>
  <si>
    <t>IS8DP</t>
  </si>
  <si>
    <t>WOS:000482379400037</t>
  </si>
  <si>
    <t>Mallory, ML; Anderson, CM; Braune, BM; Pratte, I; Provencher, JF</t>
  </si>
  <si>
    <t>Mallory, Mark L.; Anderson, Christine M.; Braune, Birgit M.; Pratte, Isabeau; Provencher, Jennifer F.</t>
  </si>
  <si>
    <t>Arctic cleansing diet: Sex-specific variation in the rapid elimination of contaminants by the world's champion migrant, the Arctic tern</t>
  </si>
  <si>
    <t>Breeding; Migration; Seabird; Arctic; Sterna paradisaea</t>
  </si>
  <si>
    <t>PERSISTENT ORGANIC POLLUTANTS; KITTIWAKES RISSA-TRIDACTYLA; FULMARS FULMARUS-GLACIALIS; STERNA-PARADISAEA; FOOD-WEB; POLYCHLORINATED-BIPHENYLS; ORGANOCHLORINE PESTICIDES; MERCURY CONCENTRATIONS; SEASONAL-VARIATION; ISOTOPIC NICHES</t>
  </si>
  <si>
    <t>Contamination of Arctic marine environments continues to be a concern for wildlife managers. Because the Arctic is a sink for the long-range transport of persistent organic pollutants (POPs), many studies have detected high concentrations of POPs in various Arctic birds. In this study from high Arctic Canada, we show that male Arctic terns (Sterna paradisaea), which migrate from the Antarctic to the Arctic annually to breed, decline in concentrations of many hepatic POPs through the breeding season. This suggests that local Arctic food webs arc less contaminated than regions where terns fed during or migration, despite that the terns appear to feed at a higher trophic level near their colony. (C) 2019 Elsevier B.V. All rights reserved.</t>
  </si>
  <si>
    <t>[Mallory, Mark L.; Anderson, Christine M.; Pratte, Isabeau] Acadia Univ, Biol, 33 Westwood Ave, Wolfville, NS B4P 2R6, Canada; [Braune, Birgit M.] Carleton Univ, Environm &amp; Climate Change Canada, Natl Wildlife Res Ctr, Raven Rd, Ottawa, ON K1A 0H3, Canada; [Provencher, Jennifer F.] Environm &amp; Climate Change Canada, Canadian Wildlife Serv, Blvd St Joseph, Gatineau, PQ J8Y 3Z5, Canada</t>
  </si>
  <si>
    <t>Acadia University; Environment &amp; Climate Change Canada; Canadian Wildlife Service; National Wildlife Research Centre - Canada; Carleton University; Environment &amp; Climate Change Canada; Canadian Wildlife Service</t>
  </si>
  <si>
    <t>Mallory, ML (corresponding author), Acadia Univ, Biol, 33 Westwood Ave, Wolfville, NS B4P 2R6, Canada.</t>
  </si>
  <si>
    <t>mark.mallory@acadiau.ca</t>
  </si>
  <si>
    <t>Provencher, Jennifer F/J-2839-2016; Anderson, Christine M/JCN-9702-2023; Mallory, Mark/A-1952-2017</t>
  </si>
  <si>
    <t>Mallory, Mark/0000-0003-2744-3437</t>
  </si>
  <si>
    <t>Environment and Climate Change Canada (Canadian Wildlife Service); Natural Sciences and Engineering Research Council of Canada; Natural Resources Canada (Polar Continental Shelf Project); Acadia University; Association of Canadian Universities for Northern Studies (ACUNS)</t>
  </si>
  <si>
    <t>Environment and Climate Change Canada (Canadian Wildlife Service); Natural Sciences and Engineering Research Council of Canada(Natural Sciences and Engineering Research Council of Canada (NSERC)CGIAR); Natural Resources Canada (Polar Continental Shelf Project)(Natural Resources Canada); Acadia University; Association of Canadian Universities for Northern Studies (ACUNS)</t>
  </si>
  <si>
    <t>We thank Jason Akearok, Kelly Boadway, Josh Boadway, and Alain Fontaine for help with collections. Financial support was provided by Environment and Climate Change Canada (Canadian Wildlife Service), the Natural Sciences and Engineering Research Council of Canada, Natural Resources Canada (Polar Continental Shelf Project), and Acadia University. All research activities were conducted in accordance with valid scientific and animal care permits (WL000952, NUN-SCI-06-01). JFP was supported by a Garfield Weston Fellowship in Northern Research provided by the Association of Canadian Universities for Northern Studies (ACUNS). Finally, thanks to several anonymous referees for insightful and supportive comments that helped improve the manuscript.</t>
  </si>
  <si>
    <t>10.1016/j.scitotenv.2019.06.505</t>
  </si>
  <si>
    <t>WOS:000482379400069</t>
  </si>
  <si>
    <t>Yan, YZ; Bender, ML; Brook, EJ; Clifford, HM; Kemeny, PC; Kurbatov, AV; Mackay, S; Mayewski, PA; Ng, J; Severinghaus, JP; Higgins, JA</t>
  </si>
  <si>
    <t>Yan, Yuzhen; Bender, Michael L.; Brook, Edward J.; Clifford, Heather M.; Kemeny, Preston C.; Kurbatov, Andrei V.; Mackay, Sean; Mayewski, Paul A.; Ng, Jessica; Severinghaus, Jeffrey P.; Higgins, John A.</t>
  </si>
  <si>
    <t>Two-million-year-old snapshots of atmospheric gases from Antarctic ice</t>
  </si>
  <si>
    <t>CARBON-DIOXIDE CONCENTRATION; MAJOR GLACIATION CYCLES; ALLAN HILLS; BLUE-ICE; PLEISTOCENE TRANSITION; MOLECULAR-DIFFUSION; CHRONOLOGY AICC2012; CLIMATE VARIABILITY; ISOTOPIC DIFFUSION; MILLENNIAL-SCALE</t>
  </si>
  <si>
    <t>Over the past eight hundred thousand years, glacial-interglacial cycles oscillated with a period of one hundred thousand years ('100k world'1). Ice core and ocean sediment data have shown that atmospheric carbon dioxide, Antarctic temperature, deep ocean temperature, and global ice volume correlated strongly with each other in the 100k world(2-6). Between about 2.8 and 1.2 million years ago, glacial cycles were smaller in magnitude and shorter in duration ('40k world'7). Proxy data from deep-sea sediments suggest that the variability of atmospheric carbon dioxide in the 40k world was also lower than in the 100k world(8-10), but we do not have direct observations of atmospheric greenhouse gases from this period. Here we report the recovery of stratigraphically discontinuous ice more than two million years old from the Allan Hills Blue Ice Area, East Antarctica. Concentrations of carbon dioxide and methane in ice core samples older than two million years have been altered by respiration, but some younger samples are pristine. The recovered ice cores extend direct observations of atmospheric carbon dioxide, methane, and Antarctic temperature (based on the deuterium/hydrogen isotope ratio delta D-ice, a proxy for regional temperature) into the 40k world. All climate properties before eight hundred thousand years ago fall within the envelope of observations from continuous deep Antarctic ice cores that characterize the 100k world. However, the lowest measured carbon dioxide and methane concentrations and Antarctic temperature in the 40k world are well above glacial values from the past eight hundred thousand years. Our results confirm that the amplitudes of glacial-interglacial variations in atmospheric greenhouse gases and Antarctic climate were reduced in the 40k world, and that the transition from the 40k to the 100k world was accompanied by a decline in minimum carbon dioxide concentrations during glacial maxima.</t>
  </si>
  <si>
    <t>[Yan, Yuzhen; Bender, Michael L.; Kemeny, Preston C.; Higgins, John A.] Princeton Univ, Dept Geosci, Princeton, NJ 08544 USA; [Bender, Michael L.] Shanghai Jiao Tong Univ, Sch Oceanog, Shanghai, Peoples R China; [Brook, Edward J.] Oregon State Univ, Coll Earth Ocean &amp; Atmospher Sci, Corvallis, OR 97331 USA; [Clifford, Heather M.; Kurbatov, Andrei V.; Mayewski, Paul A.] Univ Maine, Climate Change Inst, Orono, ME USA; [Kemeny, Preston C.] CALTECH, Div Geol &amp; Planetary Sci, Pasadena, CA 91125 USA; [Mackay, Sean] Boston Univ, Dept Earth &amp; Environm, Boston, MA 02215 USA; [Ng, Jessica; Severinghaus, Jeffrey P.] Univ Calif San Diego, Scripps Inst Oceanog, La Jolla, CA 92093 USA</t>
  </si>
  <si>
    <t>Princeton University; Shanghai Jiao Tong University; Oregon State University; University of Maine System; University of Maine Orono; California Institute of Technology; Boston University; University of California System; University of California San Diego; Scripps Institution of Oceanography</t>
  </si>
  <si>
    <t>Yan, YZ (corresponding author), Princeton Univ, Dept Geosci, Princeton, NJ 08544 USA.</t>
  </si>
  <si>
    <t>yuzheny@princeton.edu</t>
  </si>
  <si>
    <t>Yan, Yuzhen/ABA-9897-2021; Mayewski, Paul Andrew/HRD-6969-2023; Brook, Edward/AAB-7807-2021</t>
  </si>
  <si>
    <t>Yan, Yuzhen/0000-0002-2612-8542; Clifford, Heather/0000-0001-5795-1913; Kurbatov, Andrei/0000-0002-9819-9251</t>
  </si>
  <si>
    <t>National Science Foundation [ANT-1443306, ANT-1443276, NSF-0538630, ANT-0944343, ANT-1443263]; Princeton Environmental Institute at Princeton University</t>
  </si>
  <si>
    <t>National Science Foundation(National Science Foundation (NSF)); Princeton Environmental Institute at Princeton University(Princeton University)</t>
  </si>
  <si>
    <t>We acknowledge US Ice Drilling Design and Operations (IDDO), driller M. Waszkiewicz, and Ken Borek Air for assistance with the field work. M. Kalk assisted with the CO2 measurements. We thank A. Menking and A. Buffen for helping with d13C-CO2 measurements. This work received funding from National Science Foundation Grants ANT-1443306 (University of Maine), ANT-1443276 (Oregon State University), NSF-0538630 and ANT-0944343 (Scripps Institution of Oceanography), and ANT-1443263 (Princeton University). Y.Y. acknowledges the Princeton Environmental Institute at Princeton University through the Walbridge Fund, which supported the work upon which this material is partly based.</t>
  </si>
  <si>
    <t>OCT 31</t>
  </si>
  <si>
    <t>10.1038/s41586-019-1692-3</t>
  </si>
  <si>
    <t>JI9UH</t>
  </si>
  <si>
    <t>WOS:000493807800040</t>
  </si>
  <si>
    <t>Jeong, YC; Yeh, SW; Lee, S; Park, RJ</t>
  </si>
  <si>
    <t>Jeong, Yong-Cheol; Yeh, Sang -Wook; Lee, Seungun; Park, Rokjin J.</t>
  </si>
  <si>
    <t>A Global/Regional Integrated Model System-Chemistry Climate Model: 1. Simulation Characteristics</t>
  </si>
  <si>
    <t>ASIAN SUMMER MONSOON; NINO-SOUTHERN OSCILLATION; ATMOSPHERIC TELECONNECTIONS; INTERANNUAL VARIABILITY; EAST-ASIA; ENSO; IMPLEMENTATION; PRECIPITATION; AEROSOLS; PARAMETERIZATION</t>
  </si>
  <si>
    <t>This study describes the simulation characteristics of a newly developed Global/Regional Integrated Model system-Chemistry Climate Model (GRIMs-CCM), which is listed in Chemistry Climate Model Initiative as a participating model. The GRIMs-CCM was run using a standard set of forcings, and historical sea surface temperatures and sea ice concentration from the Hadley Centre were prescribed. The simulation results of GRIMs-CCM were compared to the National Center for Environmental Prediction/National Center for Atmospheric Research (NCEP/NCAR) reanalysis data set 1. The GRIMs-CCM satisfactorily simulated the climatological (1960-2010) atmospheric features and atmospheric teleconnections resulting from tropical sea surface temperature forcing. However, the GRIMs-CCM also had some regional biases; for instance, particularly, the temperature bias over the Antarctic was noticeable. We further analyzed physical processes that caused such biases and the influence of coupled chemistry-climate processes in the GRIMs-CCM, which may provide further guidance to improve an earlier version of the GRIMs-CCM and other climate-chemistry models participating in the Chemistry Climate Model Initiative.</t>
  </si>
  <si>
    <t>[Jeong, Yong-Cheol; Yeh, Sang -Wook] Hanyang Univ, Dept Marine Sci &amp; Convergent Technol, Ansan, South Korea; [Lee, Seungun; Park, Rokjin J.] Seoul Natl Univ, Sch Earth &amp; Environm Sci, Seoul, South Korea</t>
  </si>
  <si>
    <t>Hanyang University; Seoul National University (SNU)</t>
  </si>
  <si>
    <t>Yeh, SW (corresponding author), Hanyang Univ, Dept Marine Sci &amp; Convergent Technol, Ansan, South Korea.</t>
  </si>
  <si>
    <t>swyeh@hanyang.ac.kr</t>
  </si>
  <si>
    <t>Park, Rokjin J./I-5055-2012; Jeong, Yong-Cheol/KGL-8943-2024; yeh, sang-wook/G-3007-2014</t>
  </si>
  <si>
    <t>Jeong, Yong-Cheol/0000-0002-2008-5377; Lee, Seungun/0000-0002-5988-7238; yeh, sang-wook/0000-0003-4549-1686</t>
  </si>
  <si>
    <t>National Research Foundation [NRF-2018R1A5A1024958]; National Research Foundation of Korea (NRF) - Korean government (MSIT) [2018004494]</t>
  </si>
  <si>
    <t>National Research Foundation; National Research Foundation of Korea (NRF) - Korean government (MSIT)</t>
  </si>
  <si>
    <t>This study was supported by National Research Foundation Grant NRF-2018R1A5A1024958. Lee, S. and Park, R. J. were supported by the National Research Foundation of Korea (NRF) grant funded by the Korean government (MSIT) (No. 2018004494). The monthly NCEP/NCAR reanalysis 1 data and the CMAP data used in this study are available at National Oceanic and Atmospheric Administration (NOAA) Earth System Research Laboratory website (https://www.esrl.noaa.gov/psd/data/gridded/tables/monthly.html), and the monthly SST and SIC data set from HadISST can be downloaded at Met Office Hadley Centre website (https://www.metoffice.gov.uk/hadobs/hadisst/data/download.html). The available links of set of CCMI REF-C1 forcing data described in section are stated in Eyring et al. (2013). Also, the result of long-term integration using GRIMs-CCM under CCMI REFC1 forcing can be downloaded at http://data.ceda.ac.uk/badc/wcrp-ccmi/data/CCMI-1/output/SNU-ACMG/GRIMsCCM.</t>
  </si>
  <si>
    <t>10.1029/2019EA000727</t>
  </si>
  <si>
    <t>OCT 2019</t>
  </si>
  <si>
    <t>JO1ZX</t>
  </si>
  <si>
    <t>WOS:000493423200001</t>
  </si>
  <si>
    <t>Wolff, EW</t>
  </si>
  <si>
    <t>Wolff, Eric W.</t>
  </si>
  <si>
    <t>Fresh evidence in the glacial-cycle debate</t>
  </si>
  <si>
    <t>ICE</t>
  </si>
  <si>
    <t>An analysis of air up to 2 million years old, trapped in Antarctic ice, shows that a major shift in the periodicity of glacial cycles was probably not caused by a long-term decline in atmospheric levels of carbon dioxide.</t>
  </si>
  <si>
    <t>[Wolff, Eric W.] Univ Cambridge, Dept Earth Sci, Cambridge CB2 3EQ, England</t>
  </si>
  <si>
    <t>Wolff, EW (corresponding author), Univ Cambridge, Dept Earth Sci, Cambridge CB2 3EQ, England.</t>
  </si>
  <si>
    <t>ew428@cam.ac.uk</t>
  </si>
  <si>
    <t>Wolff, Eric W/D-7925-2014</t>
  </si>
  <si>
    <t>Wolff, Eric W/0000-0002-5914-8531</t>
  </si>
  <si>
    <t>WOS:000493807800032</t>
  </si>
  <si>
    <t>Tagliabue, A; Bowie, AR; DeVries, T; Ellwood, MJ; Landing, WM; Milne, A; Ohnemus, DC; Twining, BS; Boyd, PW</t>
  </si>
  <si>
    <t>Tagliabue, Alessandro; Bowie, Andrew R.; DeVries, Timothy; Ellwood, Michael J.; Landing, William M.; Milne, Angela; Ohnemus, Daniel C.; Twining, Benjamin S.; Boyd, Philip W.</t>
  </si>
  <si>
    <t>The interplay between regeneration and scavenging fluxes drives ocean iron cycling</t>
  </si>
  <si>
    <t>DISSOLVED IRON; NORTH-ATLANTIC; ORGANIC COMPLEXATION; SOUTHERN-OCEAN; COLLOIDAL IRON; SPRING BLOOM; PARTICLES; MODEL; REMINERALIZATION; PHYTOPLANKTON</t>
  </si>
  <si>
    <t>Despite recent advances in observational data coverage, quantitative constraints on how different physical and biogeochemical processes shape dissolved iron distributions remain elusive, lowering confidence in future projections for iron-limited regions. Here we show that dissolved iron is cycled rapidly in Pacific mode and intermediate water and accumulates at a rate controlled by the strongly opposing fluxes of regeneration and scavenging. Combining new data sets within a watermass framework shows that the multidecadal dissolved iron accumulation is much lower than expected from a meta-analysis of iron regeneration fluxes. This mismatch can only be reconciled by invoking significant rates of iron removal to balance iron regeneration, which imply generation of authigenic particulate iron pools. Consequently, rapid internal cycling of iron, rather than its physical transport, is the main control on observed iron stocks within intermediate waters globally and upper ocean iron limitation will be strongly sensitive to subtle changes to the internal cycling balance.</t>
  </si>
  <si>
    <t>[Tagliabue, Alessandro] Univ Liverpool, Sch Environm Sci, Liverpool, Merseyside, England; [Bowie, Andrew R.; Boyd, Philip W.] Univ Tasmania, Inst Marine &amp; Antarctic Studies &amp; Antarctic Clima, Hobsart, Tas, Australia; [DeVries, Timothy] Univ Calif Santa Barbara, Santa Barbara, CA 93106 USA; [Ellwood, Michael J.] Australian Natl Univ, Res Sch Earth Sci, Canberra, ACT, Australia; [Landing, William M.; Milne, Angela] Florida State Univ, Tallahassee, FL 32306 USA; [Milne, Angela] Univ Plymouth, Plymouth, Devon, England; [Ohnemus, Daniel C.] Skidaway Inst Oceanog, Savannah, GA USA; [Twining, Benjamin S.] Bigelow Lab Ocean Sci, East Boothbay, ME USA</t>
  </si>
  <si>
    <t>University of Liverpool; University of Tasmania; University of California System; University of California Santa Barbara; Australian National University; State University System of Florida; Florida State University; University of Plymouth; University System of Georgia; University of Georgia; Skidaway Institute of Oceanography; Bigelow Laboratory for Ocean Sciences</t>
  </si>
  <si>
    <t>Tagliabue, A (corresponding author), Univ Liverpool, Sch Environm Sci, Liverpool, Merseyside, England.</t>
  </si>
  <si>
    <t>a.tagliabue@liverpool.ac.uk</t>
  </si>
  <si>
    <t>Landing, William/KBA-8522-2024; Ellwood, Michael J/G-7390-2011; Ohnemus, Daniel C/X-7728-2018; Boyd, Philip/J-7624-2014; Milne, Angela/O-2786-2016; Bowie, Andrew/C-8677-2013</t>
  </si>
  <si>
    <t>Landing, William/0000-0002-7514-3247; Ohnemus, Daniel C/0000-0001-6362-4134; Boyd, Philip/0000-0001-7850-1911; Tagliabue, Alessandro/0000-0002-3572-3634; Milne, Angela/0000-0002-3304-8962; Twining, Benjamin/0000-0002-1365-9192; Bowie, Andrew/0000-0002-5144-7799; Ellwood, Michael/0000-0003-4288-8530; DeVries, Tim/0000-0002-7771-9430</t>
  </si>
  <si>
    <t>University of Tasmania; European Research Council (ERC) under the European Union [724289]; Australian Research Council [FT130100037, DP150100345, DP170102108, FL160100131]; Antarctic Climate and Ecosystems Cooperative Research Centre; NSF OCE [0223378, 0649639, 0752832, 1232814, 1435862]; National Science Foundation [DMR-1157490]; State of Florida; DOE Office of Science [DE-AC02-06CH11357]; Directorate For Geosciences; Division Of Ocean Sciences [0752832, 1232814, 0649639] Funding Source: National Science Foundation; Division Of Ocean Sciences; Directorate For Geosciences [0223378, 1435862] Funding Source: National Science Foundation</t>
  </si>
  <si>
    <t>University of Tasmania; European Research Council (ERC) under the European Union(European Research Council (ERC)); Australian Research Council(Australian Research Council); Antarctic Climate and Ecosystems Cooperative Research Centre(Australian GovernmentDepartment of Industry, Innovation and ScienceCooperative Research Centres (CRC) Programme); NSF OCE(National Science Foundation (NSF)); National Science Foundation(National Science Foundation (NSF)); State of Florida; DOE Office of Science(United States Department of Energy (DOE)); Directorate For Geosciences; Division Of Ocean Sciences(National Science Foundation (NSF)NSF - Directorate for Geosciences (GEO)); Division Of Ocean Sciences; Directorate For Geosciences(National Science Foundation (NSF)NSF - Directorate for Geosciences (GEO))</t>
  </si>
  <si>
    <t>This study was initiated during the visit of A.T. to the University of Tasmania (Australia), supported by a University of Tasmania Visiting Scholar award and by a European Research Council (ERC) grant under the European Union's Horizon 2020 research and innovation programme (project ID 724289) to A.T. A.R.B. was supported by the Australian Research Council (FT130100037 and DP150100345) and the Antarctic Climate and Ecosystems Cooperative Research Centre. M.J.E (DP170102108) and P.W.B. (FL160100131 and DP170102108) were supported by the Australian Research Council. Collection of CLIVAR iron data used in this work was supported by three NSF OCE grants (0223378, 0649639, and 0752832). A portion of this work was performed at the National High Magnetic Field Laboratory, which is supported by National Science Foundation Cooperative Agreement No. DMR-1157490 and the State of Florida. B.S.T. and D.C.O. were supported by NSF OCE grants 1232814 and 1435862. We thank Bob Anderson for helpful comments on an earlier version of this manuscript, Chris Measures, Matt Brown, Bill Hiscock, Amy Apprill, Lyle Leonard, Clifton Buck and Paul Hansard for helping collect the dissolved iron samples on P16. Field data from the P16 voyage is available from BCO-DMO. This research used resources of the Advanced Photon Source, a U.S. Department of Energy (DOE) Office of Science User Facility operated for the DOE Office of Science by Argonne National Laboratory under Contract No. DE-AC02-06CH11357. Olga Antipova assisted with synchrotron analyses.</t>
  </si>
  <si>
    <t>10.1038/s41467-019-12775-5</t>
  </si>
  <si>
    <t>JI4LN</t>
  </si>
  <si>
    <t>Green Accepted, Green Published, gold, Green Submitted</t>
  </si>
  <si>
    <t>WOS:000493438700008</t>
  </si>
  <si>
    <t>Reisfeld, L; Sacristán, C; Machado, EF; Sánchez-Sarmiento, AM; Costa-Silva, S; Ewbank, AC; Navas-Suárez, PE; Guerra, JM; Barrel, JDP; Réssio, RA; Favero, CM; Gastal, S; Kolesnikovas, CKM; Marigo, J; Ruoppolo, V; Catao-Dias, JL</t>
  </si>
  <si>
    <t>Reisfeld, Laura; Sacristan, Carlos; Machado, Eduardo Ferreira; Sanchez-Sarmiento, Angelica Maria; Samira Costa-Silva; Ewbank, Ana Carolina; Navas-Suarez, Pedro Enrique; Guerra, Juliana Mariotti; Pereira Barrel, Joana De Souza; Ressio, Rodrigo Albergaria; Favero, Cintia Maria; Gastal, Silvia; Miyaji Kolesnikovas, Cristiane Kiyomi; Marigo, Juliana; Ruoppolo, Valeria; Catao-Dias, Jose Luiz</t>
  </si>
  <si>
    <t>Toxoplasmosis and Sarcocystis spp. infection in wild pinnipeds of the Brazilian coast</t>
  </si>
  <si>
    <t>DISEASES OF AQUATIC ORGANISMS</t>
  </si>
  <si>
    <t>Toxoplasma gondii Sarcocystis sp.; Mortality; Pathology; Fur seal; Arctocephalus Marine mammal</t>
  </si>
  <si>
    <t>ARCTOCEPHALUS-GAZELLA; NEURONA; GONDII; TRANSMISSION; HEPATITIS; DIAGNOSIS; PATHOLOGY</t>
  </si>
  <si>
    <t>The protozoans Toxoplasma gondii and Sarcocystis spp. (Sarcocystidae: Apicomplexa) affect a wide variety of vertebrates. Both have been reported to infect pinnipeds, with impacts on health ranging from inapparent to fulminant disease and death. However, little is known regarding their infections and associated pathology in South American pinnipeds. We used histological techniques to survey for the presence of T. gondii and Sarcocystis spp. in 51 stranded pinnipeds from Brazil. Immunohistochemical and molecular assays were employed in those cases consistent with Sarcocystidae infection. T. gondii cysts were detected in the central nervous system and heart of a South American fur seal Arctocephalus australis, associated with meningoencephalitis, myocarditis and endocarditis, and confirmed by immunohistochemistry. Additionally, this animal presented Sarcocystis sp. cysts in brain and heart tissues. Four additional specimens - 2 Subantarctic fur seals A. tropicalis, an Antarctic fur seal A. gazella and another South American fur seal-presented in-trasarcoplasmic cysts compatible with Sarcocystis spp. in muscle samples. There was no inflammation associated with the Sarcocystis spp. tissue cysts and all cysts were negative for S. neurona immunohistochemistry. The B1 gene of T. gondii was amplified in the 5 pinnipeds infected by Sarcocystidae protozoans. To our knowledge, this is the first report of toxoplasmosis in wild South American pinnipeds and of Sarcocystis spp. in South American fur seals. Detection of terrestrial parasites in aquatic mammals could be an indicator of their presence in the marine environment.</t>
  </si>
  <si>
    <t>[Reisfeld, Laura; Sacristan, Carlos; Machado, Eduardo Ferreira; Sanchez-Sarmiento, Angelica Maria; Samira Costa-Silva; Ewbank, Ana Carolina; Navas-Suarez, Pedro Enrique; Favero, Cintia Maria; Marigo, Juliana; Ruoppolo, Valeria; Catao-Dias, Jose Luiz] Univ Sao Paulo, Fac Med Vet &amp; Zootecnia, Dept Patol, Lab Patol Comparada Anim Selvagens, BR-05508270 Sao Paulo, SP, Brazil; [Reisfeld, Laura] Aquario Sao Paulo, BR-04275000 Sao Paulo, SP, Brazil; [Samira Costa-Silva; Miyaji Kolesnikovas, Cristiane Kiyomi] Assoc R3 Anim, BR-88060000 Florianopolis, SC, Brazil; [Guerra, Juliana Mariotti; Pereira Barrel, Joana De Souza; Ressio, Rodrigo Albergaria] Adolfo Lutz Inst, BR-01246000 Sao Paulo, SP, Brazil; [Gastal, Silvia] Univ Fed Rio Grande FURG, Museu Oceanog Prof Eliezer de Carvalho Rios, Ctr Recuperacao Anim Marinhos, BR-96200580 Rio Grande, RS, Brazil</t>
  </si>
  <si>
    <t>Universidade de Sao Paulo; Instituto Adolfo Lutz; Universidade Federal do Rio Grande</t>
  </si>
  <si>
    <t>Reisfeld, L (corresponding author), Univ Sao Paulo, Fac Med Vet &amp; Zootecnia, Dept Patol, Lab Patol Comparada Anim Selvagens, BR-05508270 Sao Paulo, SP, Brazil.</t>
  </si>
  <si>
    <t>lauravet@aquariodesaopaulo.com.br</t>
  </si>
  <si>
    <t>Guerra, Juliana Mariotti/H-5310-2012; Catão-Dias, José Luiz/C-4897-2012; Sanchez-Sarmiento, Angélica María/B-8764-2019; Ferreira Machado, Eduardo/KFA-5681-2024; Sacristán, Carlos/G-7615-2016; Ewbank, Ana Carolina/AAE-5147-2022; Marigo, Juliana/G-4077-2012; Navas-Suárez, Pedro Enrique/AAV-6548-2020</t>
  </si>
  <si>
    <t>Guerra, Juliana Mariotti/0000-0002-0326-7187; Catão-Dias, José Luiz/0000-0003-2999-3395; Sacristán, Carlos/0000-0002-6111-6301; Ewbank, Ana Carolina/0000-0002-5617-9287; Navas-Suárez, Pedro Enrique/0000-0003-1385-901X; Costa-Silva, Samira/0000-0002-0294-1870; Marigo, Juliana/0000-0002-3279-2909</t>
  </si>
  <si>
    <t>Universidade da Regiao de Joinville (UNIVILLE); Brazilian Federal Agency for Coordination of Improvement of Higher Education Personnel (CAPES)</t>
  </si>
  <si>
    <t>Universidade da Regiao de Joinville (UNIVILLE); Brazilian Federal Agency for Coordination of Improvement of Higher Education Personnel (CAPES)(Coordenacao de Aperfeicoamento de Pessoal de Nivel Superior (CAPES))</t>
  </si>
  <si>
    <t>We thank Jitender P. Dubey at the Animal Parasitic Diseases Laboratory for S. neurona immunohistochemistry, and Solange M. Gennari, Sandara Sguario, Danny Fuentes, Katia R. Groch and Jorge Oyakawa at the Universidade de Sao Paulo for their technical support and assistance. We also thank staff of Associacao R3 Animal, Aquario Municipal de Santos, Laboratorio de Mamiferos Aquaticos do Departamento de Ecologia e Zoologia da Universidade Federal de Santa Catarina, Laboratorio de Mamiferos Aquaticos e Bioindicadores `Profa Izabel M. G. do N. Gurgel' (MAQUA), Universidade da Regiao de Joinville (UNIVILLE) and Universidade Federal do Rio Grande do Sul-Centro de Recuperacao de Animais Marinhos (CRAMFURG). This study was financed by the Brazilian Federal Agency for Coordination of Improvement of Higher Education Personnel (CAPES).</t>
  </si>
  <si>
    <t>0177-5103</t>
  </si>
  <si>
    <t>1616-1580</t>
  </si>
  <si>
    <t>DIS AQUAT ORGAN</t>
  </si>
  <si>
    <t>Dis. Aquat. Org.</t>
  </si>
  <si>
    <t>OCT 30</t>
  </si>
  <si>
    <t>10.3354/dao03410</t>
  </si>
  <si>
    <t>Fisheries; Veterinary Sciences</t>
  </si>
  <si>
    <t>KX2TW</t>
  </si>
  <si>
    <t>WOS:000521735100004</t>
  </si>
  <si>
    <t>Ametrano, CG; Grewe, F; Crous, PW; Goodwin, SB; Liang, C; Selbmann, L; Lumbsch, HT; Leavitt, SD; Muggia, L</t>
  </si>
  <si>
    <t>Ametrano, Claudio G.; Grewe, Felix; Crous, Pedro W.; Goodwin, Stephen B.; Liang, Chen; Selbmann, Laura; Lumbsch, H. Thorsten; Leavitt, Steven D.; Muggia, Lucia</t>
  </si>
  <si>
    <t>Genome-scale data resolve ancestral rock-inhabiting lifestyle in Dothideomycetes (Ascomycota)</t>
  </si>
  <si>
    <t>IMA FUNGUS</t>
  </si>
  <si>
    <t>Lichenothelia; Phylogenomics; Saxomyces; Species tree; Supermatrix; Supertree</t>
  </si>
  <si>
    <t>STAGONOSPOROPSIS-TANACETI; SEQUENCE; PATHOGEN; FUNGUS; TREE; PHYLOGENOMICS; GENUS; LICHENOTHELIA; ALIGNMENTS; ALGORITHM</t>
  </si>
  <si>
    <t>Dothideomycetes is the most diverse fungal class in Ascomycota and includes species with a wide range of lifestyles. Previous multilocus studies have investigated the taxonomic and evolutionary relationships of these taxa but often failed to resolve early diverging nodes and frequently generated inconsistent placements of some clades. Here, we use a phylogenomic approach to resolve relationships in Dothideomycetes, focusing on two genera of melanized, extremotolerant rock-inhabiting fungi, Lichenothelia and Saxomyces, that have been suggested to be early diverging lineages. We assembled phylogenomic datasets from newly sequenced (4) and previously available genomes (238) of 242 taxa. We explored the influence of tree inference methods, supermatrix vs. coalescent-based species tree, and the impact of varying amounts of genomic data. Overall, our phylogenetic reconstructions provide consistent and well-supported topologies for Dothideomycetes, recovering Lichenothelia and Saxomyces among the earliest diverging lineages in the class. In addition, many of the major lineages within Dothideomycetes are recovered as monophyletic, and the phylogenomic approach implemented strongly supports their relationships. Ancestral character state reconstruction suggest that the rock-inhabiting lifestyle is ancestral within the class.</t>
  </si>
  <si>
    <t>[Ametrano, Claudio G.; Muggia, Lucia] Univ Trieste, Dept Life Sci, Via Giorgieri 10, I-34127 Trieste, Italy; [Grewe, Felix; Lumbsch, H. Thorsten] Field Museum Nat Hist, Grainger Bioinformat Ctr, 1400 S Lake Shore Dr, Chicago, IL 60605 USA; [Grewe, Felix; Lumbsch, H. Thorsten] Field Museum Nat Hist, Integrat Res Ctr, Sci &amp; Educ, 1400 S Lake Shore Dr, Chicago, IL 60605 USA; [Crous, Pedro W.] Westerdijk Fungal Biodivers Inst, POB 85176, NL-3508 AD Utrecht, Netherlands; [Goodwin, Stephen B.] Purdue Univ, USDA ARS, Crop Prod &amp; Pest Control Res Unit, 915 West State St, W Lafayette, IN 47907 USA; [Goodwin, Stephen B.] Purdue Univ, Dept Bot &amp; Plant Pathol, 915 West State St, W Lafayette, IN 47907 USA; [Liang, Chen] Qingdao Agr Univ, Coll Plant Hlth &amp; Med, Qingdao 266109, Shandong, Peoples R China; [Selbmann, Laura] Univ Tuscia, Dept Ecol &amp; Biol Sci, I-01100 Viterbo, Italy; [Selbmann, Laura] Italian Natl Antarctic Museum MNA, Mycol Sect, Genoa, Italy; [Leavitt, Steven D.] Brigham Young Univ, Dept Biol, 4102 Life Sci Bldg, Provo, UT 84602 USA; [Leavitt, Steven D.] Brigham Young Univ, ML Bean Life Sci Museum, 4102 Life Sci Bldg, Provo, UT 84602 USA</t>
  </si>
  <si>
    <t>University of Trieste; Field Museum of Natural History (Chicago); Field Museum of Natural History (Chicago); United States Department of Agriculture (USDA); Purdue University System; Purdue University; Purdue University System; Purdue University; Qingdao Agricultural University; Tuscia University; Brigham Young University; Brigham Young University</t>
  </si>
  <si>
    <t>Ametrano, CG; Muggia, L (corresponding author), Univ Trieste, Dept Life Sci, Via Giorgieri 10, I-34127 Trieste, Italy.</t>
  </si>
  <si>
    <t>claudiogennaro.ametrano@phd.units.it; lmuggia@units.it</t>
  </si>
  <si>
    <t>liang, chen/GZK-8923-2022; Leavitt, Steven D./AAC-6462-2021; Goodwin, Steve/ABB-1862-2021; Ametrano, Claudio Gennaro/GYA-5308-2022; Crous, Pedro/ISB-2589-2023; Lumbsch, Thorsten/K-3573-2012; Selbmann, Laura/L-3056-2013; MUGGIA, LUCIA/F-7401-2016; Crous, Pedro/H-1489-2012</t>
  </si>
  <si>
    <t>liang, chen/0000-0002-0139-8140; Leavitt, Steven D./0000-0002-5034-9724; Ametrano, Claudio Gennaro/0000-0002-0967-5050; Selbmann, Laura/0000-0002-8967-3329; Grewe, Felix/0000-0002-2805-5930; MUGGIA, LUCIA/0000-0003-0390-6169; Goodwin, Stephen/0000-0001-5708-9729; Crous, Pedro/0000-0001-9085-8825</t>
  </si>
  <si>
    <t>project Finanziamenti di Ateneo per progetti di Ricerca scientifica (FRA2014) of the University of Trieste; The Grainger Bioinformatics Center; Negaunee Foundation; National natural science foundation of China [30870010]</t>
  </si>
  <si>
    <t>project Finanziamenti di Ateneo per progetti di Ricerca scientifica (FRA2014) of the University of Trieste; The Grainger Bioinformatics Center; Negaunee Foundation; National natural science foundation of China(National Natural Science Foundation of China (NSFC))</t>
  </si>
  <si>
    <t>The research was funded by the project Finanziamenti di Ateneo per progetti di Ricerca scientifica (FRA2014) of the University of Trieste assigned to LM, by The Grainger Bioinformatics Center and the Negaunee Foundation, and the National natural science foundation of China (No. 30870010).</t>
  </si>
  <si>
    <t>2210-6340</t>
  </si>
  <si>
    <t>2210-6359</t>
  </si>
  <si>
    <t>IMA Fungus</t>
  </si>
  <si>
    <t>10.1186/s43008-019-0018-2</t>
  </si>
  <si>
    <t>JU9YC</t>
  </si>
  <si>
    <t>WOS:000502022300001</t>
  </si>
  <si>
    <t>Lee, MR; Cohen, BE; King, AJ</t>
  </si>
  <si>
    <t>Lee, M. R.; Cohen, B. E.; King, A. J.</t>
  </si>
  <si>
    <t>Alkali-halogen metasomatism of the CM carbonaceous chondrites</t>
  </si>
  <si>
    <t>AQUEOUS ALTERATION; CV3 CHONDRITES; MODAL MINERALOGY; RICH INCLUSIONS; PARENT BODIES; PHYLLOSILICATES; WATER; TEMPERATURES; METAMORPHISM; ASTEROIDS</t>
  </si>
  <si>
    <t>Meteorite Hills (MET) 01075 is unique among the CM carbonaceous chondrites in containing the feldspathoid mineral sodalite, and hence it may provide valuable evidence for a nebular or parent body process that has not been previously recorded by this meteorite group. MET 01075 is composed of aqueously altered chondrules and calcium- and aluminum-rich inclusions (CAIs) in a matrix that is predominantly made of serpentine- and tochilinite-rich particles. The chondrules have been impact flattened and define a foliation petrofabric. Sodalite occurs in a 0.6 mm size CAI that also contains spinel, perovskite, and diopside together with Fe-rich phyllosilicate and calcite. By analogy with feldspathoid-bearing CAIs in the CV and CO carbonaceous chondrites, the sodalite is interpreted to have formed by replacement of melilite or anorthite during alkali-halogen metasomatism in a parent body environment. While it is possible that the CAI was metasomatized in a precursor parent body, then excavated and incorporated into the MET 01075 parent body, in situ metasomatism is the favored model. The brief episode of relatively high temperature water-rock interaction was driven by radiogenic or impact heating, and most of the evidence for metasomatism was erased by subsequent lower temperature aqueous alteration. MET 01075 is very unusual in sampling a CM parent body region that underwent early alkali-halogen metasomatism and has retained one of its products.</t>
  </si>
  <si>
    <t>[Lee, M. R.; Cohen, B. E.] Univ Glasgow, Sch Geog &amp; Earth Sci, Gregory Bldg, Glasgow G12 8QQ, Lanark, Scotland; [Cohen, B. E.] Univ Edinburgh, Sch GeoSci, Grant Inst, Edinburgh EH9 3FE, Midlothian, Scotland; [King, A. J.] Nat Hist Museum London, Dept Earth Sci, Cromwell Rd, London SW7 5BD, England; [King, A. J.] Open Univ, Sch Phys Sci, Walton Hall, Milton Keynes MK7 6AA, Bucks, England</t>
  </si>
  <si>
    <t>University of Glasgow; University of Edinburgh; Natural History Museum London; Open University - UK</t>
  </si>
  <si>
    <t>Lee, MR (corresponding author), Univ Glasgow, Sch Geog &amp; Earth Sci, Gregory Bldg, Glasgow G12 8QQ, Lanark, Scotland.</t>
  </si>
  <si>
    <t>martin.lee@glasgow.ac.uk</t>
  </si>
  <si>
    <t>Lee, Martin/D-9169-2011</t>
  </si>
  <si>
    <t>Lee, Martin/0000-0002-6004-3622; Cohen, Benjamin/0000-0002-1634-8998</t>
  </si>
  <si>
    <t>NSF; NASA; Science and Technology Facilities Council [ST/N000846/1, ST/K000942/1, ST/R000727/1]; STFC [ST/K000942/1, ST/R000727/1, ST/N000846/1] Funding Source: UKRI</t>
  </si>
  <si>
    <t>NSF(National Science Foundation (NSF)); NASA(National Aeronautics &amp; Space Administration (NASA)); Science and Technology Facilities Council(UK Research &amp; Innovation (UKRI)Science &amp; Technology Facilities Council (STFC)); STFC(UK Research &amp; Innovation (UKRI)Science &amp; Technology Facilities Council (STFC))</t>
  </si>
  <si>
    <t>We thank John Gilleece (University of Glasgow) for preparing the polished block, Peter Chung (University of Glasgow) for help with the SEM work, and Chris Hayward (University of Edinburgh) for assistance with the EMPA. We are grateful to ANSMET for providing the sample of MET 01075,8.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 This work was funded by the Science and Technology Facilities Council through grants ST/N000846/1, ST/K000942/1, and ST/R000727/1. We thank Sasha Krot, Kazushige Tomeoka, and Adrian Brearley for very helpful reviews.</t>
  </si>
  <si>
    <t>10.1111/maps.13405</t>
  </si>
  <si>
    <t>PG4OX</t>
  </si>
  <si>
    <t>WOS:000493156600001</t>
  </si>
  <si>
    <t>Hoffmann, R; Al-Handal, AY; Wulff, A; Deregibus, D; Zacher, K; Quartino, ML; Wenzhöfer, F; Braeckman, U</t>
  </si>
  <si>
    <t>Hoffmann, Ralf; Al-Handal, Adil Yousif; Wulff, Angela; Deregibus, Dolores; Zacher, Katharina; Quartino, Maria Liliana; Wenzhofer, Frank; Braeckman, Ulrike</t>
  </si>
  <si>
    <t>Implications of Glacial Melt-Related Processes on the Potential Primary Production of a Microphytobenthic Community in Potter Cove (Antarctica)</t>
  </si>
  <si>
    <t>Antarctic benthic diatoms; effects of sedimentation; environmental photosynthetic active radiation; primary production efficiency; Southern Ocean; oxygen flux; carbon flux</t>
  </si>
  <si>
    <t>KING-GEORGE-ISLAND; BENTHIC DIATOMS; ICE; MICROALGAE; SEDIMENT; PHOTOSYNTHESIS; TEMPERATURE; MACROALGAE; ASSEMBLAGE; BIOVOLUME</t>
  </si>
  <si>
    <t>The Antarctic Peninsula experiences a fast retreat of glaciers, which results in an increased release of particles and sedimentation and, thus, a decrease in the available photosynthetic active radiation (PAR, 400-700 nm) for benthic primary production. In this study, we investigated how changes in the general sedimentation and shading patterns affect the primary production by benthic microalgae, the microphytobenthos. In order to determine potential net primary production and respiration of the microphytobenthic community, sediment cores from locations exposed to different sedimentation rates and shading were exposed to PAR of 0-70 mu.mol photons m(-2)s(-1). Total oxygen exchange rates and microphytobenthic diatom community structure, density, and biomass were determined. Our study revealed that while the microphytobenthic diatom density and composition remained similar, the net primary production of the microphytobenthos decreased with increasing sedimentation and shading. By comparing our experimental results with in situ measured PAR intensities, we furthermore identified microphytobenthic primary production as an important carbon source within Potter Cove's benthic ecosystem. We propose that the microphytobenthic contribution to the total primary production may drop drastically due to Antarctic glacial retreat and related sedimentation and shading, with yet unknown consequences for the benthic heterotrophic community, its structure, and diversity.</t>
  </si>
  <si>
    <t>[Hoffmann, Ralf; Zacher, Katharina; Wenzhofer, Frank] Helmholtz Ctr Polar &amp; Marine Res AWI, Alfred Wegener Inst, Bremerhaven, Germany; [Al-Handal, Adil Yousif; Wulff, Angela] Univ Gothenburg, Dept Biol &amp; Environm Sci, Gothenburg, Sweden; [Deregibus, Dolores; Quartino, Maria Liliana] Inst Antartico Argentino, Buenos Aires, DF, Argentina; [Wenzhofer, Frank] Max Planck Inst Marine Microbiol, HGF MPG Joint Res Grp Deep Sea Ecol &amp; Technol, Bremen, Germany; [Braeckman, Ulrike] Univ Ghent, Marine Biol Res Grp, Ghent, Belgium</t>
  </si>
  <si>
    <t>Helmholtz Association; Alfred Wegener Institute, Helmholtz Centre for Polar &amp; Marine Research; University of Gothenburg; Instituto Antartico Argentino; Max Planck Society; Ghent University</t>
  </si>
  <si>
    <t>Wenzhöfer, F (corresponding author), Helmholtz Ctr Polar &amp; Marine Res AWI, Alfred Wegener Inst, Bremerhaven, Germany.;Wenzhöfer, F (corresponding author), Max Planck Inst Marine Microbiol, HGF MPG Joint Res Grp Deep Sea Ecol &amp; Technol, Bremen, Germany.;Braeckman, U (corresponding author), Univ Ghent, Marine Biol Res Grp, Ghent, Belgium.</t>
  </si>
  <si>
    <t>frank.wenzhoefer@awi.de; Ulrike.Braeckman@UGent.be</t>
  </si>
  <si>
    <t>Wenzhöfer, Frank/ADR-2926-2022; Braeckman, Ulrike/AAJ-4801-2021; Al-Handal, Adil/ABH-1754-2021</t>
  </si>
  <si>
    <t>Wenzhöfer, Frank/0000-0002-4621-0586; Braeckman, Ulrike/0000-0002-7558-6363; Al-Handal, Adil/0000-0003-4703-7823</t>
  </si>
  <si>
    <t>European Union FP7 Project SenseOCEAN Marine Sensors for the 21st century [614141]; European Union FP7 Project IMCONet [319718]; Alfred-Wegener-Institut, Helmholtz-Zentrum fur Polar- und Meeresforschung; Max Planck Society; University of Gothenburg; Research Foundation - Flanders (FWO) [1201716N]</t>
  </si>
  <si>
    <t>European Union FP7 Project SenseOCEAN Marine Sensors for the 21st century; European Union FP7 Project IMCONet; Alfred-Wegener-Institut, Helmholtz-Zentrum fur Polar- und Meeresforschung; Max Planck Society(Max Planck Society); University of Gothenburg; Research Foundation - Flanders (FWO)(FWO)</t>
  </si>
  <si>
    <t>This research was funded by the European Union FP7 Project SenseOCEAN Marine Sensors for the 21st century (Grant Agreement No. 614141, www.senseocean.eu), by European Union FP7 Project IMCONet (Grant Agreement No. 319718), and by institutional funds of the Alfred-Wegener-Institut, Helmholtz-Zentrum fur Polar- und Meeresforschung, of the Max Planck Society, and of the University of Gothenburg. UB is a postdoctoral fellow at the Research Foundation - Flanders (FWO; Grant No. 1201716N).</t>
  </si>
  <si>
    <t>OCT 29</t>
  </si>
  <si>
    <t>10.3389/fmars.2019.00655</t>
  </si>
  <si>
    <t>JI2TL</t>
  </si>
  <si>
    <t>WOS:000493318000001</t>
  </si>
  <si>
    <t>Labrousse, S; Fraser, AD; Sumner, M; Tamura, T; Pinaud, D; Wienecke, B; Kirkwood, R; Ropert-Coudert, Y; Reisinger, R; Jonsen, I; Porter-Smith, R; Barbraud, C; Bost, CA; Ji, R; Jenouvrier, S</t>
  </si>
  <si>
    <t>Labrousse, Sara; Fraser, Alexander D.; Sumner, Michael; Tamura, Takeshi; Pinaud, David; Wienecke, Barbara; Kirkwood, Roger; Ropert-Coudert, Yan; Reisinger, Ryan; Jonsen, Ian; Porter-Smith, Rick; Barbraud, Christophe; Bost, Charles-Andre; Ji, Rubao; Jenouvrier, Stephanie</t>
  </si>
  <si>
    <t>Dynamic Fine-Scale Sea Icescape Shapes Adult Emperor Penguin Foraging Habitat in East Antarctica</t>
  </si>
  <si>
    <t>FAST ICE; APTENODYTES FORSTERI; CLIMATE-CHANGE; ROSS SEA; VARIABILITY; ICEBERGS; ECOLOGY; SUMMER; TRENDS; IMPACT</t>
  </si>
  <si>
    <t>The emperor penguin, an iconic species threatened by projected sea ice loss in Antarctica, has long been considered to forage at the fast ice edge, presumably relying on large/yearly persistent polynyas as their main foraging habitat during the breeding season. Using newly developed fine-scale sea icescape data and historical penguin tracking data, this study for the first time suggests the importance of less recognized small openings, including cracks, flaw leads and ephemeral short-term polynyas, as foraging habitats for emperor penguins. The tracking data retrieved from 47 emperor penguins in two different colonies in East Antarctica suggest that those penguins spent 23% of their time in ephemeral polynyas and did not use the large/yearly persistent, well-studied polynyas, even if they occur much more regularly with predictable locations. These findings challenge our previous understanding of emperor penguin breeding habitats, highlighting the need for incorporating fine-scale seascape features when assessing the population persistence in a rapidly changing polar environment.</t>
  </si>
  <si>
    <t>[Labrousse, Sara; Ji, Rubao; Jenouvrier, Stephanie] Woods Hole Oceanog Inst, Biol Dept, Woods Hole, MA 02543 USA; [Labrousse, Sara; Ropert-Coudert, Yan; Reisinger, Ryan; Barbraud, Christophe; Bost, Charles-Andre; Jenouvrier, Stephanie] La Rochelle Univ, CNRS, Ctr Etud Biol Chize CEBC, UMR 7372, Villiers En Bois, France; [Fraser, Alexander D.; Tamura, Takeshi; Porter-Smith, Rick] Univ Tasmania, Antarctic Climate &amp; Ecosyst Cooperat Res Ctr, Hobart, Tas, Australia; [Fraser, Alexander D.; Sumner, Michael] Univ Tasmania, Inst Marine &amp; Antarctic Studies, Hobart, Tas, Australia; [Sumner, Michael; Wienecke, Barbara; Kirkwood, Roger] Australian Antarctic Div, Dept Environm, Kingston, Tas, Australia; [Tamura, Takeshi] Natl Inst Polar Res, Tachikawa, Tokyo, Japan; [Tamura, Takeshi] Grad Univ Adv Studies, SOKENDAI, Tachikawa, Tokyo, Japan; [Jonsen, Ian] Macquarie Univ, Dept Biol Sci, Sydney, NSW, Australia</t>
  </si>
  <si>
    <t>Woods Hole Oceanographic Institution; Centre National de la Recherche Scientifique (CNRS); CNRS - Institute of Ecology &amp; Environment (INEE); Antarctic Climate &amp; Ecosystems Cooperative Research Centre (ACE CRC); University of Tasmania; University of Tasmania; Australian Antarctic Division; Research Organization of Information &amp; Systems (ROIS); National Institute of Polar Research (NIPR) - Japan; Graduate University for Advanced Studies - Japan; Macquarie University</t>
  </si>
  <si>
    <t>Labrousse, S (corresponding author), Woods Hole Oceanog Inst, Biol Dept, Woods Hole, MA 02543 USA.;Labrousse, S (corresponding author), La Rochelle Univ, CNRS, Ctr Etud Biol Chize CEBC, UMR 7372, Villiers En Bois, France.</t>
  </si>
  <si>
    <t>sara.labrousse@gmail.com</t>
  </si>
  <si>
    <t>Pinaud, David/B-6326-2008; Fraser, Alexander/AFO-7186-2022; Sumner, Michael D/J-3478-2013; Barbraud, Christophe/A-5870-2012; Ji, Rubao/I-1970-2015; Reisinger, Ryan/D-6151-2014</t>
  </si>
  <si>
    <t>Pinaud, David/0000-0003-0815-9668; Fraser, Alexander/0000-0003-1924-0015; Barbraud, Christophe/0000-0003-0146-212X; Kirkwood, Roger/0000-0003-4221-4050; Labrousse, Sara/0000-0002-8099-3254; Sumner, Michael/0000-0002-2471-7511; Reisinger, Ryan/0000-0002-8933-6875; Jonsen, Ian/0000-0001-5423-6076</t>
  </si>
  <si>
    <t>Australian Antarctic Division; Australian Government's Cooperative Research Centre program through the Antarctic Climate &amp; Ecosystems Cooperative Research Centre; Australian Research Council's Special Research Initiative for Antarctic Gateway Partnership [SR140300001]; French Polar Institute (Institut Paul Emile Victor, IPEV) research projects; Woods Hole Oceanographic Institution; NSF [1744794, 1643901]; BNP Paribas Foundation; WWF-UK; Office of Polar Programs (OPP); Directorate For Geosciences [1744794, 1643901] Funding Source: National Science Foundation</t>
  </si>
  <si>
    <t>Australian Antarctic Division; Australian Government's Cooperative Research Centre program through the Antarctic Climate &amp; Ecosystems Cooperative Research Centre(Australian GovernmentDepartment of Industry, Innovation and ScienceCooperative Research Centres (CRC) Programme); Australian Research Council's Special Research Initiative for Antarctic Gateway Partnership(Australian Research Council); French Polar Institute (Institut Paul Emile Victor, IPEV) research projects; Woods Hole Oceanographic Institution; NSF(National Science Foundation (NSF)); BNP Paribas Foundation; WWF-UK; Office of Polar Programs (OPP); Directorate For Geosciences(National Science Foundation (NSF)NSF - Directorate for Geosciences (GEO))</t>
  </si>
  <si>
    <t>This study was supported financially and logistically by the Australian Antarctic Division, the Australian Government's Cooperative Research Centre program through the Antarctic Climate &amp; Ecosystems Cooperative Research Centre, and by the Australian Research Council's Special Research Initiative for Antarctic Gateway Partnership (Project ID SR140300001), the French Polar Institute (Institut Paul Emile Victor, IPEV) research projects, and the postdoctoral scholar award from Woods Hole Oceanographic Institution. S. J. acknowledges support from NSF award 1744794 and 1643901. C. B. and Y. R.-C. acknowledge support from the BNP Paribas Foundation as part of program SENSEI (SENtinels of the SEa Ice). Y. R.-C. and R. R. R. acknowledge support from the WWF-UK through R. Downie. Special thanks go to Y. le Maho in charge of the research program in Terre Adelie in 1996/1997, M. LaRue for the field opportunity in the Ross Sea, illuminating sea icescapes and movements of emperor penguins during the breeding season, D. Ainley for interesting discussions, D. Iles for the proofreading and all colleagues and volunteers involved in the research on emperor penguins in Terre Adelie and at the Mawson Coast, especially D. Rodary and W. Bonneau. All animals in this study were treated in accordance with the IPEV and Polar Environment Committees guidelines, and Australian Antarctic Program Animal Ethics Committee permits. Data and data products related to the paper are available on the following repository http://www.usap-dc.org/view/dataset/601209 with the doi: 10.15784/601209.</t>
  </si>
  <si>
    <t>OCT 28</t>
  </si>
  <si>
    <t>10.1029/2019GL084347</t>
  </si>
  <si>
    <t>JO1SU</t>
  </si>
  <si>
    <t>WOS:000497365500030</t>
  </si>
  <si>
    <t>Chen, HH; Qi, YQ; Wang, YT; Chai, F</t>
  </si>
  <si>
    <t>Chen, Huan-Huan; Qi, Yiquan; Wang, Yuntao; Chai, Fei</t>
  </si>
  <si>
    <t>Seasonal variability of SST fronts and winds on the southeastern continental shelf of Brazil</t>
  </si>
  <si>
    <t>OCEAN DYNAMICS</t>
  </si>
  <si>
    <t>SST fronts; Wind stress; Wind stress curl; Air-sea interaction; Upwelling</t>
  </si>
  <si>
    <t>SEA-SURFACE TEMPERATURE; ANTARCTIC POLAR FRONT; EDGE-DETECTION; STRESS CURL; SATELLITE MEASUREMENTS; COASTLINE GEOMETRY; BOTTOM TOPOGRAPHY; UPWELLING DRIVEN; OCEAN FRONTS; WEST-COAST</t>
  </si>
  <si>
    <t>Fourteen years (September 2002 to August 2016) of high-resolution satellite observations of sea surface temperature (SST) data are used to describe the frontal pattern and frontogenesis on the southeastern continental shelf of Brazil. The daily SST fronts are obtained using an edge-detection algorithm, and the monthly frontal probability (FP) is subsequently calculated. High SST FPs are mainly distributed along the coast and decrease with distance from the coastline. The results from empirical orthogonal function (EOF) decompositions reveal strong seasonal variability of the coastal SST FP with maximum (minimum) in the astral summer (winter). Wind plays an important role in driving the frontal activities, and high FPs are accompanied by strong alongshore wind stress and wind stress curl. This is particularly true during the summer, when the total transport induced by the alongshore component of upwelling-favorable winds and the wind stress curl reaches the annual maximum. The fronts are influenced by multiple factors other than wind forcing, such as the orientation of the coastline, the seafloor topography, and the meandering of the Brazil Current. As a result, there is a slight difference between the seasonality of the SST fronts and the wind, and their relationship was varying with spatial locations. The impact of the air-sea interaction is further investigated in the frontal zone, and large coupling coefficients are found between the crosswind (downwind) SST gradients and the wind stress curl (divergence). The analysis of the SST fronts and wind leads to a better understanding of the dynamics and frontogenesis off the southeastern continental shelf of Brazil, and the results can be used to further understand the air-sea coupling process at regional level.</t>
  </si>
  <si>
    <t>[Chen, Huan-Huan; Wang, Yuntao; Chai, Fei] Minist Nat Resources, State Key Lab Satellite Ocean Environm Dynam, Inst Oceanog 2, Hangzhou, Zhejiang, Peoples R China; [Chen, Huan-Huan; Qi, Yiquan] Hohai Univ, Coll Oceanog, Nanjing, Jiangsu, Peoples R China; [Chai, Fei] Univ Maine, Sch Marine Sci, Orono, ME USA</t>
  </si>
  <si>
    <t>Ministry of Natural Resources of the People's Republic of China; Hohai University; University of Maine System; University of Maine Orono</t>
  </si>
  <si>
    <t>Wang, YT (corresponding author), Minist Nat Resources, State Key Lab Satellite Ocean Environm Dynam, Inst Oceanog 2, Hangzhou, Zhejiang, Peoples R China.</t>
  </si>
  <si>
    <t>yuntao.wang@sio.org.cn</t>
  </si>
  <si>
    <t>Chen, Huanhuan/HTO-5007-2023; QI, Yiquan/H-2637-2012</t>
  </si>
  <si>
    <t>National Natural Science Foundation of China [41806026, 41890805, 41730536]; Project of State Key Laboratory of Satellite Ocean Environment Dynamics, Second Institute of Oceanography [SOEDZZ1902]</t>
  </si>
  <si>
    <t>National Natural Science Foundation of China(National Natural Science Foundation of China (NSFC)); Project of State Key Laboratory of Satellite Ocean Environment Dynamics, Second Institute of Oceanography</t>
  </si>
  <si>
    <t>The study is financially supported by the National Natural Science Foundation of China (Nos. 41806026, 41890805, and 41730536), and the Project of State Key Laboratory of Satellite Ocean Environment Dynamics, Second Institute of Oceanography (No. SOEDZZ1902).</t>
  </si>
  <si>
    <t>1616-7341</t>
  </si>
  <si>
    <t>1616-7228</t>
  </si>
  <si>
    <t>OCEAN DYNAM</t>
  </si>
  <si>
    <t>Ocean Dyn.</t>
  </si>
  <si>
    <t>10.1007/s10236-019-01310-1</t>
  </si>
  <si>
    <t>NY4NN</t>
  </si>
  <si>
    <t>WOS:000492927500001</t>
  </si>
  <si>
    <t>McGaughran, A; Terauds, A; Convey, P; Fraser, CI</t>
  </si>
  <si>
    <t>McGaughran, Angela; Terauds, Aleks; Convey, Peter; Fraser, Ceridwen, I</t>
  </si>
  <si>
    <t>Genome-wide SNP data reveal improved evidence for Antarctic glacial refugia and dispersal of terrestrial invertebrates</t>
  </si>
  <si>
    <t>MOLECULAR ECOLOGY</t>
  </si>
  <si>
    <t>Antarctic Peninsula; dispersal; mitochondrial; refugia; single-nucleotide polymorphism; springtails</t>
  </si>
  <si>
    <t>SOUTHERN VICTORIA LAND; VARIANT CALL FORMAT; POPULATION-GENETICS; R-PACKAGE; COLLEMBOLA; DIVERSITY; SPRINGTAILS; LIFE; PENINSULA; ISLANDS</t>
  </si>
  <si>
    <t>Antarctica is isolated, surrounded by the Southern Ocean and has experienced extreme environmental conditions for millions of years, including during recent Pleistocene glacial maxima. How Antarctic terrestrial species might have survived these glaciations has been a topic of intense interest, yet many questions remain unanswered, particularly for Antarctica's invertebrate fauna. We examine whether genetic data from a widespread group of terrestrial invertebrates, springtails (Collembola, Isotomidae) of the genus Cryptopygus, show evidence for long-term survival in glacial refugia along the Antarctic Peninsula. We use genome-wide SNP analyses (via genotyping-by-sequencing, GBS) and mitochondrial data to examine population diversity and differentiation across more than 20 sites spanning &gt;950 km on the Peninsula, and from islands both close to the Peninsula and up to similar to 1,900 km away. Population structure analysis indicates the presence of strong local clusters of diversity, and we infer that patterns represent a complex interplay of isolation in local refugia coupled with occasional successful long-distance dispersal events. We identified wind and degree days as significant environmental drivers of genetic diversity, with windier and warmer sites hosting higher diversity. Thus, we infer that refugial areas along the Antarctic Peninsula have allowed populations of indigenous springtails to survive in situ throughout glacial periods. Despite the difficulties of dispersal in cold, desiccating conditions, Cryptopygus springtails on the Peninsula appear to have achieved multiple long-distance colonization events, most likely through wind-related dispersal events.</t>
  </si>
  <si>
    <t>[McGaughran, Angela] Australian Natl Univ, Res Sch Biol, Div Ecol &amp; Evolut, Canberra, ACT 2601, Australia; [McGaughran, Angela] CSIRO, Black Mt Labs, Acton, ACT, Australia; [Terauds, Aleks] Australian Antarctic Div, Dept Energy &amp; Environm, Kingston, Tas, Australia; [Terauds, Aleks; Fraser, Ceridwen, I] Australian Natl Univ, Coll Sci, Fenner Sch Environm &amp; Soc, Canberra, ACT, Australia; [Convey, Peter] British Antarctic Survey, NERC, Cambridge, England; [Fraser, Ceridwen, I] Univ Otago, Dept Marine Sci, Dunedin, New Zealand</t>
  </si>
  <si>
    <t>Australian National University; Commonwealth Scientific &amp; Industrial Research Organisation (CSIRO); Australian Antarctic Division; Australian National University; UK Research &amp; Innovation (UKRI); Natural Environment Research Council (NERC); NERC British Antarctic Survey; University of Otago</t>
  </si>
  <si>
    <t>McGaughran, A (corresponding author), Australian Natl Univ, Res Sch Biol, Div Ecol &amp; Evolut, Canberra, ACT 2601, Australia.</t>
  </si>
  <si>
    <t>ang.mcgaughran@gmail.com; aleks.terauds@gmail.com</t>
  </si>
  <si>
    <t>Convey, Peter/AAV-5728-2020; Terauds, Aleks/A-4991-2010; McGaughran, Angela/C-5916-2014</t>
  </si>
  <si>
    <t>Convey, Peter/0000-0001-8497-9903; McGaughran, Angela/0000-0002-3429-8699; Fraser, Ceridwen/0000-0002-6918-8959; Terauds, Aleks/0000-0001-7804-6648</t>
  </si>
  <si>
    <t>Royal Society of New Zealand [RDF-UOO1803]; Australian Antarctic Science Program [AAS 4296]; Australian Research Council [DE160100685, FT170100281]; National Environment Research Council; British Antarctic Survey; Australian Research Council [DE160100685, FT170100281] Funding Source: Australian Research Council; NERC [bas0100036] Funding Source: UKRI</t>
  </si>
  <si>
    <t>Royal Society of New Zealand(Royal Society of New Zealand); Australian Antarctic Science Program; Australian Research Council(Australian Research Council); National Environment Research Council(UK Research &amp; Innovation (UKRI)Natural Environment Research Council (NERC)); British Antarctic Survey; Australian Research Council(Australian Research Council); NERC(UK Research &amp; Innovation (UKRI)Natural Environment Research Council (NERC))</t>
  </si>
  <si>
    <t>Royal Society of New Zealand, Grant/Award Number: RDF-UOO1803; Australian Antarctic Science Program, Grant/Award Number: AAS 4296; National Environment Research Council; British Antarctic Survey; Australian Research Council, Grant/Award Number: DE160100685 and FT170100281</t>
  </si>
  <si>
    <t>0962-1083</t>
  </si>
  <si>
    <t>1365-294X</t>
  </si>
  <si>
    <t>MOL ECOL</t>
  </si>
  <si>
    <t>Mol. Ecol.</t>
  </si>
  <si>
    <t>10.1111/mec.15269</t>
  </si>
  <si>
    <t>Biochemistry &amp; Molecular Biology; Ecology; Evolutionary Biology</t>
  </si>
  <si>
    <t>Biochemistry &amp; Molecular Biology; Environmental Sciences &amp; Ecology; Evolutionary Biology</t>
  </si>
  <si>
    <t>JN9HN</t>
  </si>
  <si>
    <t>WOS:000492828800001</t>
  </si>
  <si>
    <t>Harvey, VL; Randall, CE; Becker, E; Smith, AK; Bardeen, CG; France, JA; Goncharenko, LP</t>
  </si>
  <si>
    <t>Harvey, V. Lynn; Randall, Cora E.; Becker, Erich; Smith, Anne K.; Bardeen, Charles G.; France, Jeff A.; Goncharenko, Larisa P.</t>
  </si>
  <si>
    <t>Evaluation of the Mesospheric Polar Vortices in WACCM</t>
  </si>
  <si>
    <t>polar vortex; mesosphere; stratosphere; planetary waves; gravity waves; whole atmosphere model</t>
  </si>
  <si>
    <t>STATIONARY PLANETARY-WAVES; LOWER THERMOSPHERE; GENERAL-CIRCULATION; STRATOSPHERIC WARMINGS; CLIMATE MODEL; NITRIC-OXIDE; EOS MLS; MIDDLE; TRANSPORT; VORTEX</t>
  </si>
  <si>
    <t>This work evaluates the wintertime mesospheric polar vortices in the Whole Atmosphere Community Climate Model. Mesospheric altitudes are where high-top models underestimate the concentration of nitrogen oxides produced by energetic particle precipitation. For this reason, we seek to determine the extent to which the observed mesospheric vortex size and frequency of occurrence is reproduced by the model. We compare 13 years (2005-2017) of specified dynamics Whole Atmosphere Community Climate Model (where meteorology in the troposphere and stratosphere is constrained by observations) to Sounding of the Atmosphere using Broadband Emission Radiometry and Mesospheric Limb Sounder observations. Near 75 km, the model reproduces observed winter mesospheric vortex frequency of occurrence rates and size reasonably well. The simulated Antarctic mesospheric vortex is displaced toward the Pacific longitude sector, and the Arctic mesospheric vortex is present 10-20% less often over the pole but similar to 5% more often in midlatitudes, particularly over the continents. These differences are attributed to larger planetary waves in the model. There are significant differences between the modeled and observed mean polar winter circulation near 90 km. Model-measurement differences suggest that the simulated Antarctic mesospheric vortex does not extend to high enough altitudes, and the Arctic mesospheric vortex is too displaced from the pole. Despite these differences, the model accurately captures the evolution of structural changes to the mesospheric vortex following prolonged sudden stratospheric warmings. Thus, we conclude that model underestimates of nitrogen oxides produced by energetic particle precipitation after these warmings are not due to a misrepresentation of the mesospheric vortex strength and size below 80 km.</t>
  </si>
  <si>
    <t>[Harvey, V. Lynn; Randall, Cora E.; Bardeen, Charles G.; France, Jeff A.] Univ Colorado, Lab Atmospher &amp; Space Phys, Boulder, CO 80309 USA; [Harvey, V. Lynn; Randall, Cora E.] Univ Colorado, Dept Atmospher &amp; Ocean Sci, Boulder, CO 80309 USA; [Becker, Erich] Leibniz Inst Atmospher Phys, Kuhlungsborn, Germany; [Smith, Anne K.; Bardeen, Charles G.] Natl Ctr Atmospher Res, POB 3000, Boulder, CO 80307 USA; [France, Jeff A.] GATS Inc, Boulder, CO USA; [Goncharenko, Larisa P.] MIT, Haystack Observ, Westford, MA 01886 USA</t>
  </si>
  <si>
    <t>University of Colorado System; University of Colorado Boulder; University of Colorado System; University of Colorado Boulder; Leibniz Institut fur Atmospharenphysik e.V. an der Universitat Rostock (IAP); National Center Atmospheric Research (NCAR) - USA; Massachusetts Institute of Technology (MIT)</t>
  </si>
  <si>
    <t>Harvey, VL (corresponding author), Univ Colorado, Lab Atmospher &amp; Space Phys, Boulder, CO 80309 USA.;Harvey, VL (corresponding author), Univ Colorado, Dept Atmospher &amp; Ocean Sci, Boulder, CO 80309 USA.</t>
  </si>
  <si>
    <t>lynn.harvey@lasp.colorado.edu</t>
  </si>
  <si>
    <t>France, Jeffrey A/N-4507-2018; HARVEY, V LYNN/M-3995-2017; RANDALL, CORA/L-8760-2014</t>
  </si>
  <si>
    <t>France, Jeffrey A/0000-0003-2446-0303; Goncharenko, Larisa/0000-0001-9031-7439; HARVEY, V LYNN/0000-0002-7928-0804; Becker, Erich/0000-0001-7883-3254; RANDALL, CORA/0000-0002-4313-4397; Smith, Anne/0000-0003-2384-5033</t>
  </si>
  <si>
    <t>National Science Foundation (NSF) Coupling, Energetics, and Dynamics of Atmospheric Regions (CEDAR) [1343031]; NASA Living With a Star grant [NNX14AH54G]; NASA Heliophysics Guest Investigator (HGI) grant [NNX17AB80G]; NASA Heliophysics Supporting Research grant [80NSSC18K1046]; NSF CEDAR grant [AGS 1651428, 1343056]; NASA HGI grant [80NSSC19K0281, NNH15ZDA001N]; NASA Small Explorer Program [NAS5-03132]; U.S. National Science Foundation; Directorate For Geosciences; Div Atmospheric &amp; Geospace Sciences [1343031] Funding Source: National Science Foundation; NASA [NNX17AB80G, 1003831, 683491, NNX14AH54G] Funding Source: Federal RePORTER</t>
  </si>
  <si>
    <t>National Science Foundation (NSF) Coupling, Energetics, and Dynamics of Atmospheric Regions (CEDAR); NASA Living With a Star grant; NASA Heliophysics Guest Investigator (HGI) grant; NASA Heliophysics Supporting Research grant; NSF CEDAR grant; NASA HGI grant; NASA Small Explorer Program; U.S. National Science Foundation(National Science Foundation (NSF)); Directorate For Geosciences; Div Atmospheric &amp; Geospace Sciences(National Science Foundation (NSF)NSF - Directorate for Geosciences (GEO)); NASA(National Aeronautics &amp; Space Administration (NASA))</t>
  </si>
  <si>
    <t>V.L.H. acknowledges support from the National Science Foundation (NSF) Coupling, Energetics, and Dynamics of Atmospheric Regions (CEDAR) grant 1343031, NASA Living With a Star grant NNX14AH54G, NASA Heliophysics Guest Investigator (HGI) grant NNX17AB80G, and NASA Heliophysics Supporting Research grant 80NSSC18K1046. C.E.R. acknowledges support from NSF CEDAR grant AGS 1651428. C.G.B. acknowledges support from NASA HGI grant 80NSSC19K0281. J.A.F. acknowledges support from NASA HGI grant NNH15ZDA001N and the NASA Small Explorer Program through contract NAS5-03132. L.P.G. acknowledges support from NSF CEDAR grant 1343056. The National Center for Atmospheric Research is sponsored by the U.S. National Science Foundation. Computational resources to run WACCM were provided by the National Center for Atmospheric Research Wyoming Supercomputing Center. All of the data shown in this paper are publicly available. MLS v4.2 data are available from the NASA Goddard Space Flight Center for Earth Sciences Data and Information Services Center (DISC) at https://mls.jpl.nasa.gov/data/. SABER data are available at http://saber.gats-inc.com/.MERRA-2 data are available at MDISC, managed by the NASA Goddard Earth Sciences (GES) DISC at https://gmao.gsfc.nasa.gov/reanalysis/. Code and files to run WACCM6 are available from http://www.cesm.ucar.edu/models/cesm2/.</t>
  </si>
  <si>
    <t>OCT 27</t>
  </si>
  <si>
    <t>10.1029/2019JD030727</t>
  </si>
  <si>
    <t>JU0OI</t>
  </si>
  <si>
    <t>WOS:000501378700004</t>
  </si>
  <si>
    <t>Pivot, S; Baroni, M; Bard, E; Giraud, X</t>
  </si>
  <si>
    <t>Pivot, S.; Baroni, M.; Bard, E.; Giraud, X.</t>
  </si>
  <si>
    <t>ASTER Team</t>
  </si>
  <si>
    <t>A Comparison of 36Cl Nuclear Bomb Inputs Deposited in Snow From Vostok and Talos Dome, Antarctica, Using the 36Cl/Cl- ratio</t>
  </si>
  <si>
    <t>Cl-36; Antarctica; HCl mobility; nuclear bomb tests; cosmogenic nuclides; ice core</t>
  </si>
  <si>
    <t>ICE-CORE RECORDS; SEA-SALT AEROSOL; COSMOGENIC NUCLIDE PRODUCTION; POLAR ICE; ATMOSPHERIC TRANSPORT; CHRONOLOGY AICC2012; SOLAR-ACTIVITY; ROUND RECORDS; BE-10; PERCHLORATE</t>
  </si>
  <si>
    <t>Cl-36 production in the atmosphere is modulated by the magnetic field intensity of both the Sun and the Earth. The record of Cl-36 concentration along with that of Be-10 in ice cores may therefore provide information as to their variability. To better understand the Cl-36 signal in glaciological archives, we measured its concentration in Talos Dome snow samples (mean accumulation rate of 8 g cm(-2) year(-1) water equivalent) spanning the 1910 to 1980 CE period with a resolution of one sample every 3 years from 1955 to 1980 C.E., and in Vostok snow samples (mean accumulation rate of 1.96 g cm(-2) year(-1) water equivalent) spanning the 1949 to 2007 CE period with a 6-month resolution that had never before been obtained. Marine nuclear bomb tests in the late 1950s produced anthropogenic Cl-36, which was injected into the stratosphere and spread around the globe. In the late 1950s this anthropogenic pulse led to an increase of Cl-36 concentration at Talos Dome that was more than 100 times higher than the prebomb and postbomb values. It is noteworthy that the atmosphere of Vostok remains polluted by anthropogenic Cl-36 today. This pollution results from gaseous (HCl)-Cl-36 mobility at low accumulation sites and implies re-emission of Cl-36 from the snowpack that is not observed at Talos Dome. The Cl-36/Cl- ratio may be used to discriminate the stratospheric anthropogenic Cl-36 source from the tropospheric natural Cl-36 source, which allows us to discuss the immobile vs. mobile Cl-36 in the Vostok snowpack.</t>
  </si>
  <si>
    <t>[Pivot, S.; Baroni, M.; Bard, E.; Giraud, X.; ASTER Team] Aix Marseille Univ, CNRS, IRD, INRA,Coll France,CEREGE, Aix En Provence, France</t>
  </si>
  <si>
    <t>Centre National de la Recherche Scientifique (CNRS); Institut de Recherche pour le Developpement (IRD); INRAE; Universite PSL; College de France; Aix-Marseille Universite</t>
  </si>
  <si>
    <t>Pivot, S; Baroni, M (corresponding author), Aix Marseille Univ, CNRS, IRD, INRA,Coll France,CEREGE, Aix En Provence, France.</t>
  </si>
  <si>
    <t>pivot@cerege.fr; baroni@cerege.fr</t>
  </si>
  <si>
    <t>Pivot, Sebastien/0000-0002-8546-7616; Bard, Edouard/0000-0002-7237-8622; BARONI, Melanie/0000-0002-2665-4884</t>
  </si>
  <si>
    <t>Agence Nationale de la Recherche (ANR) [ANR-09-BLAN-0003-01, ANR-07-VULN-013]; European Research Council under the European Union's Seventh Framework Program (FP7/2007-2013)/ERC grant [306045]; INSU/CNRS; ANR through the Programme d'Investissements d'Avenir (EQUIPEX project ASTERCEREGE); IRD; Agence Nationale de la Recherche (ANR) [ANR-09-BLAN-0003] Funding Source: Agence Nationale de la Recherche (ANR)</t>
  </si>
  <si>
    <t>Agence Nationale de la Recherche (ANR)(Agence Nationale de la Recherche (ANR)); European Research Council under the European Union's Seventh Framework Program (FP7/2007-2013)/ERC grant(European Research Council (ERC)); INSU/CNRS(Centre National de la Recherche Scientifique (CNRS)); ANR through the Programme d'Investissements d'Avenir (EQUIPEX project ASTERCEREGE)(Agence Nationale de la Recherche (ANR)); IRD; Agence Nationale de la Recherche (ANR)(Agence Nationale de la Recherche (ANR))</t>
  </si>
  <si>
    <t>The data are available in the supporting information. This study is a contribution to the VOLSOL (ANR-09-BLAN-0003-01) and the VANISH (ANR-07-VULN-013) projects, which are funded by the Agence Nationale de la Recherche (ANR). This work has also been supported by the European Research Council under the European Union's Seventh Framework Program (FP7/2007-2013)/ERC grant agreement 306045. The fieldwork at Vostok benefited from logistical support from the Russian Antarctic Expeditions (RAE) with the valuable contribution of J.-R. Petit and V. Lipenkov. The Talos Dome Ice core Project (TALDICE), a joint European program, is funded by national contributions from Italy, France, Germany, Switzerland, and United Kingdom. Primary logistical support was provided by PNRA at Talos Dome. This is TALDICE publication no. 56. We thank the TALDICE logistic and drilling team. We thank P. Ginot and V. Lucaire for the ion chromatography facility at IGE. We thank three anonymous reviewers for their constructive comments. The ASTER AMS national facility (CEREGE, Aixen-Provence) is supported by the INSU/CNRS, the ANR through the Programme d'Investissements d'Avenir (EQUIPEX project ASTERCEREGE), and the IRD.</t>
  </si>
  <si>
    <t>10.1029/2018JD030200</t>
  </si>
  <si>
    <t>WOS:000501378700025</t>
  </si>
  <si>
    <t>Liu, SL; Hu, W; Fang, YZ; Cai, YP; Zhang, JY; Liu, JH; Ding, YT</t>
  </si>
  <si>
    <t>Liu, Shulai; Hu, Wei; Fang, Yizhou; Cai, Yanping; Zhang, Jianyou; Liu, Jianhua; Ding, Yuting</t>
  </si>
  <si>
    <t>Extraction of oil from wet Antarctic krill (Euphausia superba) using a subcritical dimethyl ether method</t>
  </si>
  <si>
    <t>RSC ADVANCES</t>
  </si>
  <si>
    <t>POLYUNSATURATED FATTY-ACIDS; SUPERCRITICAL CO2; LIPIDS; MEAL; MICROALGAE; YIELD</t>
  </si>
  <si>
    <t>In this study, a novel method for obtaining high-quality krill oil from wet Antarctic krill by using subcritical dimethyl ether (SDE) was proposed. A response surface design was used to obtain the best SDE extraction parameters. The optimum extraction efficiency of 93.77 +/- 0.92% was obtained at a stirring speed of 1030 rpm, temperature of 47 degrees C and dynamic extraction time of 90 min. Compared with n-hexane, ethanol, supercritical CO2 and subcritical n-butane extraction, the krill oil extracted by SDE exhibited low peroxide values (1.46 +/- 0.26 mmol kg(-1)), high astaxanthin (218.06 +/- 4.74 mg kg(-1)), phosphatidylcholine (PC) (33.95 +/- 0.65%), and phosphatidylethanolamine (PE) (11.67 +/- 0.23%) content. Moreover, krill oil extracted by SDE has high levels of EPA (16.38 +/- 0.05%) and DHA (7.91 +/- 0.07%). SDE extraction proved to be an efficient and safe method for extraction of quality krill oil from wet Antarctic krill, and it could be a promising method for oil extraction in wet food in future.</t>
  </si>
  <si>
    <t>[Liu, Shulai; Hu, Wei; Cai, Yanping; Zhang, Jianyou; Liu, Jianhua; Ding, Yuting] Zhejiang Univ Technol, Dept Food Sci &amp; Engn, Ocean Coll, Hangzhou 310014, Zhejiang, Peoples R China; [Liu, Shulai; Hu, Wei; Cai, Yanping; Zhang, Jianyou; Liu, Jianhua; Ding, Yuting] Ctr Pelag Aquat Prod Proc Hangzhou, Natl R&amp;D Branch, Hangzhou 310014, Zhejiang, Peoples R China; [Liu, Shulai; Hu, Wei; Cai, Yanping; Zhang, Jianyou; Liu, Jianhua; Ding, Yuting] Dalian Polytech Univ, Collaborat Innovat Ctr Seafood Deep Proc, Dalian, Peoples R China; [Fang, Yizhou] China Jiliang Univ, Key Lab Marine Food Qual &amp; Hazard Controlling Tec, Coll Life Sci, Hangzhou 310018, Zhejiang, Peoples R China</t>
  </si>
  <si>
    <t>Zhejiang University of Technology; Dalian Polytechnic University; China Jiliang University</t>
  </si>
  <si>
    <t>Liu, JH; Ding, YT (corresponding author), Zhejiang Univ Technol, Dept Food Sci &amp; Engn, Ocean Coll, Hangzhou 310014, Zhejiang, Peoples R China.;Liu, JH; Ding, YT (corresponding author), Ctr Pelag Aquat Prod Proc Hangzhou, Natl R&amp;D Branch, Hangzhou 310014, Zhejiang, Peoples R China.;Liu, JH; Ding, YT (corresponding author), Dalian Polytech Univ, Collaborat Innovat Ctr Seafood Deep Proc, Dalian, Peoples R China.</t>
  </si>
  <si>
    <t>jhliu@zjut.edu.cn; dingyt@zjut.edu.cn</t>
  </si>
  <si>
    <t>Fang, Yizhou/Z-1152-2019; ding, yuting/H-4782-2012</t>
  </si>
  <si>
    <t>Fang, Yizhou/0000-0002-1926-0887; Liu, Jianhua/0000-0001-7367-4493; Liu, Shulai/0000-0002-6416-5897</t>
  </si>
  <si>
    <t>Primary Research and Development Plan of Zhejiang Province [2015C02033]</t>
  </si>
  <si>
    <t>Primary Research and Development Plan of Zhejiang Province</t>
  </si>
  <si>
    <t>This work was financially supported by the Primary Research and Development Plan of Zhejiang Province (No. 2015C02033).</t>
  </si>
  <si>
    <t>ROYAL SOC CHEMISTRY</t>
  </si>
  <si>
    <t>THOMAS GRAHAM HOUSE, SCIENCE PARK, MILTON RD, CAMBRIDGE CB4 0WF, CAMBS, ENGLAND</t>
  </si>
  <si>
    <t>2046-2069</t>
  </si>
  <si>
    <t>RSC ADV</t>
  </si>
  <si>
    <t>RSC Adv.</t>
  </si>
  <si>
    <t>10.1039/c9ra06238f</t>
  </si>
  <si>
    <t>JK2NV</t>
  </si>
  <si>
    <t>WOS:000494684600021</t>
  </si>
  <si>
    <t>Van de Vijver, B; Scholberg, P; Lebouvier, M</t>
  </si>
  <si>
    <t>Van de Vijver, Bart; Scholberg, Pieter; Lebouvier, Marc</t>
  </si>
  <si>
    <t>Pinnularia schoelynckiana, a new limnoterrestrial diatom species (Bacillariophyta) from the sub-Antarctic Iles Kerguelen (southern Indian Ocean)</t>
  </si>
  <si>
    <t>Pinnularia; sub-Antarctica; morphology; new species; hot springs</t>
  </si>
  <si>
    <t>FRESH-WATER; COMMUNITIES; ISLAND; DISTANTES; DIVERSITY; REVISION; ECOLOGY; REGION; NOV.; LAKE</t>
  </si>
  <si>
    <t>An unknown Pinnularia taxon was recorded during a survey of the limno-terrestrial diatom flora of some hot springs in the Val Travers area (Grande Terre, Iles Kerguelen, sub-Antarctic region). The morphology of the species was investigated using both light and scanning electron microscopy. Based on these results, the species could not be identified using the currently available literature and is therefore described as a new species: Pinnularia schoelynckiana sp. nov. The new species is characterized by rhombic-lanceolate valves, radiate, geniculate striae changing into strongly convergent near the apices and an undulating, lateral raphe. A detailed morphological comparison is made with similar Pinnularia species, described from the Antarctic Region and worldwide. Brief notes on the associated diatom flora and its ecology are added.</t>
  </si>
  <si>
    <t>[Van de Vijver, Bart; Scholberg, Pieter] Meise Bot Garden, Res Dept, Nieuwelaan 38, B-1860 Meise, Belgium; [Van de Vijver, Bart; Scholberg, Pieter] Univ Antwerp, Dept Biol, ECOBE, Antwerp, Belgium; [Lebouvier, Marc] Univ Rennes 1, UMR 6553, Ecobio CNRS, Paimpont, France</t>
  </si>
  <si>
    <t>University of Antwerp; Universite de Rennes; Centre National de la Recherche Scientifique (CNRS); CNRS - Institute of Ecology &amp; Environment (INEE)</t>
  </si>
  <si>
    <t>French Polar Institute-Paul-Emile Victor [136]</t>
  </si>
  <si>
    <t>French Polar Institute-Paul-Emile Victor</t>
  </si>
  <si>
    <t>Sampling on Kerguelen has been made possible thanks to the logistic and financial support of the French Polar Institute-Paul-Emile Victor in the framework of the research program 136 (Marc Lebouvier and Yves Frenot). Prof. Luc Ector and an anonymous reviewer are thanked for their excellent help in ameliorating this manuscript.</t>
  </si>
  <si>
    <t>10.1080/23818107.2019.1675185</t>
  </si>
  <si>
    <t>WOS:000492240700001</t>
  </si>
  <si>
    <t>Zhou, CX; Liang, Q; Chen, YM; Lei, HB; Fu, Z; Zheng, L; Liu, RX</t>
  </si>
  <si>
    <t>Zhou, Chunxia; Liang, Qi; Chen, Yiming; Lei, Haobo; Fu, Zheng; Zheng, Lei; Liu, Ruixi</t>
  </si>
  <si>
    <t>Mass Balance Assessment of the Amery Ice Shelf Basin, East Antarctica</t>
  </si>
  <si>
    <t>RADAR INTERFEROMETRY; SURFACE; GLACIER; CLIMATE; VELOCITY; SYSTEM; FLOW; REASSESSMENT; THICKNESS; GRAVITY</t>
  </si>
  <si>
    <t>The Lambert Glacier-Amery Ice Shelf (AIS) System is the largest glacial system in East Antarctica. Accurate estimation of its mass balance is imperative for reducing the uncertainty in evaluating the sea-level contribution from the East Antarctic Ice Sheet. Here, we present a comprehensive investigation of the mass balance of the AIS basin. We measured the ice velocity with Sentinel-1 synthetic-aperture radar data acquired in 2016. The ice thickness data from the radio echo-sounding measurements were combined with the surface mass balance data from the new Regional Atmospheric Climate Model, from which the mass balance of the AIS basin was estimated. Our estimates suggest a slight positive mass balance of 3.1 +/- 9.4 Gt/year in 2016. We found that the short-term fluctuations in the surface mass balance dramatically affect the AIS mass balance. A comparison with previous estimates confirms the long-term positive mass balance trend.</t>
  </si>
  <si>
    <t>[Zhou, Chunxia; Liang, Qi; Chen, Yiming; Lei, Haobo; Fu, Zheng; Zheng, Lei; Liu, Ruixi] Wuhan Univ, Chinese Antarctic Ctr Surveying &amp; Mapping, Wuhan, Hubei, Peoples R China; [Zhou, Chunxia; Chen, Yiming; Lei, Haobo; Fu, Zheng; Zheng, Lei; Liu, Ruixi] Wuhan Univ, Key Lab Polar Surveying &amp; Mapping, Natl Adm Surveying Mapping &amp; Geoinformat, Wuhan, Hubei, Peoples R China; [Liang, Qi] Wuhan Inst Technol, Sch Civil Engn &amp; Architecture, Wuhan, Hubei, Peoples R China</t>
  </si>
  <si>
    <t>Wuhan University; Wuhan University; Wuhan Institute of Technology</t>
  </si>
  <si>
    <t>Liang, Q (corresponding author), Wuhan Univ, Chinese Antarctic Ctr Surveying &amp; Mapping, Wuhan, Hubei, Peoples R China.;Liang, Q (corresponding author), Wuhan Inst Technol, Sch Civil Engn &amp; Architecture, Wuhan, Hubei, Peoples R China.</t>
  </si>
  <si>
    <t>qi.liang.whu@gmail.com</t>
  </si>
  <si>
    <t>ZHOU, Chunxia/AAU-2909-2020; Zheng, Lei/AAU-3788-2020; Liang, Qi/AAI-4973-2020</t>
  </si>
  <si>
    <t>Chen, Yiming/0000-0002-6886-1179; Liang, Qi/0000-0002-6766-9361</t>
  </si>
  <si>
    <t>National Natural Science Foundation of China [41531069, 41776200]; Funds for Distinguished Young Scientists of Hubei Province (China) [2019CFA057]</t>
  </si>
  <si>
    <t>National Natural Science Foundation of China(National Natural Science Foundation of China (NSFC)); Funds for Distinguished Young Scientists of Hubei Province (China)</t>
  </si>
  <si>
    <t>This research is funded by the National Natural Science Foundation of China (41531069 and 41776200) and the Funds for Distinguished Young Scientists of Hubei Province (China) (2019CFA057). The authors would like to thank two anonymous reviewers for their helpful suggestions. The Sentinel-1 data and the AADC ice thickness datasets were downloaded from the European Space Agency (https://scihub.copernicus.eu/dhus/#/home) and Australian Antarctic Data Centre (https://data.aad.gov.au/metadata/records/AIS_thickness_bottom), respectively. The SMB output from RACMO 2.3p1/2.3p2, firn air content data, and ice thickness data from the PCMEGA aerogeophysical campaign are available and can be obtained by contacting J. M. van Wessem, S. R. M. Ligtenberg, and V. Damm, respectively.</t>
  </si>
  <si>
    <t>10.1029/2019EA000596</t>
  </si>
  <si>
    <t>WOS:000492415300001</t>
  </si>
  <si>
    <t>De Rydt, J; Gudmundsson, GH; Nagler, T; Wuite, J</t>
  </si>
  <si>
    <t>De Rydt, Jan; Gudmundsson, Gudmundur Hilmar; Nagler, Thomas; Wuite, Jan</t>
  </si>
  <si>
    <t>Calving cycle of the Brunt Ice Shelf, Antarctica, driven by changes in ice shelf geometry</t>
  </si>
  <si>
    <t>FRACTURE-MECHANICS APPROACH; RIFT PROPAGATION; ELEVATION MODEL; SHEET; FLOW; STABILITY; GLACIERS; DISINTEGRATION; PENETRATION; VARIABILITY</t>
  </si>
  <si>
    <t>Despite the potentially detrimental impact of large-scale calving events on the geometry and ice flow of the Antarctic Ice Sheet, little is known about the processes that drive rift formation prior to calving, or what controls the timing of these events. The Brunt Ice Shelf in East Antarctica presents a rare natural laboratory to study these processes, following the recent formation of two rifts, each now exceeding 50 km in length. Here we use 2 decades of in situ and remote sensing observations, together with numerical modelling, to reveal how slow changes in ice shelf geometry over time caused build-up of mechanical tension far upstream of the ice front, and culminated in rift formation and a significant speed-up of the ice shelf. These internal feedbacks, whereby ice shelves generate the very conditions that lead to their own (partial) disintegration, are currently missing from ice flow models, which severely limits their ability to accurately predict future sea level rise.</t>
  </si>
  <si>
    <t>[De Rydt, Jan; Gudmundsson, Gudmundur Hilmar] Northumbria Univ, Dept Geog &amp; Environm Sci, Newcastle Upon Tyne, Tyne &amp; Wear, England; [Nagler, Thomas; Wuite, Jan] ENVEO Environm Earth Observat, Innsbruck, Austria</t>
  </si>
  <si>
    <t>Northumbria University</t>
  </si>
  <si>
    <t>De Rydt, J (corresponding author), Northumbria Univ, Dept Geog &amp; Environm Sci, Newcastle Upon Tyne, Tyne &amp; Wear, England.</t>
  </si>
  <si>
    <t>jan.rydt@northumbria.ac.uk</t>
  </si>
  <si>
    <t>Gudmundsson, Gudmundur Hilmar/AAU-5987-2020; De Rydt, Jan/H-5692-2018</t>
  </si>
  <si>
    <t>Gudmundsson, Gudmundur Hilmar/0000-0003-4236-5369; Wuite, Jan/0000-0001-9333-1586; De Rydt, Jan/0000-0002-2978-8706</t>
  </si>
  <si>
    <t>ESA Antarctic Ice Sheet CCI programme; Austrian Space Applications Programme; Natural Environmental Research Council UK; Northumbria University</t>
  </si>
  <si>
    <t>ESA Antarctic Ice Sheet CCI programme; Austrian Space Applications Programme; Natural Environmental Research Council UK(UK Research &amp; Innovation (UKRI)Natural Environment Research Council (NERC)); Northumbria University</t>
  </si>
  <si>
    <t>This research has been supported by the ESA Antarctic Ice Sheet CCI programme, the Austrian Space Applications Programme, the Natural Environmental Research Council UK, and Northumbria University.</t>
  </si>
  <si>
    <t>OCT 25</t>
  </si>
  <si>
    <t>10.5194/tc-13-2771-2019</t>
  </si>
  <si>
    <t>JH5VO</t>
  </si>
  <si>
    <t>WOS:000492837200001</t>
  </si>
  <si>
    <t>Hamilton, V; Evans, K; Raymond, B; Betty, E; Hindell, MA</t>
  </si>
  <si>
    <t>Hamilton, Vicki; Evans, Karen; Raymond, Ben; Betty, Emma; Hindell, Mark A.</t>
  </si>
  <si>
    <t>Spatial variability in responses to environmental conditions in Southern Hemisphere long-finned pilot whales</t>
  </si>
  <si>
    <t>Energy budget; Tooth growth chronology; Globicephala melas; Indian Ocean Dipole; Southern Oscillation Index; Sea surface temperature</t>
  </si>
  <si>
    <t>EAST AUSTRALIAN CURRENT; NEW-ZEALAND; CLIMATE-CHANGE; GLOBICEPHALA-MELAS; WATER TEMPERATURE; SOCIAL-STRUCTURE; STOMACH CONTENTS; NORTH-ATLANTIC; SPERM-WHALES; TOOTH GROWTH</t>
  </si>
  <si>
    <t>Investigating past responses to variations in the marine environment can provide insights into how species might respond to future change. Using long-finned pilot whales Globicephala melas stranded in New Zealand (2011) and Australia (2012), we investigated relationships between tooth growth chronologies, as a proxy for energy budgets (which underpin population state), and interannual variations in broad-scale climate indices (Southern Oscillation Index [SOI], Indian Ocean Dipole [IOD]) and spatially explicit, seasonally averaged sea surface temperature (SST). Tooth chronologies from pilot whales that stranded in Australia had a positive relationship with the SOI and a negative relationship with the IOD. Those from New Zealand had a positive relationship with the SOI, but at a 1 yr lag. Positive SOI and negative IOD conditions are associated with increased storm activity across the southern Australian/New Zealand region. The resulting changes in regional SST, currents and frontal activity likely influences the distribution of prey resources and associated high-order predators such as pilot whales. Correlation maps between tooth growth chronologies and SSTs suggest differences in habitat utilisation between the 2 regional groups, with pilot whales stranded in Australia associating with the subtropical and subantarctic fronts south of Tasmania, and those stranded in New Zealand associating with a number of regions of seasonally enhanced productivity close to New Zealand. This study greatly enhances our understanding of the environmental conditions influencing populations of an insufficiently studied species in the region.</t>
  </si>
  <si>
    <t>[Hamilton, Vicki; Evans, Karen; Raymond, Ben; Hindell, Mark A.] Univ Tasmania, Inst Marine &amp; Antarctic Studies, Hobart, Tas 7000, Australia; [Evans, Karen] CSIRO Oceans &amp; Atmosphere, Hobart, Tas 7000, Australia; [Raymond, Ben] Dept Environm &amp; Energy, Australian Antarctic Div, Kingston, Tas 7050, Australia; [Raymond, Ben; Hindell, Mark A.] Antarctic Climate &amp; Ecosyst CRC, Hobart, Tas 7000, Australia; [Betty, Emma] Auckland Univ Technol, Faulty Hlth &amp; Environm Sci, Sch Sci, Auckland 1142, New Zealand; [Betty, Emma] Massey Univ, Coll Sci, Sch Nat &amp; Computat Sci, Auckland 0745, New Zealand</t>
  </si>
  <si>
    <t>University of Tasmania; Commonwealth Scientific &amp; Industrial Research Organisation (CSIRO); Australian Antarctic Division; University of Tasmania; Auckland University of Technology; Massey University</t>
  </si>
  <si>
    <t>Hamilton, V (corresponding author), Univ Tasmania, Inst Marine &amp; Antarctic Studies, Hobart, Tas 7000, Australia.</t>
  </si>
  <si>
    <t>vicki.hamilton@utas.edu.au</t>
  </si>
  <si>
    <t>Betty, Emma L./P-9625-2019; Hindell, Mark A/K-1131-2013</t>
  </si>
  <si>
    <t>Betty, Emma L./0000-0002-9187-1957; Evans, Karen/0000-0003-2205-4264</t>
  </si>
  <si>
    <t>Winifred Violet Scott Charitable Trust; Ethel Mary Read Research Grant (RZSNSW); Australian Government Research Training Program Scholarship</t>
  </si>
  <si>
    <t>Winifred Violet Scott Charitable Trust; Ethel Mary Read Research Grant (RZSNSW); Australian Government Research Training Program Scholarship(Australian GovernmentDepartment of Industry, Innovation and Science)</t>
  </si>
  <si>
    <t>This research was supported by funding from the Winifred Violet Scott Charitable Trust and the Ethel Mary Read Research Grant (RZSNSW). V.H. was supported through an Australian Government Research Training Program Scholarship. Rakiura (Stewart Island) pilot whale tooth samples were collected under permit DOCDM-324868, issued to E.B. by the New Zealand Department of Conservation (DOC). We thank the many individuals involved with the New Zealand Rakiura stranding, including representatives from Ngai Tahu iwi, Brent Beaven and Sharon Pascoe (DOC Rakiura Field Centre), and Rakiura Helicopters. Severine Hannam, Nik Hannam, Jessie Williams and Jeanie Fay are thanked for assistance with field sampling. King Island pilot whale tooth samples were collected under permit FA12255, provided by the Marine Conservation Program, Department of Primary Industries, Parks, Water and Environment (DPIPWE). We thank Kris Carlyon (DPIPWE) and Shelley Graham (Parks and Wildlife Service Tasmania) for assistance. Ben Arthur, Owen Daniel and Delphi Ward provided valuable assistance in the field. Dirk Welsford, Gabrielle Nowara and Bryn Farmer (Australian Antarctic Division) are thanked for laboratory access and assistance. Catherine Kemper (Marine Mammal Ageing Facility, South Australian Museum) is gratefully thanked for assistance with preparation of pilot whale teeth and access to facilities. Concepts in this paper were motivated by discussions had as part of the IMBeR Climate Impacts on Top Predators (CLIOTOP) regional programme. Two anonymous reviewers are thanked for their helpful comments on an earlier version of this manuscript.</t>
  </si>
  <si>
    <t>OCT 24</t>
  </si>
  <si>
    <t>10.3354/meps13109</t>
  </si>
  <si>
    <t>KW4XD</t>
  </si>
  <si>
    <t>WOS:000521168400014</t>
  </si>
  <si>
    <t>Baylis, AMM; Orben, RA; Arkhipkin, AA; Barton, J; Brownell, RL; Staniland, IJ; Brickle, P</t>
  </si>
  <si>
    <t>Baylis, Alastair M. M.; Orben, Rachael A.; Arkhipkin, Alexander A.; Barton, John; Brownell, Robert L., Jr.; Staniland, Iain J.; Brickle, Paul</t>
  </si>
  <si>
    <t>Re-evaluating the population size of South American fur seals and conservation implications</t>
  </si>
  <si>
    <t>AQUATIC CONSERVATION-MARINE AND FRESHWATER ECOSYSTEMS</t>
  </si>
  <si>
    <t>population census; South American fur seals; South Atlantic; unmanned aerial vehicle</t>
  </si>
  <si>
    <t>ARCTOCEPHALUS-AUSTRALIS; GUAFO ISLAND; PUP COUNTS; ABUNDANCE; DECLINE; TRENDS</t>
  </si>
  <si>
    <t>South American fur seals (Arctocephalus australis) are widely distributed, yet surprisingly little is known about their ecology. In particular, population data are sparse and outdated for many breeding locations, including the Falkland Islands. Data deficiency impedes the development of coherent conservation and management strategies. To address knowledge gaps, for the first time since 1965 an archipelago-wide census of South American fur seals breeding at the Falkland Islands was undertaken, which provided the first pup abundance estimate since 1926 - data that are critical for assessing population trends. In total, 36,425 South American fur seal pups were counted at the Falkland Islands in 2018, a greater than four-fold increase since the last census, and far greater than the 7,990 pups counted in Uruguay, which was presumed to be the largest South American fur seal population in the world. Hence, based on pup abundance, the Falkland Islands is presently the largest population of South American fur seals, even when considering a correction factor of 3.9 that was applied to pup counts in Uruguay, which yielded an estimated 31,160 pups. The results redefine South American fur seal abundance, the contribution of breeding locations (Falkland Islands, Uruguay, Argentina, Chile) and the distribution of breeding colonies at the Falkland Islands, which has far reaching implications for conservation and management. In particular, the present study has effectively doubled the Atlantic population size of the species, which is now estimated to comprise about 76,000 pups, of which the Falkland Islands accounts for 48% and Uruguay 41%. Accordingly, changes in the number of South American fur seals breeding at the Falkland Islands will influence the global population trends and conservation status of the species. Monitoring South American fur seals breeding at the Falkland Islands is therefore crucial to understand the impacts of anthropogenic pressures, such as fisheries, and to inform management and conservation policy. The results provide a baseline from which to measure changes in abundance.</t>
  </si>
  <si>
    <t>[Baylis, Alastair M. M.; Brickle, Paul] South Atlantic Environm Res Inst, Stanley, Falkland Island; [Baylis, Alastair M. M.] Macquarie Univ, Dept Biol Sci, Sydney, NSW, Australia; [Orben, Rachael A.] Oregon State Univ, Dept Fisheries &amp; Wildlife, Hatfield Marine Sci Ctr, Newport, OR USA; [Arkhipkin, Alexander A.; Barton, John] Falkland Isl Govt Fisheries Dept, Stanley, Falkland Island; [Brownell, Robert L., Jr.] NOAA Fisheries, Southwest Fisheries Sci Ctr, Monterey, CA USA; [Staniland, Iain J.] British Antarctic Survey, NERC, Cambridge, England; [Brickle, Paul] Univ Aberdeen, Sch Biol Sci Zool, Aberdeen, Scotland</t>
  </si>
  <si>
    <t>Macquarie University; Oregon State University; National Oceanic Atmospheric Admin (NOAA) - USA; UK Research &amp; Innovation (UKRI); Natural Environment Research Council (NERC); NERC British Antarctic Survey; University of Aberdeen</t>
  </si>
  <si>
    <t>Baylis, AMM (corresponding author), South Atlantic Environm Res Inst, Stanley, Falkland Island.</t>
  </si>
  <si>
    <t>al_baylis@yahoo.com.au</t>
  </si>
  <si>
    <t>Staniland, Iain/I-4725-2012; Baylis, Alastair/H-9471-2019; Orben, Rachael A./H-9460-2019; Barton, Jack/U-2438-2019</t>
  </si>
  <si>
    <t>Staniland, Iain/0000-0003-2736-9134; Baylis, Alastair/0000-0002-5167-0472; Orben, Rachael A./0000-0002-0802-407X; Barton, Jack/0000-0002-4483-5179; Brickle, Paul/0000-0002-9870-3518</t>
  </si>
  <si>
    <t>Falkland Islands Government; NERC [bas0100035] Funding Source: UKRI</t>
  </si>
  <si>
    <t>Falkland Islands Government; NERC(UK Research &amp; Innovation (UKRI)Natural Environment Research Council (NERC))</t>
  </si>
  <si>
    <t>Falkland Islands Government, Grant/Award Number: NA</t>
  </si>
  <si>
    <t>1052-7613</t>
  </si>
  <si>
    <t>1099-0755</t>
  </si>
  <si>
    <t>AQUAT CONSERV</t>
  </si>
  <si>
    <t>Aquat. Conserv.-Mar. Freshw. Ecosyst.</t>
  </si>
  <si>
    <t>10.1002/aqc.3194</t>
  </si>
  <si>
    <t>Environmental Sciences; Marine &amp; Freshwater Biology; Water Resources</t>
  </si>
  <si>
    <t>Environmental Sciences &amp; Ecology; Marine &amp; Freshwater Biology; Water Resources</t>
  </si>
  <si>
    <t>JN2ZO</t>
  </si>
  <si>
    <t>WOS:000492086200001</t>
  </si>
  <si>
    <t>Tanabe, A; Shimizu, R; Osawa, Y; Suzuki, M; Ito, S; Goto, M; Pastene, LA; Fujise, Y; Sahara, H</t>
  </si>
  <si>
    <t>Tanabe, Atsushi; Shimizu, Risa; Osawa, Yui; Suzuki, Machi; Ito, Saki; Goto, Mutsuo; Pastene, Luis A.; Fujise, Yoshihiro; Sahara, Hiroeki</t>
  </si>
  <si>
    <t>Age estimation by DNA methylation in the Antarctic minke whale</t>
  </si>
  <si>
    <t>Whale; Epigenetics; DNA methylation; Age-related CpG</t>
  </si>
  <si>
    <t>GENE</t>
  </si>
  <si>
    <t>Determining the age of wild animals is very important in the study of their ecology and for stock assessment and management. In baleen whales, the most common approach for age estimation is by counting the growth layers appearing in earplugs. Although this method is actually considered the most reliable tool for age determination in whales, it cannot be performed on free-ranging individuals. A recent study reported that the CpG methylation frequency of specific genes (GRIA2 and CDKN2A) correlated significantly with age in humpback whales. The implication of this result is that DNA analysis based on biopsy samples is a potentially useful approach for age estimation in free-ranging whales. In this study, we investigated whether the age-related CpG sites in the GRIA2 and CDKN2A genes found in humpback whales are also found in Antarctic minke whales. Results showed that the CpG methylation frequency of the GRIA2 gene correlated positively with age in Antarctic minke whales, although the CpG sites were different from those in humpback whales. These findings suggest that age-related CpGs (AR-CpGs) can differ even between closely related species, and that it is necessary to find species-specific AR-CpGs for estimating animal age from DNA methylation patterns.</t>
  </si>
  <si>
    <t>[Tanabe, Atsushi; Shimizu, Risa; Osawa, Yui; Suzuki, Machi; Ito, Saki; Sahara, Hiroeki] Azabu Univ, Sch Vet Med, Lab Biol, Chuo Ku, 1-17-71 Fuchinobe, Sagamihara, Kanagawa 2525201, Japan; [Goto, Mutsuo; Pastene, Luis A.; Fujise, Yoshihiro] Inst Cetacean Res, Chuo Ku, 4-5 Toyomi Cho, Tokyo 1040055, Japan</t>
  </si>
  <si>
    <t>Azabu University</t>
  </si>
  <si>
    <t>Sahara, H (corresponding author), Azabu Univ, Sch Vet Med, Lab Biol, Chuo Ku, 1-17-71 Fuchinobe, Sagamihara, Kanagawa 2525201, Japan.</t>
  </si>
  <si>
    <t>sahara@azabu-u.ac.jp</t>
  </si>
  <si>
    <t>Sahara, Hiroeki/0000-0003-1070-3810</t>
  </si>
  <si>
    <t>10.1007/s12562-019-01371-7</t>
  </si>
  <si>
    <t>KJ2XG</t>
  </si>
  <si>
    <t>WOS:000492357600001</t>
  </si>
  <si>
    <t>Dickens, WA; Kuhn, G; Leng, MJ; Graham, AGC; Dowdeswell, JA; Meredith, MP; Hillenbrand, CD; Hodgson, DA; Roberts, SJ; Sloane, H; Smith, JA</t>
  </si>
  <si>
    <t>Dickens, W. A.; Kuhn, G.; Leng, M. J.; Graham, A. G. C.; Dowdeswell, J. A.; Meredith, M. P.; Hillenbrand, C. -D.; Hodgson, D. A.; Roberts, S. J.; Sloane, H.; Smith, J. A.</t>
  </si>
  <si>
    <t>Enhanced glacial discharge from the eastern Antarctic Peninsula since the 1700s associated with a positive Southern Annular Mode</t>
  </si>
  <si>
    <t>HEMISPHERE WESTERLY WINDS; ICE-SHELF; SURFACE-TEMPERATURE; HOLOCENE CLIMATE; OCEAN; VARIABILITY; MELT; ICEBERGS; IMPACT; WATER</t>
  </si>
  <si>
    <t>The Antarctic Peninsula Ice Sheet is currently experiencing sustained and accelerating loss of ice. Determining when these changes were initiated and identifying the main drivers is hampered by the short instrumental record (1992 to present). Here we present a 6,250 year record of glacial discharge based on the oxygen isotope composition of diatoms (delta O-18(diatom)) from a marine core located at the north-eastern tip of the Antarctic Peninsula. We find that glacial discharge - sourced primarily from ice shelf and iceberg melting along the eastern Antarctic Peninsula - remained largely stable between similar to 6,250 to 1,620 cal. yr BP, with a slight increase in variability until similar to 720 cal. yr. BP. An increasing trend in glacial discharge occurs after 550 cal. yr BP (A.D. 1400), reaching levels unprecedented during the past 6,250 years after 244 cal. yr BP (A.D. 1706). A marked acceleration in the rate of glacial discharge is also observed in the early part of twentieth century (after A.D. 1912). Enhanced glacial discharge, particularly after the 1700s is linked to a positive Southern Annular Mode (SAM). We argue that a positive SAM drove stronger westerly winds, atmospheric warming and surface ablation on the eastern Antarctic Peninsula whilst simultaneously entraining more warm water into the Weddell Gyre, potentially increasing melting on the undersides of ice shelves. A possible implication of our data is that ice shelves in this region have been thinning for at least similar to 300 years, potentially predisposing them to collapse under intensified anthropogenic warming.</t>
  </si>
  <si>
    <t>[Dickens, W. A.; Meredith, M. P.; Hillenbrand, C. -D.; Hodgson, D. A.; Roberts, S. J.; Smith, J. A.] British Antarctic Survey, Madingley Rd, Cambridge CB3 0ET, England; [Dickens, W. A.; Kuhn, G.] Helmholtz Zentrum Polar &amp; Meeresforsch, Alfred Wegener Inst, Bremerhaven, Germany; [Leng, M. J.; Sloane, H.] British Geol Survey, NERC Isotope Geosci Lab, Nottingham NG12 5GG, England; [Graham, A. G. C.] Univ S Florida, Coll Marine Sci, St Petersburg, FL 33701 USA; [Dickens, W. A.; Dowdeswell, J. A.] Univ Cambridge, Scott Polar Res Inst, Cambridge CB2 1ER, England</t>
  </si>
  <si>
    <t>UK Research &amp; Innovation (UKRI); Natural Environment Research Council (NERC); NERC British Antarctic Survey; Helmholtz Association; Alfred Wegener Institute, Helmholtz Centre for Polar &amp; Marine Research; UK Research &amp; Innovation (UKRI); Natural Environment Research Council (NERC); NERC British Geological Survey; State University System of Florida; University of South Florida; University of Cambridge</t>
  </si>
  <si>
    <t>Roberts, Stephen/0000-0003-3407-9127; Kuhn, Gerhard/0000-0001-6069-7485; Dowdeswell, Julian/0000-0003-1369-9482; Meredith, Michael/0000-0002-7342-7756</t>
  </si>
  <si>
    <t>NERC [NE/M013081/1]; AWI; AWI (Helmholtz Association); Natural Environment Research Council [NE/M013081/1] Funding Source: researchfish; NERC [NE/K004514/1, bas0100030, NE/M013081/1] Funding Source: UKRI</t>
  </si>
  <si>
    <t>NERC(UK Research &amp; Innovation (UKRI)Natural Environment Research Council (NERC)); AWI; AWI (Helmholtz Association); Natural Environment Research Council(UK Research &amp; Innovation (UKRI)Natural Environment Research Council (NERC)); NERC(UK Research &amp; Innovation (UKRI)Natural Environment Research Council (NERC))</t>
  </si>
  <si>
    <t>We thank the captains, crew and scientists who participated in PS67. This study was undertaken while W.A.D. was in receipt of a NERC-funded PhD, carried out at the University of Cambridge and British Antarctic Survey as well as a visiting fellowship at AWI. This study is part of Alfred Wegener Institute (AWI) Helmholtz Centre for Polar and Marine Research research programme Polar Regions and Coasts in the changing Earth System (PACES II; G.K.) and the British Antarctic Survey Polar Science for Planet Earth Programme (J.A.S., C.-D.H., M.P.M., D.A.H., S.J.R.). Work was funded by AWI (Helmholtz Association) and NERC-grant NE/M013081/1. We thank Rita Frohlking and Susanne Wiebe (both AWI) and Andrea Snelling (NIGL) for their expert help with laboratory work.</t>
  </si>
  <si>
    <t>10.1038/s41598-019-50897-4</t>
  </si>
  <si>
    <t>JG5WD</t>
  </si>
  <si>
    <t>gold, Green Published, Green Accepted, Green Submitted</t>
  </si>
  <si>
    <t>WOS:000492142200001</t>
  </si>
  <si>
    <t>Kashino, Y; Hasegawa, T; Syamsudin, F; Ueki, I</t>
  </si>
  <si>
    <t>Kashino, Yuji; Hasegawa, Takuya; Syamsudin, Fadli; Ueki, Iwao</t>
  </si>
  <si>
    <t>Temperature and salinity variability at intermediate depths in the western equatorial Pacific revealed by TRITON buoy data</t>
  </si>
  <si>
    <t>JOURNAL OF OCEANOGRAPHY</t>
  </si>
  <si>
    <t>TRITON buoy; Intermediate depths; Western equatorial pacific; North Pacific Intermediate Water; Antarctic Intermediate Water</t>
  </si>
  <si>
    <t>NEW-GUINEA; WATER; NORTH; MINDANAO; UNDERCURRENT; EAST; INTRUSION; PATHWAYS; CURRENTS</t>
  </si>
  <si>
    <t>We investigated ocean variability at intermediate depths (300-750 m) in the western equatorial Pacific (WEP) using data from underwater sensors of the Triangle Trans-Ocean Buoy Network (TRITON) buoys. The data were specially processed because high accuracy is necessary for such an application, and we confirmed that sufficient accuracy was achieved. Variability of the temperature and salinity was large in the western boundary regions of the WEP. Seasonal variability is generally dominant at intermediate depths in the WEP; however, intraseasonal variability with period of 30-80 days is not negligible, particularly at 2 degrees N, 138 degrees E, where the New Guinea Coastal Undercurrent retroflects to the east as the Equatorial Undercurrent and/or Northern Subsurface Countercurrent. High correlation is seen between 12-month running means of the Nino 3.4 index anomaly and temperature at 300 and 750 dbar. In other words, the influence of El Nino/Southern Oscillation phenomena reaches to at least a depth of 750 dbar. We found a decreasing trend in salinity at intermediate depths in the WEP: - 0.0032 Practical Salinity Unit (PSU) year(-1) at 300 dbar and - 0.00053 PSU year(-1) at 750 dbar. This trend is likely associated with the freshening of the North Pacific Intermediate Water and Antarctic Intermediate Water.</t>
  </si>
  <si>
    <t>[Kashino, Yuji] Natl Fisheries Univ, Dept Fishery Sci &amp; Technol, 2-7-1 Nagata Honmachi, Shimonoseki, Yamaguchi 7596595, Japan; [Hasegawa, Takuya] Tohoku Univ, Grad Sch Sci, Sendai, Miyagi, Japan; [Syamsudin, Fadli] Badan Pengkajian Dan Penerapan Teknol, Jakarta, Indonesia; [Ueki, Iwao] Japan Agcy Marine Earth Sci &amp; Technol, Global Ocean Observat Res Ctr, Yokosuka, Kanagawa, Japan</t>
  </si>
  <si>
    <t>Japan Fisheries Research &amp; Education Agency (FRA); Tohoku University; National Research &amp; Innovation Agency of Indonesia (BRIN); Agency for the Assessment &amp; Application of Technology (BPPT); Japan Agency for Marine-Earth Science &amp; Technology (JAMSTEC)</t>
  </si>
  <si>
    <t>Kashino, Y (corresponding author), Natl Fisheries Univ, Dept Fishery Sci &amp; Technol, 2-7-1 Nagata Honmachi, Shimonoseki, Yamaguchi 7596595, Japan.</t>
  </si>
  <si>
    <t>kashinoy@fish-u.ac.jp</t>
  </si>
  <si>
    <t>Kashino, Yuji/0000-0001-8841-6526</t>
  </si>
  <si>
    <t>Tropical Ocean Climate Study (TOCS) project of the Japan Agency for Marine-Earth Science and Technology (JAMSTEC); Triangle Trans-Ocean Buoy Network (TRITON) project of the Japan Agency for Marine-Earth Science and Technology (JAMSTEC); JAMSTEC</t>
  </si>
  <si>
    <t>This study was supported by the Tropical Ocean Climate Study (TOCS) and the Triangle Trans-Ocean Buoy Network (TRITON) projects of the Japan Agency for Marine-Earth Science and Technology (JAMSTEC). The observation cruises and maintenance of the TRITON moorings in the Indonesian Exclusive Economic Zone were carried out jointly by JAMSTEC and Badan Pengkajian Dan Penerapan Teknologi (BPPT), Indonesia. The TRITON buoys were maintained during cruises of the R/Vs Kaiyo, Mirai, and Yokosuka. We thank the crews of these vessels as well as technicians from Marine Works Japan Co., Ltd. and Nippon Marine Enterprises, Ltd., and all persons related to the above projects. In particular, the late captain Yasushi Ishioka, who passed away on 20 April 2016, largely contributed to many cruises of R/V Mirai. We also extend our special thanks to Masaki Taguchi, Tetsuya Nagahama, and Takayuki Hashimukai, who are technicians of Marine Works Japan Co., Ltd., for their work on quality control for the TRITON buoy data. Comments by Yoshifumi Kuroda and anonymous reviewers were helpful for this research. The OFES simulation was conducted on the Earth Simulator under the support of JAMSTEC. Its data are available at the web page of the Asian-Pacific Data-Research Center of the International Pacific Research Center (http://apdrc.soest.hawaii.edu/).</t>
  </si>
  <si>
    <t>0916-8370</t>
  </si>
  <si>
    <t>1573-868X</t>
  </si>
  <si>
    <t>J OCEANOGR</t>
  </si>
  <si>
    <t>J. Oceanogr.</t>
  </si>
  <si>
    <t>10.1007/s10872-019-00530-9</t>
  </si>
  <si>
    <t>KO1XF</t>
  </si>
  <si>
    <t>WOS:000492331600001</t>
  </si>
  <si>
    <t>Molina-Montenegro, MA; Bergstrom, DM; Chwedorzewska, KJ; Convey, P; Chown, SL</t>
  </si>
  <si>
    <t>Molina-Montenegro, Marco A.; Bergstrom, Dana M.; Chwedorzewska, Katarzyna J.; Convey, Peter; Chown, Steven L.</t>
  </si>
  <si>
    <t>Increasing impacts by Antarctica's most widespread invasive plant species as result of direct competition with native vascular plants</t>
  </si>
  <si>
    <t>NEOBIOTA</t>
  </si>
  <si>
    <t>Invasions; Poa annua; Climate change; Competition; Antarctic ecosystems</t>
  </si>
  <si>
    <t>KING-GEORGE-ISLAND; POA-ANNUA L.; CLIMATE-CHANGE; BIOLOGICAL INVASIONS; PROPAGULE PRESSURE; SOUTH SHETLAND; DESCHAMPSIA-ANTARCTICA; COLOBANTHUS-QUITENSIS; PHENOTYPIC PLASTICITY; SPATIAL STRUCTURE</t>
  </si>
  <si>
    <t>Biological invasions represent significant economic and conservation challenges, though it is widely acknowledged that their impacts are often poorly documented and difficult to predict. In the Antarctic, one non-native vascular plant species is widespread and studies have shown negative impacts on native flora. Using field common garden experiments, we evaluate the competitive impact of the increasingly widespread invasive grass Poa annua on the only two native vascular species of Antarctica, the forb Colobanthus quitensis and the grass Deschampsia antarctica. We focus on interactions between these three plant species under current and a future, wetter, climate scenario, in terms of density of individuals. Our analysis demonstrates Poa annua has the potential to have negative impacts on the survival and growth of the native Antarctic vascular species. Under predicted future wetter conditions, C. quitensis communities will become more resistant to invasion, while those dominated by D. antarctica will become less resistant. Under a recently developed unified scheme for non-native species impacts, P. annua can be considered a species that can cause potentially moderate to major impacts in Antarctica. If current patterns of increased human pressure and regional climate change persist and mitigation action is not taken (i.e. reduction of propagule pressure and eradication or control measures), P. annua is likely to spread in Antarctica, especially in the Antarctic Peninsula region, with significant negative consequences for some of the most remote and pristine ecosystems worldwide. Tighter biosecurity across all operators in the region, improved surveillance for the species, and prompt, effective control actions will reduce these risks.</t>
  </si>
  <si>
    <t>[Molina-Montenegro, Marco A.] Univ Talca, CEMF, Inst Ciencias Biol, Campus Talca,Avda Lircay S-N, Talca, Chile; [Molina-Montenegro, Marco A.] Univ Catolica Norte, Fac Ciencias Mar, CEAZA, Larrondo 1281, Coquimbo, Chile; [Molina-Montenegro, Marco A.] Univ Catolica Maule, Ctr Invest Estudios Avanzados Maule, Talca, Chile; [Bergstrom, Dana M.] Australian Antarctic Div, Dept Environm, 203 Channel Highways, Kingston 7050, Australia; [Chwedorzewska, Katarzyna J.] Warsaw Univ Life Sci SGGW, Dept Agron, Nowoursynowska 166, PL-02787 Warsaw, Poland; [Convey, Peter] NERC, British Antarctic Surveys, Madingley Rd, Cambridge CB3 OET, England; [Chown, Steven L.] Monash Univ, Sch Biol Sci, Clayton, Vic 3800, Australia</t>
  </si>
  <si>
    <t>Universidad de Talca; Universidad Catolica del Norte; Universidad Catolica del Maule; Australian Antarctic Division; Warsaw University of Life Sciences; UK Research &amp; Innovation (UKRI); Natural Environment Research Council (NERC); Monash University</t>
  </si>
  <si>
    <t>Molina-Montenegro, MA (corresponding author), Univ Talca, CEMF, Inst Ciencias Biol, Campus Talca,Avda Lircay S-N, Talca, Chile.;Molina-Montenegro, MA (corresponding author), Univ Catolica Norte, Fac Ciencias Mar, CEAZA, Larrondo 1281, Coquimbo, Chile.;Molina-Montenegro, MA (corresponding author), Univ Catolica Maule, Ctr Invest Estudios Avanzados Maule, Talca, Chile.</t>
  </si>
  <si>
    <t>marco.molina@utalca.cl</t>
  </si>
  <si>
    <t>Chwedorzewska, Katarzyna J/A-9480-2008; Chwedorzewska, Katarzyna/M-9721-2019; Convey, Peter/AAV-5728-2020; Bergstrom, Dana/AAC-2837-2022; Chown, Steven/ABD-7646-2021</t>
  </si>
  <si>
    <t>Chwedorzewska, Katarzyna/0000-0001-6860-3666; Convey, Peter/0000-0001-8497-9903; Bergstrom, Dana/0000-0001-8484-8954;</t>
  </si>
  <si>
    <t>Chilean Antarctic Institute (INACH); FONDECYT [11140607, PII 20150126]; NERC; Australian Antarctic Division [4307]; NERC [bas0100036] Funding Source: UKRI</t>
  </si>
  <si>
    <t>Chilean Antarctic Institute (INACH); FONDECYT(Comision Nacional de Investigacion Cientifica y Tecnologica (CONICYT)CONICYT FONDECYT); NERC(UK Research &amp; Innovation (UKRI)Natural Environment Research Council (NERC)); Australian Antarctic Division; NERC(UK Research &amp; Innovation (UKRI)Natural Environment Research Council (NERC))</t>
  </si>
  <si>
    <t>We are grateful for assistance from N. Ricote-Martinez and Fernando Carrasco-Urra in the field and for logistic support from the Polish Antarctic station Arctowski. We acknowledge the financial, permitting and logistic support of the Chilean Antarctic Institute (INACH). M.A. Molina-Montenegro is supported by project FONDECYT 11140607 and PII 20150126. P. Convey is supported by NERC core funding to the British Antarctic Survey's Biodiversity, Evolution and Adaptation Team. S.L. Chown is supported by Project 4307 from the Australian Antarctic Division. This article contributes to the SCAR biological research programs Antarctic Thresholds -Ecosystem Resilience and Adaptation (AnT-ERA) and State of the Antarctic Ecosystem (AntEco).</t>
  </si>
  <si>
    <t>1619-0033</t>
  </si>
  <si>
    <t>1314-2488</t>
  </si>
  <si>
    <t>NeoBiota</t>
  </si>
  <si>
    <t>10.3897/neobiota.51.37250</t>
  </si>
  <si>
    <t>JI9RB</t>
  </si>
  <si>
    <t>WOS:000493798800002</t>
  </si>
  <si>
    <t>Khider, D; Emile-Geay, J; McKay, NP; Gil, Y; Garijo, D; Ratnakar, V; Alonso-Garcia, M; Bertrand, S; Bothe, O; Brewer, P; Bunn, A; Chevalier, M; Comas-Bru, L; Csank, A; Dassié, E; DeLong, K; Felis, T; Francus, P; Frappier, A; Gray, W; Goring, S; Jonkers, L; Kahle, M; Kaufman, D; Kehrwald, NM; Martrat, B; McGregor, H; Richey, J; Schmittner, A; Scroxton, N; Sutherland, E; Thirumalai, K; Allen, K; Arnaud, F; Axford, Y; Barrows, T; Bazin, L; Birch, SEP; Bradley, E; Bregy, J; Capron, E; Cartapanis, O; Chiang, HW; Cobb, KM; Debret, M; Dommain, R; Du, J; Dyez, K; Emerick, S; Erb, MP; Falster, G; Finsinger, W; Fortier, D; Gauthier, N; George, S; Grimm, E; Hertzberg, J; Hibbert, F; Hillman, A; Hobbs, W; Huber, M; Hughes, ALC; Jaccard, S; Ruan, J; Kienast, M; Konecky, B; Le Roux, G; Lyubchich, V; Novello, VF; Olaka, L; Partin, JW; Pearce, C; Phipps, SJ; Pignol, C; Piotrowska, N; Poli, MS; Prokopenko, A; Schwanck, F; Stepanek, C; Swann, GEA; Telford, R; Thomas, E; Thomas, Z; Truebe, S; von Gunten, L; Waite, A; Weitzel, N; Wilhelm, B; Williams, J; Winstrup, M; Zhao, N; Zhou, Y</t>
  </si>
  <si>
    <t>Khider, D.; Emile-Geay, J.; McKay, N. P.; Gil, Y.; Garijo, D.; Ratnakar, V; Alonso-Garcia, M.; Bertrand, S.; Bothe, O.; Brewer, P.; Bunn, A.; Chevalier, M.; Comas-Bru, L.; Csank, A.; Dassie, E.; DeLong, K.; Felis, T.; Francus, P.; Frappier, A.; Gray, W.; Goring, S.; Jonkers, L.; Kahle, M.; Kaufman, D.; Kehrwald, N. M.; Martrat, B.; McGregor, H.; Richey, J.; Schmittner, A.; Scroxton, N.; Sutherland, E.; Thirumalai, K.; Allen, K.; Arnaud, F.; Axford, Y.; Barrows, T.; Bazin, L.; Birch, S. E. Pilaar; Bradley, E.; Bregy, J.; Capron, E.; Cartapanis, O.; Chiang, H-W; Cobb, K. M.; Debret, M.; Dommain, R.; Du, J.; Dyez, K.; Emerick, S.; Erb, M. P.; Falster, G.; Finsinger, W.; Fortier, D.; Gauthier, Nicolas; George, S.; Grimm, E.; Hertzberg, J.; Hibbert, F.; Hillman, A.; Hobbs, W.; Huber, M.; Hughes, A. L. C.; Jaccard, S.; Ruan, J.; Kienast, M.; Konecky, B.; Le Roux, G.; Lyubchich, V; Novello, V. F.; Olaka, L.; Partin, J. W.; Pearce, C.; Phipps, S. J.; Pignol, C.; Piotrowska, N.; Poli, M-S; Prokopenko, A.; Schwanck, F.; Stepanek, C.; Swann, G. E. A.; Telford, R.; Thomas, E.; Thomas, Z.; Truebe, S.; von Gunten, L.; Waite, A.; Weitzel, N.; Wilhelm, B.; Williams, J.; Winstrup, M.; Zhao, N.; Zhou, Y.</t>
  </si>
  <si>
    <t>PaCTS 1.0: A Crowdsourced Reporting Standard for Paleoclimate Data</t>
  </si>
  <si>
    <t>standards; FAIR; paleoclimate; paleoceanography; data; best practices</t>
  </si>
  <si>
    <t>TECHNICAL NOTE; FRAMEWORK; CLIMATE</t>
  </si>
  <si>
    <t>The progress of science is tied to the standardization of measurements, instruments, and data. This is especially true in the Big Data age, where analyzing large data volumes critically hinges on the data being standardized. Accordingly, the lack of community-sanctioned data standards in paleoclimatology has largely precluded the benefits of Big Data advances in the field. Building upon recent efforts to standardize the format and terminology of paleoclimate data, this article describes the Paleoclimate Community reporTing Standard (PaCTS), a crowdsourced reporting standard for such data. PaCTS captures which information should be included when reporting paleoclimate data, with the goal of maximizing the reuse value of paleoclimate data sets, particularly for synthesis work and comparison to climate model simulations. Initiated by the LinkedEarth project, the process to elicit a reporting standard involved an international workshop in 2016, various forms of digital community engagement over the next few years, and grassroots working groups. Participants in this process identified important properties across paleoclimate archives, in addition to the reporting of uncertainties and chronologies; they also identified archive-specific properties and distinguished reporting standards for new versus legacy data sets. This work shows that at least 135 respondents overwhelmingly support a drastic increase in the amount of metadata accompanying paleoclimate data sets. Since such goals are at odds with present practices, we discuss a transparent path toward implementing or revising these recommendations in the near future, using both bottom-up and top-down approaches.</t>
  </si>
  <si>
    <t>[Khider, D.; Gil, Y.; Garijo, D.; Ratnakar, V] Univ Southern Calif, Informat Sci Inst, Los Angeles, CA 90007 USA; [Khider, D.; Emile-Geay, J.] Univ Southern Calif, Dept Earth Sci, Los Angeles, CA 90007 USA; [McKay, N. P.; Kaufman, D.; Erb, M. P.] No Arizona Univ, Sch Earth &amp; Sustainabil, Flagstaff, AZ 86011 USA; [Alonso-Garcia, M.] Univ Salamanca, Dept Geol, Salamanca, Spain; [Bertrand, S.] Univ Ghent, Renard Ctr Marine Geol, Ghent, Belgium; [Bothe, O.] Helmholtz Zentrum Geesthacht, Geesthacht, Germany; [Brewer, P.] Lab Tree Ring Res, Tucson, AZ USA; [Bunn, A.] Western Washington Univ, Bellingham, WA 98225 USA; [Chevalier, M.] Univ Lausanne, Lausanne, Switzerland; [Comas-Bru, L.] Univ Coll Dublin, Sch Earth Sci, Belfied, Ireland; [Comas-Bru, L.] Univ Reading, Sch Archaeol Geog &amp; Environm Sci, Reading, Berks, England; [Csank, A.] Univ Nevada, Dept Geog, Reno, NV 89557 USA; [Dassie, E.] Bordeaux Univ, CNRS, Bordeaux, France; [DeLong, K.] Louisiana State Univ, Baton Rouge, LA 70803 USA; [Felis, T.; Jonkers, L.] Univ Bremen, MARUM Ctr Marine Environm Sci, Bremen, Germany; [Francus, P.] Inst Natl Rech Sci, Quebec City, PQ, Canada; [Frappier, A.] Skidmore Coll, Geosiences, Saratoga Springs, NY 12866 USA; [Gray, W.; Bazin, L.] IPSL, LSCE, Gif Sur Yvette, France; [Goring, S.; Williams, J.] Univ Wisconsin, Dept Geog, Madison, WI 53706 USA; [Kahle, M.] Univ Freiburg, Phys Geog, Freiburg, Germany; [Kehrwald, N. M.] US Geol Survey, Geosci &amp; Environm Change Sci Ctr, Box 25046, Denver, CO 80225 USA; [Martrat, B.] Spanish Council Sci Res, Inst Environm Assessment &amp; Water Res, Dept Environm Chem, Barcelona, Spain; [Martrat, B.] Univ Cambridge, Dept Earth Sci, Cambridge, England; [McGregor, H.; Barrows, T.] Univ Wollongong, Sch Earth Atmospher &amp; Life Sci, Wollongong, NSW, Australia; [Richey, J.] US Geol Survey, St Petersburg, FL USA; [Schmittner, A.; Du, J.] Oregon State Univ, Coll Earth Ocean &amp; Atmospher Sci, Corvallis, OR 97331 USA; [Scroxton, N.] Univ Coll Dublin, Sch Earth Sci, Dublin, Ireland; [Sutherland, E.] US Forest Serv, Rocky Mt Res Stn, Jemez Pueblo, NM USA; [Thirumalai, K.] Univ Arizona, Dept Geosci, Tucson, AZ 85721 USA; [Allen, K.] Univ Melbourne, Dept Forest &amp; Ecosyst Sci, Richmond, Vic, Australia; [Arnaud, F.; Pignol, C.] Univ Grenoble Alpes, Univ Savoie Mt Blanc, CNRS, EDYTEM, Chambery, France; [Axford, Y.] Northwestern Univ, Dept Earth &amp; Planetary Sci, Evanston, IL USA; [Birch, S. E. Pilaar] Univ Georgia, Dept Geog, Athens, GA 30602 USA; [Bradley, E.] Univ Colorado, Dept Comp Sci, Boulder, CO 80309 USA; [Bregy, J.] Indiana Univ, Dept Geog, Bloomington, IN 47405 USA; [Capron, E.] Univ Copenhagen, Niels Bohr Inst, Phys Ice Climate &amp; Earth, Copenhagen, Denmark; [Cartapanis, O.; Jaccard, S.] Univ Bern, Inst Geol Sci, Bern, Switzerland; [Chiang, H-W] Natl Taiwan Univ, Dept Geosci, Taipei, Taiwan; [Cobb, K. M.] Georgia Tech, Sch Earth &amp; Atmospher Sci, Atlanta, GA USA; [Debret, M.] Univ Rouen Normandie, Mont St Aignan, France; [Dommain, R.] Univ Potsdam, Inst Geosci, Potsdam, Germany; [Dyez, K.] Univ Michigan, Earth &amp; Environm Sci, Ann Arbor, MI 48109 USA; [Emerick, S.; Novello, V. F.] Univ Sao Paulo, Inst Geociencias, Lab Sistemas Carst, Sao Paulo, Brazil; [Falster, G.] Univ Adelaide, Adelaide, SA, Australia; [Finsinger, W.] Univ Montpellier, CNRS, ISEM, Montpellier, France; [Fortier, D.] Univ Montreal, Dept Geog, Montreal, PQ, Canada; [Gauthier, Nicolas] Arizona State Univ, Shcool Human Evolut &amp; Social Change, Tempe, AZ USA; [George, S.] Univ Reading, Dept Meteorol, NCAS, Reading, Berks, England; [Grimm, E.] Univ Minnesota, Dept Earth Sci, Minneapolis, MN USA; [Hertzberg, J.] Old Dominion Univ, Dept Ocean Earth &amp; Atmospher Sci, Norfolk, VA USA; [Hibbert, F.] Australian Natl Univ, Res Sch Earth Sci, Canberra, ACT, Australia; [Hillman, A.] Univ Louisiana Lafayette, Sch Geosci, Lafayette, LA 70504 USA; [Hobbs, W.] Univ Tasmania, Antarctic Climate &amp; Ecosyst Cooperat Res Ctr, Hobart, Tas, Australia; [Huber, M.] Purdue Univ, Earth Atmospher &amp; Planetary Sci Dept, W Lafayette, IN 47907 USA; [Hughes, A. L. C.] Univ Manchester, Dept Geog, Sch Environm Educ &amp; Dev, Manchester, Lancs, England; [Hughes, A. L. C.] Univ Bergen, Dept Earth Sci, Bergen, Norway; [Hughes, A. L. C.] Bjerknes Ctr Climate Res, Bergen, Norway; [Ruan, J.] Sun Yat Sen Univ, Sch Earth Sci &amp; Engn, Guangzhou, Guangdong, Peoples R China; [Kienast, M.] Dalhousie Univ, Dept Oceanog, Halifax, NS, Canada; [Konecky, B.] Washington Univ, Earth &amp; Planetary Sci, St Louis, MO 63110 USA; [Le Roux, G.] Univ Toulouse, CNRS, EcoLab UMR 5245, Toulouse, France; [Lyubchich, V] Univ Maryland, Ctr Environm Sci, Cambridge, MD USA; [Olaka, L.] Univ Nairobi, Geol Dept, Nairobi, Kenya; [Partin, J. W.] Univ Texas Austin, Inst Geophys, Austin, TX USA; [Pearce, C.] Aarhus Univ, Dept Geosci, Aarhus, Denmark; [Phipps, S. J.] Univ Tasmania, Inst Marine &amp; Antarctic Studies, Hobart, Tas, Australia; [Piotrowska, N.] Silesian Tech Univ, Inst Phys CSE, Gliwice, Poland; [Poli, M-S] Eastern Michigan Univ, Dept Geog &amp; Geol, Ypsilanti, MI 48197 USA; [Prokopenko, A.] Univ Cologne, Inst Geol &amp; Mineral, Cologne, Germany; [Schwanck, F.] Univ Fed Rio Grande do Sul, Ctr Polar &amp; Climat, Porto Alegre, RS, Brazil; [Stepanek, C.] Alfred Wegener Inst, Helmholtz Ctr Polar &amp; Marine Res, Bremerhaven, Germany; [Swann, G. E. A.] Univ Nottingham, Sch Geog, Nottingham, England; [Telford, R.] Bergen Univ, Dept Biol Sci, Bergen, Norway; [Thomas, E.] British Antarctic Survey, Cambridge, England; [Thomas, Z.] UNSW, Sch Biol Earth &amp; Environm Sci, Sydney, NSW, Australia; [Truebe, S.] Arizona State Pk &amp; Trails, Benson, AZ USA; [von Gunten, L.] PAGES Int Project Off, Bern, Switzerland; [Waite, A.] ANGARI Fdn, W Palm Beach, FL USA; [Weitzel, N.] Heidelberg Univ, Inst Environm Phys, Heidelberg, Germany; [Wilhelm, B.] Univ Grenoble Alpes, CNRS, IRD, INP,IGE, Grenoble, France; [Winstrup, M.] Univ Copenhagen, Danish Meteorol Inst, Copenhagen, Denmark; [Zhao, N.] Max Planck Inst Chem, Mainz, Germany; [Zhou, Y.] Columbia Univ, Lamont Doherty Earth Observ, Palisades, NY USA</t>
  </si>
  <si>
    <t>University of Southern California; University of Southern California; Northern Arizona University; University of Salamanca; Ghent University; Helmholtz Association; Helmholtz-Zentrum Hereon; Western Washington University; University of Lausanne; University College Dublin; University of Reading; Nevada System of Higher Education (NSHE); University of Nevada Reno; Centre National de la Recherche Scientifique (CNRS); Louisiana State University System; Louisiana State University; University of Bremen; University of Quebec; Institut national de la recherche scientifique (INRS); Skidmore College; Universite Paris Cite; CEA; Centre National de la Recherche Scientifique (CNRS); Universite Paris Saclay; University of Wisconsin System; University of Wisconsin Madison; University of Freiburg; United States Department of the Interior; United States Geological Survey; Consejo Superior de Investigaciones Cientificas (CSIC); CSIC - Centro de Investigacion y Desarrollo Pascual Vila (CID-CSIC); CSIC - Instituto de Diagnostico Ambiental y Estudios del Agua (IDAEA); University of Cambridge; University of Wollongong; United States Department of the Interior; United States Geological Survey; Oregon State University; University College Dublin; United States Department of Agriculture (USDA); United States Forest Service; University of Arizona; University of Melbourne; Centre National de la Recherche Scientifique (CNRS); Universite Savoie Mont Blanc; Communaute Universite Grenoble Alpes; Universite Grenoble Alpes (UGA); Northwestern University; University System of Georgia; University of Georgia; University of Colorado System; University of Colorado Boulder; Indiana University System; Indiana University Bloomington; University of Copenhagen; Niels Bohr Institute; University of Bern; National Taiwan University; University System of Georgia; Georgia Institute of Technology; Universite de Rouen Normandie; University of Potsdam; University of Michigan System; University of Michigan; Universidade de Sao Paulo; University of Adelaide; Centre National de la Recherche Scientifique (CNRS); Institut de Recherche pour le Developpement (IRD); Universite de Montpellier; Universite de Montreal; Arizona State University; Arizona State University-Tempe; University of Reading; UK Research &amp; Innovation (UKRI); Natural Environment Research Council (NERC); NERC National Centre for Atmospheric Science; University of Minnesota System; University of Minnesota Twin Cities; Old Dominion University; Australian National University; University of Louisiana Lafayette; Antarctic Climate &amp; Ecosystems Cooperative Research Centre (ACE CRC); University of Tasmania; Purdue University System; Purdue University; University of Manchester; University of Bergen; Bjerknes Centre for Climate Research; Sun Yat Sen University; Dalhousie University; Washington University (WUSTL); Universite de Toulouse; Universite Federale Toulouse Midi-Pyrenees (ComUE); Universite Toulouse III - Paul Sabatier; Institut National Polytechnique de Toulouse; Centre National de la Recherche Scientifique (CNRS); CNRS - Institute of Ecology &amp; Environment (INEE); University System of Maryland; University of Maryland Center for Environmental Science; University of Nairobi; University of Texas System; University of Texas Austin; Aarhus University; University of Tasmania; Silesian University of Technology; Eastern Michigan University; University of Cologne; Universidade Federal do Rio Grande do Sul; Helmholtz Association; Alfred Wegener Institute, Helmholtz Centre for Polar &amp; Marine Research; University of Nottingham; University of Bergen; UK Research &amp; Innovation (UKRI); Natural Environment Research Council (NERC); NERC British Antarctic Survey; University of New South Wales Sydney; Ruprecht Karls University Heidelberg; Centre National de la Recherche Scientifique (CNRS); CNRS - Institute of Physics (INP); Communaute Universite Grenoble Alpes; Universite Grenoble Alpes (UGA); Institut de Recherche pour le Developpement (IRD); Danish Meteorological Institute DMI; University of Copenhagen; Max Planck Society; Columbia University</t>
  </si>
  <si>
    <t>Khider, D (corresponding author), Univ Southern Calif, Informat Sci Inst, Los Angeles, CA 90007 USA.;Khider, D (corresponding author), Univ Southern Calif, Dept Earth Sci, Los Angeles, CA 90007 USA.</t>
  </si>
  <si>
    <t>khider@usc.edu</t>
  </si>
  <si>
    <t>Phipps, Steven J/B-3135-2008; Zhou, Yuxin/AGX-7253-2022; Telford, Richard/AAD-2249-2019; Stuart, Andrew/C-4445-2016; Thirumalai, Kaustubh/N-2511-2014; Hughes, Anna L. C./J-5628-2015; Jonkers, Lukas/H-6314-2011; McKay, Nicholas Paul/JYQ-5440-2024; Ruan, Jiaoyang/AAE-7410-2020; Bertrand, Sebastien/G-9744-2011; Swann, George/B-2794-2011; Hobbs, Will/P-8094-2019; Fortier, Daniel/E-6965-2016; DeLong, Kristine/B-7500-2008; Alonso-Garcia, Montserrat/AAB-5338-2021; Lyubchich, Vyacheslav/M-9516-2016; Huber, Matthew/A-7677-2008; Finsinger, Walter/A-7937-2011; Hertzberg, Jennifer E/I-7324-2012; Dyez, Kelsey/AAI-8110-2021; Martrat, Belen/I-5952-2015; Novello, Valdir/P-5824-2015; Williams, Joseph/G-5219-2011; IPO, PAGES/JXY-7546-2024; Chevalier, Manuel/W-6949-2019; Kaufman, Darrell S/A-2471-2008; Hibbert, Fiona/ABA-8606-2021; Thomas, Elizabeth Ruth/ADF-3660-2022; Allen, Kathryn/AAH-8535-2019; Kahle, Michael/Z-2242-2019; Pignol, cecile/AAC-2872-2020; Zhou, Yuxin/JCN-9801-2023; Du, Jianghui/I-6570-2017; Stepanek, Christian/ABA-9210-2021; Felis, Thomas/G-6670-2011; Arnaud, Fabien/F-7003-2012; Cartapanis, Olivier/AAM-9779-2021; Partin, Judson W/A-3086-2012; Bothe, Oliver/J-2975-2012; Falster, Georgina/AEN-9770-2022; Waite, Amanda/A-1675-2011; Pearce, Christof/M-4852-2013; Kehrwald, Natalie/A-3848-2013; McGregor, Helen/I-1479-2013; Emerick, Suellyn/H-1725-2018; Winstrup, Mai/M-5844-2014; Axford, Yarrow/N-4151-2014; Barrows, Timothy T/E-8471-2011; Thomas, Zoe/D-1656-2016; Emile-Geay, Julien/B-1102-2010; Jaccard, Samuel/G-3447-2014</t>
  </si>
  <si>
    <t>Zhou, Yuxin/0000-0002-3523-8524; Telford, Richard/0000-0001-9826-3076; Hughes, Anna L. C./0000-0001-8584-5202; Bertrand, Sebastien/0000-0003-0374-4040; Swann, George/0000-0002-4750-9504; Hobbs, Will/0000-0002-2061-0899; Fortier, Daniel/0000-0003-0908-6157; DeLong, Kristine/0000-0001-6320-421X; Alonso-Garcia, Montserrat/0000-0002-0241-2178; Lyubchich, Vyacheslav/0000-0001-7936-4285; Huber, Matthew/0000-0002-2771-9977; Finsinger, Walter/0000-0002-8297-0574; Dyez, Kelsey/0000-0001-8347-3089; Martrat, Belen/0000-0001-9904-9178; Novello, Valdir/0000-0002-0120-3745; Chevalier, Manuel/0000-0002-8183-9881; Hibbert, Fiona/0000-0002-3686-6514; Thomas, Elizabeth Ruth/0000-0002-3010-6493; Allen, Kathryn/0000-0002-8403-4552; Kahle, Michael/0000-0001-8571-2821; Pignol, cecile/0000-0003-4411-8898; Du, Jianghui/0000-0002-3386-9314; Felis, Thomas/0000-0003-1417-9657; Arnaud, Fabien/0000-0002-8706-9902; Cartapanis, Olivier/0000-0001-8542-6884; Bothe, Oliver/0000-0002-6257-8786; Falster, Georgina/0000-0001-8567-7413; von Gunten, Lucien/0000-0003-0425-2881; Dommain, Rene/0000-0003-4547-8983; Zhao, Ning/0000-0002-1936-8978; Waite, Amanda/0000-0002-1863-666X; McKay, Nicholas/0000-0003-3598-5113; Garijo, Daniel/0000-0003-0454-7145; Pearce, Christof/0000-0002-4866-3204; Scroxton, Nick/0000-0003-2315-9199; Kehrwald, Natalie/0000-0002-9160-2239; Dassie, Emilie/0000-0002-3927-2690; Erb, Michael/0000-0002-1187-952X; McGregor, Helen/0000-0002-4031-2282; Schwanck, Franciele/0000-0003-1046-8080; Emerick, Suellyn/0000-0002-4285-0113; Gauthier, Nicolas/0000-0002-2225-5827; Winstrup, Mai/0000-0002-4794-4004; Axford, Yarrow/0000-0002-8033-358X; Hertzberg, Jennifer/0000-0001-6437-5977; Gil, Yolanda/0000-0001-8465-8341; Barrows, Timothy T/0000-0003-2614-7177; Ratnakar, Varun/0000-0001-9381-705X; Stepanek, Christian/0000-0002-3912-6271; Partin, Judson/0000-0003-0315-5545; Bregy, Joshua/0000-0002-3483-595X; Williams, Joseph/0000-0003-4521-4902; Chiang, Hong-Wei/0000-0002-5274-594X; Thomas, Zoe/0000-0002-2323-4366; Emile-Geay, Julien/0000-0001-5920-4751; Poli, Maria-Serena/0000-0001-6470-032X; Brewer, Peter/0000-0001-8972-3210; Gray, William/0000-0001-5608-7836; Jaccard, Samuel/0000-0002-5793-0896; George, Steve/0000-0002-0396-0299; Khider, Deborah/0000-0001-7501-8430</t>
  </si>
  <si>
    <t>National Science Foundation through the EarthCube Program [ICER-1541029]; PAGES; NERC [bas0100034] Funding Source: UKRI</t>
  </si>
  <si>
    <t>National Science Foundation through the EarthCube Program; PAGES; NERC(UK Research &amp; Innovation (UKRI)Natural Environment Research Council (NERC))</t>
  </si>
  <si>
    <t>Code and data to reproduce the figures of this article are available on GitHub and released on Zenodo (doi:10.5281/zenodo.3165019). Definition of properties and recommendations are summarized here: http://wiki.linked.earth/PaCTS_v1.0. This work was supported by the National Science Foundation through the EarthCube Program with Grant ICER-1541029. Feedback solicitation on the standard was facilitated by the Past Global Changes (PAGES) organization. The 2016 workshop on Paleoclimate Data Standards was hosted by the World Data Service for Paleoclimatology (WDS/NOAA-Paleo), and the participation of international attendees was made possible by a PAGES travel grant. Any use of trade, firm, or product names is for descriptive purposes only and does not imply endorsement by the U.S. Government.</t>
  </si>
  <si>
    <t>10.1029/2019PA003632</t>
  </si>
  <si>
    <t>JP2FY</t>
  </si>
  <si>
    <t>Green Published, hybrid, Green Submitted, Green Accepted</t>
  </si>
  <si>
    <t>WOS:000492497000001</t>
  </si>
  <si>
    <t>Neumann, B; Mikoleit, A; Bowman, JS; Ducklow, HW; Müller, F</t>
  </si>
  <si>
    <t>Neumann, Barbara; Mikoleit, Anton; Bowman, Jeff S.; Ducklow, Hugh W.; Mueller, Felix</t>
  </si>
  <si>
    <t>Ecosystem Service Supply in the Antarctic Peninsula Region: Evaluating an Expert-Based Assessment Approach and a Novel Seascape Data Model</t>
  </si>
  <si>
    <t>FRONTIERS IN ENVIRONMENTAL SCIENCE</t>
  </si>
  <si>
    <t>ecosystem services; service providing units; seascapes; matrix method; expert-based assessments; Antarctic Peninsula</t>
  </si>
  <si>
    <t>SEA-LEVEL RISE; MARINE ECOSYSTEM; CLIMATE-CHANGE; LOCAL SCALE; OCEAN; CONSERVATION; CHALLENGES; IMPACTS; COASTAL; MANAGEMENT</t>
  </si>
  <si>
    <t>The Southern Ocean and coastal Antarctica provide a variety of ecosystem services with benefits for humankind that are of regional and global importance. Despite being nearly uninhabited, increasing exploitation of natural resources, a growing human presence, and environmental change threaten the sustained provisioning of these services. Ecosystem service assessments have proven as a suitable tool to understand the relevance of ecosystems for human well-being and guide decision-making, but the fluid and transboundary nature of marine ecosystems poses challenges to analyzing ecosystem services in regions with large marine sections. New methods to objectively assess the supply of ecosystem services for such realms are needed, and this need is exemplified by the Antarctic Peninsula region which encompasses rich marine, coastal, and terrestrial ecosystems but faces growing impacts and needs for taking action. In this study we applied the matrix method, an expert-based approach that employs a tabular matrix of ecosystem services and service providing units (SPUs) to elicit expert knowledge and rate the actual supply of key ecosystems services from the Antarctic Peninsula region. Further, we tested the applicability of this method on conventional definitions of SPUs and on objectively defined physico-chemical seascape units for a subset of the study region. Our results show high variations in the estimated supply of ecosystem services for the Antarctic Peninsula region, both with respect to the applied data models and in terms of the assessed services. While cultural and regulating services received highest supply estimates, provisioning services were regarded less relevant for the study region. Further, experts' supply estimates were much lower for the tested physico-chemical seascape units than for bathymetrically regionalized marine areas. The results suggest that a more explicit elaboration of linkages between ecosystem functions and processes and of the actual supply of ecosystem services is required in order to tap the full potential of such seascape data models in the context of qualitative, expert-based ecosystem service assessments.</t>
  </si>
  <si>
    <t>[Neumann, Barbara] IASS, Potsdam, Germany; [Mikoleit, Anton; Mueller, Felix] Univ Kiel, Inst Nat Resource Conservat, Dept Ecosyst Management, Kiel, Germany; [Bowman, Jeff S.] Univ Calif San Diego, Scripps Inst Oceanog, La Jolla, CA USA; [Ducklow, Hugh W.] Columbia Univ, Lamont Doherty Earth Observ, Palisades, NY USA</t>
  </si>
  <si>
    <t>University of Kiel; University of California System; University of California San Diego; Scripps Institution of Oceanography; Columbia University</t>
  </si>
  <si>
    <t>Neumann, B (corresponding author), IASS, Potsdam, Germany.</t>
  </si>
  <si>
    <t>barbara.neumann@iass-potsdam.de</t>
  </si>
  <si>
    <t>Neumann, Barbara Edith/B-5232-2009</t>
  </si>
  <si>
    <t>Neumann, Barbara Edith/0000-0003-0015-2314; Bowman, Jeff/0000-0002-8811-6280</t>
  </si>
  <si>
    <t>Cluster of Excellence 80 The Future Ocean by German Research Foundation (DFG) on behalf of the German Federal and State governments; German Federal Ministry of Education and Research (BMBF) through its Research for Sustainable Development program (FONA); Federal State of Brandenburg; NSF-OPP [1440435, 1641019]; Simons Foundation Early Career Marine Microbial Investigator award; World Surf League PURE initiative; Vetlesen Foundation; Directorate For Geosciences; Office of Polar Programs (OPP) [1641019] Funding Source: National Science Foundation</t>
  </si>
  <si>
    <t>Cluster of Excellence 80 The Future Ocean by German Research Foundation (DFG) on behalf of the German Federal and State governments(German Research Foundation (DFG)); German Federal Ministry of Education and Research (BMBF) through its Research for Sustainable Development program (FONA)(Federal Ministry of Education &amp; Research (BMBF)); Federal State of Brandenburg; NSF-OPP(National Science Foundation (NSF)NSF - Directorate for Geosciences (GEO)); Simons Foundation Early Career Marine Microbial Investigator award; World Surf League PURE initiative; Vetlesen Foundation; Directorate For Geosciences; Office of Polar Programs (OPP)(National Science Foundation (NSF)NSF - Directorate for Geosciences (GEO))</t>
  </si>
  <si>
    <t>Funding was provided to BN and AM by the Cluster of Excellence 80 The Future Ocean which is funded within the framework of the Excellence Initiative by the German Research Foundation (DFG) on behalf of the German Federal and State governments. The work of BN was further supported by the German Federal Ministry of Education and Research (BMBF) through its Research for Sustainable Development program (FONA), and the Federal State of Brandenburg. Funding was also provided by NSF-OPP 1641019 to JB, a Simons Foundation Early Career Marine Microbial Investigator award to JB, a grant from theWorld Surf League PURE initiative to HD, NSF-OPP 1440435 to HD and a gift from the Vetlesen Foundation to HD.</t>
  </si>
  <si>
    <t>2296-665X</t>
  </si>
  <si>
    <t>FRONT ENV SCI-SWITZ</t>
  </si>
  <si>
    <t>Front. Environ. Sci.</t>
  </si>
  <si>
    <t>OCT 23</t>
  </si>
  <si>
    <t>10.3389/fenvs.2019.00157</t>
  </si>
  <si>
    <t>JN5MV</t>
  </si>
  <si>
    <t>WOS:000496943300001</t>
  </si>
  <si>
    <t>Drouin, KL; Lozier, MS</t>
  </si>
  <si>
    <t>Drouin, K. L.; Lozier, M. S.</t>
  </si>
  <si>
    <t>The Surface Pathways of the South Atlantic: Revisiting the Cold and Warm Water Routes Using Observational Data</t>
  </si>
  <si>
    <t>South Atlantic; cold and warm water route; AMOC pathways; South Atlantic surface circulation; surface pathways; Agulhas leakage</t>
  </si>
  <si>
    <t>AGULHAS LEAKAGE; OVERTURNING CIRCULATION; GLOBAL OCEAN; MESOSCALE EDDIES; DRAKE PASSAGE; BRAZIL; VARIABILITY; VELOCITY; PACIFIC; MODEL</t>
  </si>
  <si>
    <t>The relative contributions of the Atlantic Meridional Overturning Circulation upper limb source waters in the South Atlantic (SA) remain largely unresolved. We contribute to a resolution by using observational data to explore water mass pathways feeding into the Benguela Current, considered a major component of the Atlantic Meridional Overturning Circulation upper limb in the SA. We focus on the pathways from the Pacific Ocean via the Drake Passage (traditionally termed the cold water route) and the Indian Ocean via Agulhas Leakage (traditionally termed the warm water route). We employ two main observational data sets: (1) surface drifter trajectories from the National Oceanic and Atmospheric Administration's Global Drifter Program and (2) the Ocean Surface Current Analysis Real-time product. Based on our Lagrangian analysis, the majority of particles originating in the Drake Passage remain in the Antarctic Circumpolar Current, with a small portion reaching the northern limb of the SA subtropical gyre, and a few infiltrating the Agulhas Current region. The majority of particles released in the Agulhas Current follow the Agulhas Return Current and recirculate in its vicinity. Only a small portion leaks into the SA. Observed pathways reveal strong interactions between the two source waters in the Brazil-Malvinas Confluence, the SA subtropical gyre, the Benguela Current, and the Agulhas Current region. Results from backward trajectories suggest a sizable contribution of waters from the Drake Passage to the Benguela Current but show disagreement between the two datasets in the magnitude of this contribution.</t>
  </si>
  <si>
    <t>[Drouin, K. L.; Lozier, M. S.] Duke Univ, Nicholas Sch Environm, Earth &amp; Ocean Sci Dept, Durham, NC 27708 USA</t>
  </si>
  <si>
    <t>Duke University</t>
  </si>
  <si>
    <t>Drouin, KL (corresponding author), Duke Univ, Nicholas Sch Environm, Earth &amp; Ocean Sci Dept, Durham, NC 27708 USA.</t>
  </si>
  <si>
    <t>kimberley.drouin@duke.edu</t>
  </si>
  <si>
    <t>Physical Oceanography Program at the National Science Foundation</t>
  </si>
  <si>
    <t>The Global Drifter Program data from NOAA is publically available at https://www.aoml.noaa.gov/phod/gdp/index.php website. The Ocean Surface Current Analysis Real-time generated by Earth Space Research is publically available at https://podaac.jpl.nasa.gov/dataset/OSCAR_L4_OC_third-deg website. The subsurface float data from the World Ocean Circulation Experiment Subsurface Float Data Assembly Center at Woods Hole is publically available at https://www.aoml.noaa.gov/phod/float_traj/data2.php website. This work is supported by the Physical Oceanography Program at the National Science Foundation. We are grateful to Sijia Zou and Siren Ruhs for their helpful discussions and comments. We thank two anonymous reviewers for carefully considering our manuscript and providing valuable feedback. Finally, we would like to thank Eric Monson from the Data Visualization team at Duke for his expertise and advice regarding our figures.</t>
  </si>
  <si>
    <t>10.1029/2019JC015267</t>
  </si>
  <si>
    <t>JO0HA</t>
  </si>
  <si>
    <t>WOS:000491570500001</t>
  </si>
  <si>
    <t>Silber, I; Fridlind, AM; Verlinde, J; Ackerman, AS; Chen, YS; Bromwich, DH; Wang, SH; Cadeddu, M; Eloranta, EW</t>
  </si>
  <si>
    <t>Silber, Israel; Fridlind, Ann M.; Verlinde, Johannes; Ackerman, Andrew S.; Chen, Yao-Sheng; Bromwich, David H.; Wang, Sheng-Hung; Cadeddu, Maria; Eloranta, Edwin W.</t>
  </si>
  <si>
    <t>Persistent Supercooled Drizzle at Temperatures Below-25 °C Observed at McMurdo Station, Antarctica</t>
  </si>
  <si>
    <t>Supercooled drizzle; Persistent drizzle; mixed-phase clouds; Antarctica; McMurdo Station; LES</t>
  </si>
  <si>
    <t>LARGE-EDDY SIMULATIONS; AIRCRAFT ICING ENVIRONMENTS; CLOUD CONDENSATION NUCLEI; FREEZING DRIZZLE; RADAR REFLECTIVITY; ICE-NUCLEATION; IN-SITU; AEROSOL; PRECIPITATION; DROPS</t>
  </si>
  <si>
    <t>The rarity of reports in the literature of brief and spatially limited observations of drizzle at temperatures below -20 degrees C suggest that riming and other temperature-dependent cloud microphysical processes such as heterogeneous ice nucleation and ice crystal depositional growth prevent drizzle persistence in cold environments. In this study, we report on a persistent drizzle event observed by ground-based remote sensing measurements at McMurdo Station, Antarctica. The temperatures in the drizzle-producing cloud were below -25 degrees C and the drizzle persisted for a period exceeding 7.5 hr. Using ground-based, satellite, and reanalysis data, we conclude that drizzle was likely present in parts of a widespread cloud field, which stretched more than similar to 1,000 km along the Ross Ice Shelf coast. Parameter space sensitivity tests using two-moment bulk microphysics in large eddy simulations constrained by the observations suggest that activated ice freezing nuclei and accumulation-mode aerosol number concentrations aloft during this persistent drizzle period were likely on the order of 0.2 L-1 and 20 cm(-3), respectively. In such constrained simulations, the drizzle moisture flux through cloud base exceeds that of ice. The simulations also indicate that drizzle can lead to the formation of multiple peaks in cloud water content profiles. This study suggests that persistent drizzle at these low temperatures may be common at the low aerosol concentrations typical of the Antarctic and Southern Ocean atmospheres.</t>
  </si>
  <si>
    <t>[Silber, Israel; Verlinde, Johannes] Penn State Univ, Dept Meteorol &amp; Atmospher Sci, University Pk, PA 16802 USA; [Fridlind, Ann M.; Ackerman, Andrew S.] NASA, Goddard Inst Space Studies, New York, NY 10025 USA; [Chen, Yao-Sheng] NOAA, Div Chem Sci, Earth Syst Res Lab, Boulder, CO USA; [Chen, Yao-Sheng] Univ Colorado, Cooperat Inst Res Environm Sci, Boulder, CO 80309 USA; [Bromwich, David H.; Wang, Sheng-Hung] Ohio State Univ, Byrd Polar &amp; Climate Res Ctr, Polar Meteorol Grp, Columbus, OH 43210 USA; [Bromwich, David H.] Ohio State Univ, Dept Geog, Atmospher Sci Program, Columbus, OH 43210 USA; [Cadeddu, Maria] Argonne Natl Lab, 9700 S Cass Ave, Argonne, IL 60439 USA; [Eloranta, Edwin W.] Univ Wisconsin, Ctr Space Sci &amp; Engn, 1225 W Dayton St, Madison, WI 53706 USA</t>
  </si>
  <si>
    <t>Pennsylvania Commonwealth System of Higher Education (PCSHE); Pennsylvania State University; Pennsylvania State University - University Park; National Aeronautics &amp; Space Administration (NASA); NASA Goddard Space Flight Center; Goddard Institute for Space Studies; National Oceanic Atmospheric Admin (NOAA) - USA; University of Colorado System; University of Colorado Boulder; University System of Ohio; Ohio State University; University System of Ohio; Ohio State University; United States Department of Energy (DOE); Argonne National Laboratory; University of Wisconsin System; University of Wisconsin Madison</t>
  </si>
  <si>
    <t>Chen, Yaosheng/AAA-9358-2021; Keyes, Dennis/AAZ-9285-2021; Ackerman, Andrew/D-4433-2012; Fridlind, Ann/E-1495-2012; /H-8351-2017</t>
  </si>
  <si>
    <t>Fridlind, Ann/0000-0002-9020-0852; Wang, Sheng-Hung/0000-0002-8057-835X; /0000-0002-9121-3110; Cadeddu, Maria/0000-0002-6430-0585; Silber, Israel/0000-0001-6588-2145</t>
  </si>
  <si>
    <t>DOE ARM Climate Research Facility; NSF Division of Polar Programs; National Science Foundation [PLR-1443495, PLR-1443443]; DOE [DE-SC0017981, DE-SC0018046]; NASA Radiation Science program; NASA Modeling, Analysis and Prediction program; U.S. Department of Energy (DOE) [DE-SC0018046] Funding Source: U.S. Department of Energy (DOE)</t>
  </si>
  <si>
    <t>AWARE is supported by the DOE ARM Climate Research Facility and NSF Division of Polar Programs. The data used in this study (including the HSRL LCBH data product) are available in the ARM data archive (http://www.archive.arm.gov).Ten-second resolution HSRL data can be obtained from the University of Wisconsin-Madison HSRL Lidar Group (http://lidar.ssec.wisc.edu).ERA5 and ERA-Interim reanalysis data are accessible via the Copernicus Climate Change Service (C3S) Climate Data Store (CDS; https://cds.climate.copernicus.eu) and the ECMWF database (https://apps.ecmwf.int/datasets/data/interim-full-daily/), respectively. CERES and CALIOP observational data can be downloaded from the NASA Langley Research Center website (https://ceres.larc.nasa.gov/order_data.php) and the NASA Atmospheric Science Data Center website (https://eosweb.larc.nasa.gov/project/calipso/calipso_table), respectively. AMPS data can be requested from the Ohio State University Polar Meteorology Group (http://polarmet.osu.edu/AMPS/).Wavelet software was provided by C. Torrence and G. Compo and is available at http://paos.colorado.edu/research/wavelets/.The authors wish to thank Paul Demott for the fruitful discussion. I.S. and J.V. are supported by the National Science Foundation grant PLR-1443495 and by the DOE grant DE-SC0017981. I.S. is also supported by DOE grant DE-SC0018046. A.F. and A. A. are supported by the NASA Radiation Science and Modeling, Analysis and Prediction programs. D.H. B. and S.H.W. are supported by National Science Foundation grant PLR-1443443 and by DOE grant DE-SC0017981. Contribution 1589 of Byrd Polar &amp; Climate Research Center.</t>
  </si>
  <si>
    <t>10.1029/2019JD030882</t>
  </si>
  <si>
    <t>Green Submitted, Bronze, Green Accepted</t>
  </si>
  <si>
    <t>WOS:000494092200001</t>
  </si>
  <si>
    <t>Morse, PE; Reading, AM; Stål, T</t>
  </si>
  <si>
    <t>Morse, Peter E.; Reading, Anya M.; Stal, Tobias</t>
  </si>
  <si>
    <t>Well-Posed Geoscientific Visualization Through Interactive Color Mapping</t>
  </si>
  <si>
    <t>FRONTIERS IN EARTH SCIENCE</t>
  </si>
  <si>
    <t>data visualization; seismic tomography; feature identification; color mapping; color space; CIELab; RGB</t>
  </si>
  <si>
    <t>MODEL; INFERENCE; SPACES</t>
  </si>
  <si>
    <t>Scientific visualization aims to present numerical values, or categorical information, in a way that enables the researcher to make an inference that furthers knowledge. Well-posed visualizations need to consider the characteristics of the data, the display environment, and human visual capacity. In the geosciences, visualizations are commonly applied to spatially varying continuous information or results. In this contribution we make use of a suite of newly written computer applications which enable spatially varying data to be displayed in a performant graphics environment. We present a comparison of color-mapping using illustrative color spaces (RGB, CIELAB). The interactive applications display the gradient paths through the chosen color spaces. This facilitates the creation of color-maps that accommodate the non-uniformity of human color perception, producing an image where genuine features are seen. We also take account of aspects of a dataset such as parameter uncertainty. For an illustrative case study using a seismic tomography result, we find that the use of RGB color-mapping can introduce non-linearities in the visualization, potentially leading to incorrect inference. Interpolation in CIELAB color space enables the creation of perceptually uniform linear gradients that match the underlying data, along with a simply computable metric for color difference, Delta E. This color space assists accuracy and reproducibility of visualization results. Well-posed scientific visualization requires both visual literacy and visual numeracy on an equal footing with clearly written text. It is anticipated that this current work, with the included color-maps and software, will lead to wider usage of informed color-mapping in the geosciences.</t>
  </si>
  <si>
    <t>[Morse, Peter E.; Reading, Anya M.; Stal, Tobias] Univ Tasmania, Sch Nat Sci Earth Sci, Hobart, Tas, Australia; [Reading, Anya M.; Stal, Tobias] Univ Tasmania, Inst Marine &amp; Antarctic Studies, Hobart, Tas, Australia</t>
  </si>
  <si>
    <t>Morse, PE (corresponding author), Univ Tasmania, Sch Nat Sci Earth Sci, Hobart, Tas, Australia.</t>
  </si>
  <si>
    <t>peter.morse@utas.edu.au</t>
  </si>
  <si>
    <t>Reading, Anya M/E-6728-2012; Stål, Tobias/AAI-9302-2021; Morse, Peter/C-6810-2013</t>
  </si>
  <si>
    <t>Reading, Anya M/0000-0002-9316-7605; Stål, Tobias/0000-0002-4323-6748; Morse, Peter/0000-0001-9315-1374</t>
  </si>
  <si>
    <t>University of Tasmania; Australian Research Council's Special Research Initiative for Antarctic Gateway Partnership [SR140300001]; ARC Research Hub for Transforming the Mining Value Chain [IH130200004]</t>
  </si>
  <si>
    <t>University of Tasmania; Australian Research Council's Special Research Initiative for Antarctic Gateway Partnership(Australian Research Council); ARC Research Hub for Transforming the Mining Value Chain(Australian Research Council)</t>
  </si>
  <si>
    <t>PM acknowledges an RTP Scholarship from the University of Tasmania. TS acknowledges support under Australian Research Council's Special Research Initiative for Antarctic Gateway Partnership (Project ID SR140300001). This research was partly supported by the ARC Research Hub for Transforming the Mining Value Chain (project number IH130200004).</t>
  </si>
  <si>
    <t>2296-6463</t>
  </si>
  <si>
    <t>FRONT EARTH SC-SWITZ</t>
  </si>
  <si>
    <t>Front. Earth Sci.</t>
  </si>
  <si>
    <t>OCT 22</t>
  </si>
  <si>
    <t>10.3389/feart.2019.00274</t>
  </si>
  <si>
    <t>JJ9FG</t>
  </si>
  <si>
    <t>WOS:000494456800001</t>
  </si>
  <si>
    <t>Roque, D; Parras-Berrocal, I; Bruno, M; Sánchez-Leal, R; Hernández-Molina, FJ</t>
  </si>
  <si>
    <t>Roque, David; Parras-Berrocal, Ivan; Bruno, Miguel; Sanchez-Leal, Ricardo; Javier Hernandez-Molina, Francisco</t>
  </si>
  <si>
    <t>Seasonal variability of intermediate water masses in the Gulf of Cadiz: implications of the Antarctic and subarctic seesaw</t>
  </si>
  <si>
    <t>OCEAN SCIENCE</t>
  </si>
  <si>
    <t>OPTIMUM MULTIPARAMETER ANALYSIS; CONTOURITE DEPOSITIONAL SYSTEM; MEDITERRANEAN OUTFLOW WATER; NORTHEAST ATLANTIC-OCEAN; SOUTHERN GULF; CANARY CURRENT; CIRCULATION; SEDIMENTARY; OCEANOGRAPHY; EVOLUTION</t>
  </si>
  <si>
    <t>Global circulation of intermediate water masses has been extensively studied; however, its regional and local circulation along continental margins and variability and implications on sea floor morphologies are still not well known. In this study the intermediate water mass variability in the Gulf of Cadiz (GoC) and adjacent areas has been analysed and its implications discussed. Remarkable seasonal variations of the Antarctic Intermediate Water (AAIW) and the Subarctic Intermediate Water (SAIW) are determined. During autumn a greater presence of the AAIW seems to be related to a reduction in the presence of SAIW and Eastern North Atlantic Central Water (ENACW). This interaction also affects the Mediterranean Water (MW), which is pushed by the AAIW toward the upper continental slope. In the rest of the seasons, the SAIW is the predominant water mass reducing the presence of the AAIW. This seasonal variability for the predominance of these intermediate water masses is explained in terms of the concatenation of several wind-driven processes acting during the different seasons. Our finding is important for a better understanding of regional intermediate water mass variability with implications in the Atlantic Meridional Overturning Circulation (AMOC), but further research is needed in order to decode their changes during the geological past and their role, especially related to the AAIW, in controlling both the morphology and the sedimentation along the continental slopes.</t>
  </si>
  <si>
    <t>[Roque, David] CSIC, Inst Marine Sci Andalusia ICMAN, Univ Campus Rio San Pedro, Cadiz 11510, Spain; [Parras-Berrocal, Ivan; Bruno, Miguel] Univ Cadiz, Appl Phys Dept, Cadiz 11130, Spain; [Sanchez-Leal, Ricardo] Spanish Inst Oceanog IEO, Cadiz Oceanog Ctr, Cadiz 11006, Spain; [Javier Hernandez-Molina, Francisco] Univ London, Royal Holloway, Dept Earth Sci, Egham TW20 0EX, Surrey, England</t>
  </si>
  <si>
    <t>Consejo Superior de Investigaciones Cientificas (CSIC); CSIC - Instituto de Ciencias Marinas de Andalucia (ICMAN); Universidad de Cadiz; University of London; Royal Holloway University London</t>
  </si>
  <si>
    <t>Roque, D (corresponding author), CSIC, Inst Marine Sci Andalusia ICMAN, Univ Campus Rio San Pedro, Cadiz 11510, Spain.</t>
  </si>
  <si>
    <t>david.roque@icman.csic.es</t>
  </si>
  <si>
    <t>Sánchez Leal, Ricardo Félix/E-1347-2012; Berrocal, Ivan Manuel Parras/JBR-8686-2023; Berrocal, Ivan Manuel Parras/ABC-1280-2020</t>
  </si>
  <si>
    <t>Sánchez Leal, Ricardo Félix/0000-0003-0492-9186; Berrocal, Ivan Manuel Parras/0000-0003-4659-3924; ROQUE, DAVID/0000-0003-1719-1184</t>
  </si>
  <si>
    <t>CTM [CTM 2008-06399-C04/MAR, CTM 2012-39599-C03, CTM2010-21229, CTM2014-59244-C3-2-R, CGL2016-80445-R, CTM2016-75129-C3-1-R]; Salvador Madariaga mobility programme [PRX18/00441]</t>
  </si>
  <si>
    <t>CTM; Salvador Madariaga mobility programme</t>
  </si>
  <si>
    <t>This research has been supported by CTM (projects CTM 2008-06399-C04/MAR (CONTOURIBER), CTM 2012-39599-C03 (MOWER), CTM2010-21229 (INGRES3), STOCAS (IEO 2009), CTM2014-59244-C3-2-R (DILEMA) CGL2016-80445-R (SCORE) and CTM2016-75129-C3-1-R (INPULSE) and the Salvador Madariaga mobility programme (grant no. PRX18/00441).</t>
  </si>
  <si>
    <t>1812-0784</t>
  </si>
  <si>
    <t>OCEAN SCI</t>
  </si>
  <si>
    <t>Ocean Sci.</t>
  </si>
  <si>
    <t>10.5194/os-15-1381-2019</t>
  </si>
  <si>
    <t>JH4OX</t>
  </si>
  <si>
    <t>WOS:000492749500001</t>
  </si>
  <si>
    <t>Bozzato, D; Jakob, T; Wilhelm, C</t>
  </si>
  <si>
    <t>Bozzato, Deborah; Jakob, Torsten; Wilhelm, Christian</t>
  </si>
  <si>
    <t>Effects of temperature and salinity on respiratory losses and the ratio of photosynthesis to respiration in representative Antarctic phytoplankton species</t>
  </si>
  <si>
    <t>PHAEOCYSTIS-ANTARCTICA; FRAGILARIOPSIS-CYLINDRUS; CARBON ASSIMILATION; IRON LIMITATION; ELECTRON FLOW; OXYGEN; PHOTOPHYSIOLOGY; LIGHT; PHOTOPROTECTION; PHYSIOLOGY</t>
  </si>
  <si>
    <t>The Southern Ocean (SO) is a net sink for atmospheric CO2 whereby the photosynthetic activity of phytoplankton and sequestration of organic carbon (biological pump) plays an important role. Global climate change will tremendously influence the dynamics of environmental conditions for the phytoplankton community, and the phytoplankton will have to acclimate to a combination of changes of e.g. water temperature, salinity, pH, and nutrient supply. The efficiency of the biological pump is not only determined by the photosynthetic activity but also by the extent of respiratory carbon losses of phytoplankton cells. Thus, the present study investigated the effect of different temperature and salinity combinations on the ratio of gross photosynthesis to respiration (rGP/R) in two representative phytoplankton species of the SO. In the comparison of phytoplankton grown at 1 and 4 degrees C the rGP/R decreased from 11.5 to 7.7 in Chaetoceros sp., from 9.1 to 3.2 in Phaeocystis antarctica strain 109, and from 12.4 to 7.0 in P. antarctica strain 764, respectively. The decrease of rGP/R was primarily dependent on temperature whereas salinity was only of minor importance. Moreover, the different rGP/R at 1 and 4 degrees C were caused by changes of temperature-dependent respiration rates but were independent of changes of photosynthetic rates. For further interpretation, net primary production (NPP) was calculated for different seasonal conditions in the SO with specific combinations of irradiance, temperature, and salinity. Whereas, maximum photosynthetic rates significantly correlated with calculated NPP under experimental 'Spring', 'Summer', and 'Autumn' conditions, there was no correlation between' rGP/R and the respective values of NPP. The study revealed species-specific differences in the acclimation to temperature and salinity changes that could be linked to their different original habitats.</t>
  </si>
  <si>
    <t>[Bozzato, Deborah; Jakob, Torsten] Univ Leipzig, Inst Biol, Plant Physiol, Leipzig, Germany; [Wilhelm, Christian] Saxon Inst Biotechnol, Leipzig, Germany</t>
  </si>
  <si>
    <t>Leipzig University</t>
  </si>
  <si>
    <t>Jakob, T (corresponding author), Univ Leipzig, Inst Biol, Plant Physiol, Leipzig, Germany.</t>
  </si>
  <si>
    <t>tjakob@rz.uni-leipzig.de</t>
  </si>
  <si>
    <t>Bozzato, Deborah/0000-0002-6004-1096</t>
  </si>
  <si>
    <t>Deutsche Forschungsgemeinschaft (DFG) [WI 764/21-1]; German Research Foundation (DFG); Leipzig University</t>
  </si>
  <si>
    <t>Deutsche Forschungsgemeinschaft (DFG)(German Research Foundation (DFG)); German Research Foundation (DFG)(German Research Foundation (DFG)); Leipzig University</t>
  </si>
  <si>
    <t>This work was supported by grants from Deutsche Forschungsgemeinschaft (DFG, grant WI 764/21-1). Authors who received the project: DB and CW. We acknowledge support from the German Research Foundation (DFG) and Leipzig University within the program of Open Access Publishing.</t>
  </si>
  <si>
    <t>OCT 21</t>
  </si>
  <si>
    <t>e0224101</t>
  </si>
  <si>
    <t>10.1371/journal.pone.0224101</t>
  </si>
  <si>
    <t>LM9KZ</t>
  </si>
  <si>
    <t>WOS:000532568300024</t>
  </si>
  <si>
    <t>Orgeret, F; Péron, C; Enstipp, MR; Delord, K; Weimerskirch, H; Bost, CA</t>
  </si>
  <si>
    <t>Orgeret, F.; Peron, C.; Enstipp, M. R.; Delord, K.; Weimerskirch, H.; Bost, C. A.</t>
  </si>
  <si>
    <t>Exploration during early life: distribution, habitat and orientation preferences in juvenile king penguins</t>
  </si>
  <si>
    <t>MOVEMENT ECOLOGY</t>
  </si>
  <si>
    <t>King penguins; First year at-sea; Juveniles; Distribution; Ocean current; Wind; Habitat preferences; Cluster analysis; Net squared displacements; Orientation; Seabird; Foraging</t>
  </si>
  <si>
    <t>DIMETHYL SULFIDE; SURVIVAL; BEHAVIOR; EXPLOITATION; VARIABILITY; MECHANISMS; MOVEMENTS; ONTOGENY; CURRENTS; REVEALS</t>
  </si>
  <si>
    <t>Background The early life of marine apex predators is poorly known, particularly for diving species. The orientation and foraging skills are presumably less developed in juveniles than in adults, especially during their first year at sea when juveniles might disperse further than adults. Methods Over two years of monitoring, we tracked the movements of 17 juvenile king penguins (Aptenodytes patagonicus, similar to 1 year old) using satellite relay tags from Crozet Archipelago (Southern Indian Ocean), starting when birds left their natal colony for the first time. For comparison we also tagged 6 non-breeding adults, which at that stage, similar to juveniles, are unhampered by reproductive constraints and might roam further than breeders. We used a combination of cluster analysis and habitat modelling to investigate and compare the movement patterns and habitat use of experienced (non-breeding adults) and non-experienced (juveniles) individuals. Results While juvenile penguins and non-breeding adults followed similar routes, the movements by adults started later in the season and ranged over a considerably smaller area than juveniles. Net squared displacement analysis revealed that both groups did not move to a specific wintering area. Changes in direction of juveniles in respect to their departure island were similar and synchronous for both years. Habitat models revealed that foraging behaviour was affected by environmental variables such as wind or current speeds, sea surface temperature, or oceanic productivity, for both stages. Analysis of tracks revealed that birds moved predominately perpendicular or against the main direction of the Antarctic Circumpolar Current and the prevailing wind during austral summer (juveniles only) and autumn (juveniles and non-breeding adults). However, both juveniles and adults were more likely to move against the prevailing winds if productivity increased along their trajectories. Conclusions The exceptional duration of our tracking study provided unprecedented insights into the distribution, habitat preferences and orientation of two poorly known life history stages of an expert avian diver. Our study suggests that juveniles might use both innate and learnt skills to reach profitable foraging areas during their first year at sea, which is critical in long-lived species.</t>
  </si>
  <si>
    <t>[Orgeret, F.; Delord, K.; Weimerskirch, H.; Bost, C. A.] CNRS, Ctr Etud Biol Chize, UMR 7372, F-79360 Villiers En Bois, France; [Peron, C.] UA, Lab Biol Organismes &amp; Ecosyst Aquat BOREA, MNHN, CNRS,IRD,SU,UCN, CP 26,43 Rue Cuvier, F-75231 Paris 05, France; [Enstipp, M. R.] Univ Strasbourg, Dept Ecol Physiol &amp; Ethol, CNRS, IPHC,UMR 7178, F-67000 Strasbourg, France</t>
  </si>
  <si>
    <t>Centre National de la Recherche Scientifique (CNRS); CNRS - Institute of Ecology &amp; Environment (INEE); Centre National de la Recherche Scientifique (CNRS); Institut de Recherche pour le Developpement (IRD); Museum National d'Histoire Naturelle (MNHN); Sorbonne Universite; Centre National de la Recherche Scientifique (CNRS); CNRS - National Institute of Nuclear and Particle Physics (IN2P3); Universites de Strasbourg Etablissements Associes; Universite de Strasbourg</t>
  </si>
  <si>
    <t>Orgeret, F (corresponding author), CNRS, Ctr Etud Biol Chize, UMR 7372, F-79360 Villiers En Bois, France.</t>
  </si>
  <si>
    <t>florianorgeret@gmail.com</t>
  </si>
  <si>
    <t>Weimerskirch, Henri/F-5562-2013</t>
  </si>
  <si>
    <t>European Research Council as part of the EARLYLIFE program under the European Commission's Seventh Framework Programme [FP7/2007-2013/ERC-2012ADG_20120314]; IPEV (Institut Paul Emile Victor)</t>
  </si>
  <si>
    <t>European Research Council as part of the EARLYLIFE program under the European Commission's Seventh Framework Programme(European Research Council (ERC)); IPEV (Institut Paul Emile Victor)</t>
  </si>
  <si>
    <t>This study was funded by an Advanced Grant from the European Research Council as part of the EARLYLIFE program under the European Commission's Seventh Framework Programme (grant agreement FP7/2007-2013/ERC-2012ADG_20120314; PI Dr. Henri Weimerskirch) and was supported by IPEV (Institut Paul Emile Victor, program 109 and program 394).</t>
  </si>
  <si>
    <t>2051-3933</t>
  </si>
  <si>
    <t>MOV ECOL</t>
  </si>
  <si>
    <t>Mov. Ecol.</t>
  </si>
  <si>
    <t>10.1186/s40462-019-0175-3</t>
  </si>
  <si>
    <t>JG1ZK</t>
  </si>
  <si>
    <t>WOS:000491875900001</t>
  </si>
  <si>
    <t>Shene, C; Parede, P; Vergara, D; Leyton, A; Garcés, M; Flores, L; Rubilar, M; Bustamante, M; Armenta, R</t>
  </si>
  <si>
    <t>Shene, Carolina; Parede, Paris; Vergara, Daniela; Leyton, Allison; Garces, Marcelo; Flores, Liset; Rubilar, Monica; Bustamante, Mariela; Armenta, Roberto</t>
  </si>
  <si>
    <t>Antarctic thraustochytrids: Producers of long-chain omega-3 polyunsaturated fatty acids</t>
  </si>
  <si>
    <t>MICROBIOLOGYOPEN</t>
  </si>
  <si>
    <t>docosahexaenoic acid; eicosapentaenoic acid; lipids; marine microorganisms; polyunsaturated fatty acids; Thraustochytriidae</t>
  </si>
  <si>
    <t>GAMMA-LINOLENIC ACID; LIPIDS; PROKARYOTES; OCEAN; DHA</t>
  </si>
  <si>
    <t>Thraustochytrids have been isolated from different aquatic systems; however, few studies have reported their occurrence in Antarctica. In this study, 13 strains close to strains belonging to the genera Oblongichytrium, Thraustochytrium, and Aurantiochytrium were isolated from seawater samples collected near the Antarctic Base Professor Julio Escudero (S 62 degrees 12 ' 57 ' E 58 degrees 57 ' 35 ''). Docosahexaenoic acid (DHA) was found in the total lipids of all the isolates; DHA content of the biomass (dry weight) varied between 3.3 and 33 mg/g under the growth conditions for isolation. Five of the Antarctic thraustochytrids were able to accumulate lipids at levels higher than 20% w/w. Two strains, RT2316-7 and RT2316-13, were selected to test the effect of the incubation temperature (at 5 degrees C for 14 days and at 15 degrees C for 5 days). Incubation temperature had little effect on the lipid content and biomass yield; however, its effect on the fatty acid composition was significant (p &lt; .05). The low incubation temperature favored the accumulation of eicosapentaenoic acid (EPA), palmitic acid and stearic acid in the total lipids of RT2316-7. Percentage of EPA, DHA and the omega-6 fatty acid dihomo-gamma-linolenic acid of total fatty acids of RT2316-13 was higher at the low incubation temperature. RT2316-13 accumulated the highest lipid content (30.0 +/- 0.5%) with a carbon to nitrogen mass ratio equal to 16.9. On the contrary, lipid accumulation in RT2316-7 occurred at high concentration of the nitrogen sources (monosodium glutamate or yeast extract). The capability to accumulate lipids with a fatty acid profile that can be tuned through cultivation temperature make the Antarctic thraustochytrid RT2316-13 a candidate for the production of lipids with different uses.</t>
  </si>
  <si>
    <t>[Shene, Carolina; Leyton, Allison; Garces, Marcelo; Flores, Liset; Rubilar, Monica; Bustamante, Mariela] Univ La Frontera, Dept Chem Engn, BIOREN, Temuco, Chile; [Shene, Carolina; Leyton, Allison; Garces, Marcelo; Flores, Liset; Rubilar, Monica; Bustamante, Mariela] Univ La Frontera, Ctr Food Biotechnol &amp; Bioseparat, BIOREN, Temuco, Chile; [Shene, Carolina; Flores, Liset; Bustamante, Mariela] Univ La Frontera, Ctr Biotechnol &amp; Bioengn CeBiB, Temuco, Chile; [Parede, Paris] Univ La Frontera, Master Program Engn Sci Specializat Biotechnol, Temuco, Chile; [Vergara, Daniela] Univ La Frontera, Doctoral Program Sci Nat Resources, Temuco, Chile; [Armenta, Roberto] Mara Renewables Corp, Dartmouth, NS, Canada</t>
  </si>
  <si>
    <t>Universidad de La Frontera; Universidad de La Frontera; Universidad de La Frontera; Universidad de La Frontera; Universidad de La Frontera</t>
  </si>
  <si>
    <t>Shene, C (corresponding author), Univ La Frontera, Dept Chem Engn, BIOREN, Temuco, Chile.;Shene, C (corresponding author), Univ La Frontera, Ctr Food Biotechnol &amp; Bioseparat, BIOREN, Temuco, Chile.</t>
  </si>
  <si>
    <t>carolina.shene@ufrontera.cl</t>
  </si>
  <si>
    <t>Vergara, Daniela/0009-0009-0654-2322; Paredes, Paris/0000-0002-4467-6913</t>
  </si>
  <si>
    <t>Institute Antarctic Chilean project [Inach RT 23-16]; postdoctoral project Fondecyt [3170610]; Centre for Biotechnology and Bioengineering (CeBiB) [FB-0001]; Direction of Investigation, Universidad de La Frontera</t>
  </si>
  <si>
    <t>Institute Antarctic Chilean project; postdoctoral project Fondecyt(Comision Nacional de Investigacion Cientifica y Tecnologica (CONICYT)CONICYT FONDECYT); Centre for Biotechnology and Bioengineering (CeBiB); Direction of Investigation, Universidad de La Frontera</t>
  </si>
  <si>
    <t>This research was supported by Institute Antarctic Chilean project Inach RT 23-16, postdoctoral project Fondecyt No3170610, the Centre for Biotechnology and Bioengineering (CeBiB) FB-0001, and Direction of Investigation, Universidad de La Frontera (GAP funding and undergraduate program).</t>
  </si>
  <si>
    <t>2045-8827</t>
  </si>
  <si>
    <t>MicrobiologyOpen</t>
  </si>
  <si>
    <t>e950</t>
  </si>
  <si>
    <t>10.1002/mbo3.950</t>
  </si>
  <si>
    <t>KC6CS</t>
  </si>
  <si>
    <t>WOS:000491780700001</t>
  </si>
  <si>
    <t>Champion, C; Hobday, AJ; Pecl, GT; Tracey, SR</t>
  </si>
  <si>
    <t>Champion, Curtis; Hobday, Alistair J.; Pecl, Gretta T.; Tracey, Sean R.</t>
  </si>
  <si>
    <t>Oceanographic habitat suitability is positively correlated with the body condition of a coastal-pelagic fish</t>
  </si>
  <si>
    <t>FISHERIES OCEANOGRAPHY</t>
  </si>
  <si>
    <t>bioelectrical impedance analysis; climate change; fish condition; habitat suitability model; range limits; Seriola lalandi; species distribution model</t>
  </si>
  <si>
    <t>BIOELECTRICAL-IMPEDANCE ANALYSIS; KINGFISH SERIOLA-LALANDI; TUNA THUNNUS-ALBACARES; CLIMATE-CHANGE; PROXIMATE COMPOSITION; EASTERN AUSTRALIA; RANGE EXTENSION; MARINE; WATERS; VARIABILITY</t>
  </si>
  <si>
    <t>Species distribution models are commonly used to determine a species' probability of occurrence but have not been used to examine the effect of environmental habitat suitability on fish condition, which is considered to be an integrated measure of physiological status. Here, we test for a relationship between oceanographic habitat suitability and the body condition of kingfish (Seriola lalandi) from eastern Australia. We (a) test whether individuals sampled from areas of high-quality habitat were in better condition than individuals sampled from areas of low-quality habitat, and (b) assess whether the condition of kingfish responded to oceanographic habitat suitability predicted at varying time-before-capture periods. Kingfish habitat was modelled as a function of sea surface temperature, sea-level anomaly and eddy kinetic energy in a generalized additive modelling framework. Model predictions were made over one- to six-week time-before-capture periods and compared to field-derived kingfish condition data measured using bioelectrical impedance analysis. Oceanographic habitat suitability was significantly correlated with kingfish condition at time-before-capture periods ranging from one to four weeks and became increasingly correlated at shorter lead-times. Our results highlight that (a) fish condition can respond sensitively to environmental variability and this response can be detected using oceanographic habitat suitability models, and (b) climate change may drive extensions in species range limits through spatial shifts in oceanographic habitat quality that allow individuals to persist beyond historical range boundaries without their body condition being compromised.</t>
  </si>
  <si>
    <t>[Champion, Curtis; Pecl, Gretta T.; Tracey, Sean R.] Inst Marine &amp; Antarctic Studies, Hobart, Tas 7001, Australia; [Champion, Curtis; Hobday, Alistair J.] CSIRO Oceans &amp; Atmosphere, Hobart, Tas, Australia; [Hobday, Alistair J.; Pecl, Gretta T.; Tracey, Sean R.] Ctr Marine Socioecol, Hobart, Tas, Australia</t>
  </si>
  <si>
    <t>Champion, C (corresponding author), Inst Marine &amp; Antarctic Studies, Hobart, Tas 7001, Australia.</t>
  </si>
  <si>
    <t>curtis.champion@utas.edu.au</t>
  </si>
  <si>
    <t>Champion, Curtis/AAF-9242-2020; Hobday, Alistair/A-1460-2012; Pecl, Gretta/D-7267-2011; Tracey, Sean/J-7446-2014</t>
  </si>
  <si>
    <t>Pecl, Gretta/0000-0003-0192-4339; Champion, Curtis/0000-0002-8666-5112; Tracey, Sean/0000-0002-6735-5899</t>
  </si>
  <si>
    <t>Holsworth Wildlife Research Endowment-Equity Trustees Charitable Foundation; ARC Future Fellowship [FT140100596]</t>
  </si>
  <si>
    <t>Holsworth Wildlife Research Endowment-Equity Trustees Charitable Foundation; ARC Future Fellowship(Australian Research Council)</t>
  </si>
  <si>
    <t>Holsworth Wildlife Research Endowment-Equity Trustees Charitable Foundation; ARC Future Fellowship, Grant/Award Number: FT140100596</t>
  </si>
  <si>
    <t>1054-6006</t>
  </si>
  <si>
    <t>1365-2419</t>
  </si>
  <si>
    <t>FISH OCEANOGR</t>
  </si>
  <si>
    <t>Fish Oceanogr.</t>
  </si>
  <si>
    <t>10.1111/fog.12457</t>
  </si>
  <si>
    <t>Fisheries; Oceanography</t>
  </si>
  <si>
    <t>JR5TC</t>
  </si>
  <si>
    <t>WOS:000491092200001</t>
  </si>
  <si>
    <t>Clemente-Moreno, MJ; Omranian, N; Sáez, P; Figueroa, CM; Del-Saz, N; Elso, M; Poblete, L; Orf, I; Cuadros-Inostroza, A; Cavieres, L; Bravo, L; Fernie, A; Ribas-Carbó, M; Flexas, J; Nikoloski, Z; Brotman, Y; Gago, J</t>
  </si>
  <si>
    <t>Jose Clemente-Moreno, Maria; Omranian, Nooshin; Saez, Patricia; Maria Figueroa, Carlos; Del-Saz, Nestor; Elso, Mhartyn; Poblete, Leticia; Orf, Isabel; Cuadros-Inostroza, Alvaro; Cavieres, Lohengrin; Bravo, Leon; Fernie, Alisdair; Ribas-Carbo, Miquel; Flexas, Jaume; Nikoloski, Zoran; Brotman, Yariv; Gago, Jorge</t>
  </si>
  <si>
    <t>Cytochrome respiration pathway and sulphur metabolism sustain stress tolerance to low temperature in the Antarctic species Colobanthus quitensis</t>
  </si>
  <si>
    <t>NEW PHYTOLOGIST</t>
  </si>
  <si>
    <t>Antarctica; antioxidant capacity; low temperature; photosynthesis; respiration; stress tolerance; sulphur metabolism</t>
  </si>
  <si>
    <t>PHOTOSYNTHETIC ELECTRON FLOW; MESOPHYLL CONDUCTANCE; ALTERNATIVE OXIDASE; CO2 ASSIMILATION; VASCULAR PLANTS; ANTISENSE INHIBITION; INTERNAL CONDUCTANCE; ANTIOXIDANT SYSTEM; LEAF RESPIRATION; GLOBAL CHANGE</t>
  </si>
  <si>
    <t>Understanding the strategies employed by plant species that live in extreme environments offers the possibility to discover stress tolerance mechanisms. We studied the physiological, antioxidant and metabolic responses to three temperature conditions (4, 15, and 23 degrees C) of Colobanthus quitensis (CQ), one of the only two native vascular species in Antarctica. We also employed Dianthus chinensis (DC), to assess the effects of the treatments in a non-Antarctic species from the same family. Using fused LASSO modelling, we associated physiological and biochemical antioxidant responses with primary metabolism. This approach allowed us to highlight the metabolic pathways driving the response specific to CQ. Low temperature imposed dramatic reductions in photosynthesis (up to 88%) but not in respiration (sustaining rates of 3.0-4.2 mu mol CO2 m(-2) s(-1)) in CQ, and no change in the physiological stress parameters was found. Its notable antioxidant capacity and mitochondrial cytochrome respiratory activity (20 and two times higher than DC, respectively), which ensure ATP production even at low temperature, was significantly associated with sulphur-containing metabolites and polyamines. Our findings potentially open new biotechnological opportunities regarding the role of antioxidant compounds and respiratory mechanisms associated with sulphur metabolism in stress tolerance strategies to low temperature.</t>
  </si>
  <si>
    <t>[Jose Clemente-Moreno, Maria; Ribas-Carbo, Miquel; Flexas, Jaume; Gago, Jorge] UIB, Inst Agroecol &amp; Econ Agua INAGEA, Res Grp Plant Biol Mediterranean Condit, Cta Valldemossa Km 7, Palma De Mallorca 07122, Spain; [Omranian, Nooshin; Nikoloski, Zoran] Max Planck Inst Mol Pflanzenphysiol, Syst Biol &amp; Math Modeling Grp, D-14476 Golm, Germany; [Omranian, Nooshin; Nikoloski, Zoran] Univ Potsdam, Inst Biochem &amp; Biol, Bioinformat, Karl Liebknecht Str 24-25, D-14476 Potsdam, Germany; [Saez, Patricia; Elso, Mhartyn; Poblete, Leticia] Univ Concepcion, Fac Ciencias Forestales, Dept Silvicultura, Lab Cult Tejidos Vegetales,Ctr Biotecnol, Concepcion 4030000, Chile; [Maria Figueroa, Carlos] UNL, Inst Agrobiotecnol Litoral, CONICET, FBCB, RA-3000 Santa Fe, Argentina; [Del-Saz, Nestor] Univ Concepcion, Fac Ciencias Nat &amp; Oceanog, Dept Bot, Lab Fisiol Vegetal, Concepcion 4030000, Chile; [Orf, Isabel; Brotman, Yariv] Ben Gurion Univ Negev, Dept Life Sci, IL-8410501 Beer Sheva, Israel; [Cuadros-Inostroza, Alvaro] Metasysx GmbH, Muhlenberg 11, D-14476 Potsdam, Germany; [Cavieres, Lohengrin] Univ Concepcion, Fac Ciencias Nat &amp; Oceanog, Dept Bot, ECOBIOSIS, Concepcion 4030000, Chile; [Bravo, Leon] Univ La Frontera, Inst Agroind, Fac Ciencias Agropecuarias &amp; Forestales, Dept Cs Agron &amp; Recursos Nat,Lab Fisiol &amp; Biol Mo, Temuco, Chile; [Bravo, Leon] Univ La Frontera, Ctr Plant Soil Interact &amp; Nat Resources Biotechno, Sci &amp; Technol Bioresource Nucleus, Temuco 4811230, Chile; [Fernie, Alisdair] Max Planck Inst Mol Pflanzenphysiol, Mol Physiol Dept, Cent Metab Grp, D-14476 Golm, Germany; [Nikoloski, Zoran] CPSBB, Plovdiv 4000, Bulgaria</t>
  </si>
  <si>
    <t>Universitat de les Illes Balears; Max Planck Society; University of Potsdam; Universidad de Concepcion; Consejo Nacional de Investigaciones Cientificas y Tecnicas (CONICET); National University of the Littoral; Universidad de Concepcion; Ben Gurion University; Universidad de Concepcion; Universidad de La Frontera; Universidad de La Frontera; Max Planck Society</t>
  </si>
  <si>
    <t>Gago, J (corresponding author), UIB, Inst Agroecol &amp; Econ Agua INAGEA, Res Grp Plant Biol Mediterranean Condit, Cta Valldemossa Km 7, Palma De Mallorca 07122, Spain.</t>
  </si>
  <si>
    <t>xurxogago@gmail.com</t>
  </si>
  <si>
    <t>Del-Saz, Néstor Fernández/C-4425-2018; Bravo, León/AAO-8437-2020; omranian, nooshin/F-1233-2011; Del-Saz, Néstor Fernández/JBR-8224-2023; Cavieres, Lohengrin A./A-9542-2010; Clemente-Moreno, Maria Jose/G-5339-2011; Gago, Jorge/N-3591-2013; Ribas-Carbo, Miquel/N-1634-2013</t>
  </si>
  <si>
    <t>Del-Saz, Néstor Fernández/0000-0002-9934-2427; Bravo, León/0000-0003-4705-4842; Cavieres, Lohengrin A./0000-0001-9122-3020; Clemente-Moreno, Maria Jose/0000-0003-3288-6312; Ribas-Carbo, Miquel/0000-0002-7337-2089; Orf, Isabel/0000-0002-7224-9134; Figueroa, Carlos Maria/0000-0003-4047-0480</t>
  </si>
  <si>
    <t>Ministerio de Economia y Competitividad (MINECO), Spain [CTM2014-53902-C2-1-P]; ERDF (FEDER, EU funds); MINECO; Becas Santander IberoAmerica; Max Planck Society (Partner Group for Plant Biochemistry); Fondecyt [11130332]; NEXER-UFRO (Chile) [NXR17-002]; Horizon 2020 Teaming project PlantaSyst (EU); REDES-CONICYT (Chile) [170102]</t>
  </si>
  <si>
    <t>Ministerio de Economia y Competitividad (MINECO), Spain(Spanish Government); ERDF (FEDER, EU funds); MINECO(Spanish Government); Becas Santander IberoAmerica; Max Planck Society (Partner Group for Plant Biochemistry); Fondecyt(Comision Nacional de Investigacion Cientifica y Tecnologica (CONICYT)CONICYT FONDECYT); NEXER-UFRO (Chile); Horizon 2020 Teaming project PlantaSyst (EU); REDES-CONICYT (Chile)</t>
  </si>
  <si>
    <t>This work was supported by the national research project CTM2014-53902-C2-1-P (Ministerio de Economia y Competitividad (MINECO), Spain) and the ERDF (FEDER, EU funds). MJC-M and JG want to thank their postdoctoral contracts Juan de la Cierva from MINECO and the Becas Santander IberoAmerica for young professors and researchers. CMF is funded by the Max Planck Society (Partner Group for Plant Biochemistry). PS, LB, and JG acknowledge the financial support from Fondecyt (11130332) and NEXER-UFRO (NXR17-002) (Chile). NO and ZN want to thank the support from the Horizon 2020 Teaming project PlantaSyst (EU). PS, MJC-M, LC, and JG also acknowledge the funds covered by REDES-CONICYT 170102 (Chile) for Chile-Spain researcher exchange. We thank Gudrun Wolter and Anne Michaelis (Max-Planck-Institute of Molecular Plant Physiology) for skilful technical assistance and Dr Lothar Willmitzer (Max-Planck-Institute of Molecular Plant Physiology) and the Max-Planck Society for longstanding support.</t>
  </si>
  <si>
    <t>0028-646X</t>
  </si>
  <si>
    <t>1469-8137</t>
  </si>
  <si>
    <t>NEW PHYTOL</t>
  </si>
  <si>
    <t>New Phytol.</t>
  </si>
  <si>
    <t>10.1111/nph.16167</t>
  </si>
  <si>
    <t>KC9JX</t>
  </si>
  <si>
    <t>WOS:000491142000001</t>
  </si>
  <si>
    <t>Simon, JI; Ross, DK; Nguyen, AN; Simon, SB; Messenger, S</t>
  </si>
  <si>
    <t>Simon, Justin, I; Ross, D. Kent; Nguyen, Ann N.; Simon, Steven B.; Messenger, Scott</t>
  </si>
  <si>
    <t>Molecular Cloud Origin for Oxygen Isotopic Heterogeneity Recorded by a Primordial Spinel-rich Refractory Inclusion</t>
  </si>
  <si>
    <t>WARK-LOVERING RIMS; SOLAR NEBULA; MELILITE CRYSTALS; THERMAL HISTORIES; ALLENDE; CA; CALCIUM; CHONDRITES; ANOMALIES; CONDENSATION</t>
  </si>
  <si>
    <t>A spinel-rich, layered calcium- aluminum-rich spherule from the MIL 090019 CO3 chondrite contains a spinel core with a relatively O-16-rich (Delta O-17 similar to -18 parts per thousand) and mass-fractionated oxygen isotopic composition surrounded by minerals, including spinel, that are relatively O-16-poor (Delta O-17 similar to -7 parts per thousand), which are in turn surrounded by layers of O-16-enriched silicates (Delta O-17 similar to -17 parts per thousand). Inclusions with refractory mineral assemblages such as this one are proposed to record inner nebula processes during the earliest epoch of solar nebula evolution. Mineralogical and textural analyses indicate that this primordial particle formed by high-temperature gas-solid reactions, partial melting, evaporation, and condensation. The radially distributed oxygen isotopic heterogeneity measured among multiple occurrences of several minerals, including spinel, requires the existence of O-16-poor gas at the beginning of solar system formation, 10(5) yr earlier than it can be produced by photochemical self-shielding in the solar nebula and introduced to the inner protoplanetary disk.</t>
  </si>
  <si>
    <t>[Simon, Justin, I; Ross, D. Kent; Nguyen, Ann N.; Messenger, Scott] NASA, Astromat Res &amp; Explorat Sci, Johnson Space Ctr, Houston, TX 77058 USA; [Ross, D. Kent] Univ Texas El Paso, Jacobs JETS, Houston, TX 77058 USA; [Nguyen, Ann N.] Jacobs JETS, Houston, TX 77058 USA; [Simon, Steven B.] Univ New Mexico, Inst Meteorit, Albuquerque, NM 87131 USA</t>
  </si>
  <si>
    <t>National Aeronautics &amp; Space Administration (NASA); University of Texas System; University of Texas El Paso; University of New Mexico</t>
  </si>
  <si>
    <t>Simon, JI (corresponding author), NASA, Astromat Res &amp; Explorat Sci, Johnson Space Ctr, Houston, TX 77058 USA.</t>
  </si>
  <si>
    <t>Justin.I.Simon@NASA.gov</t>
  </si>
  <si>
    <t>Nguyen, Ann/KGL-5622-2024</t>
  </si>
  <si>
    <t>Nguyen, Ann/0000-0002-0442-1991</t>
  </si>
  <si>
    <t>NSF; NASA; NASA Planetary Science Division; NASA [NNX17AI43G]; Emerging Worlds Program</t>
  </si>
  <si>
    <t>NSF(National Science Foundation (NSF)); NASA(National Aeronautics &amp; Space Administration (NASA)); NASA Planetary Science Division; NASA(National Aeronautics &amp; Space Administration (NASA)); Emerging Worlds Program</t>
  </si>
  <si>
    <t>This study of an Antarctic meteorite was made possible by the Antarctic Search for Meteorites (ANSMET) program. US Antarctic meteorite samples are recovered through this program, which is funded by NSF and NASA, and characterized and curated by the Department of Mineral Sciences of the Smithsonian Institution and the Astromaterials Acquisition and Curation Office at NASA JSC. We are grateful for the work by both the Curators, as well as, the members of the Meteorite Working Group who allocated this sample to us. This contribution was supported by NASA Planetary Science Division and Emerging Worlds Program to J.I.S. and S.M. and NASA grant NNX17AI43G to S.B.S.</t>
  </si>
  <si>
    <t>OCT 20</t>
  </si>
  <si>
    <t>L29</t>
  </si>
  <si>
    <t>10.3847/2041-8213/ab43e4</t>
  </si>
  <si>
    <t>KP9GD</t>
  </si>
  <si>
    <t>WOS:000516538200002</t>
  </si>
  <si>
    <t>Ade, PAR; Ahmed, Z; Aikin, RW; Barkats, D; Benton, SJ; Bischoff, CA; Bock, JJ; Bowens-Rubin, R; Brevik, JA; Buder, I; Bullock, E; Buza, V; Connors, J; Cornelison, J; Crill, BP; Crumrine, M; Dierickx, M; Duband, L; Filippini, JP; Fliescher, S; Grayson, J; Hall, G; Halpern, M; Harrison, S; Hildebrandt, SR; Hilton, GC; Hui, H; Irwin, KD; Kang, J; Karkare, KS; Karpel, E; Kaufman, JP; Keating, BG; Kefeli, S; Kernasovskiy, SA; Kovac, JM; Kuo, CL; Larsen, NA; Lau, K; Leitch, EM; Lueker, M; Megerian, KG; Moncelsi, L; Namikawa, T; Netterfield, CB; Nguyen, HT; O'Brient, R; Ogburn, RW; Palladino, S; Pryke, C; Racine, B; Richter, S; Schillaci, A; Schwarz, R; Sheehy, CD; Soliman, A; St Germaine, T; Staniszewski, ZK; Steinbach, B; Sudiwala, RV; Teply, GP; Thompson, KL; Tolan, JE; Tucker, C; Turner, AD; Umilta, C; Vieregg, AG; Wandui, A; Weber, AC; Wiebe, DV; Willmert, J; Wong, CL; Wu, WLK; Yang, H; Yoon, KW; Zhang, C</t>
  </si>
  <si>
    <t>Ade, P. A. R.; Ahmed, Z.; Aikin, R. W.; Barkats, D.; Benton, S. J.; Bischoff, C. A.; Bock, J. J.; Bowens-Rubin, R.; Brevik, J. A.; Buder, I.; Bullock, E.; Buza, V.; Connors, J.; Cornelison, J.; Crill, B. P.; Crumrine, M.; Dierickx, M.; Duband, L.; Filippini, J. P.; Fliescher, S.; Grayson, J.; Hall, G.; Halpern, M.; Harrison, S.; Hildebrandt, S. R.; Hilton, G. C.; Hui, H.; Irwin, K. D.; Kang, J.; Karkare, K. S.; Karpel, E.; Kaufman, J. P.; Keating, B. G.; Kefeli, S.; Kernasovskiy, S. A.; Kovac, J. M.; Kuo, C. L.; Larsen, N. A.; Lau, K.; Leitch, E. M.; Lueker, M.; Megerian, K. G.; Moncelsi, L.; Namikawa, T.; Netterfield, C. B.; Nguyen, H. T.; O'Brient, R.; Ogburn, R. W.; Palladino, S.; Pryke, C.; Racine, B.; Richter, S.; Schillaci, A.; Schwarz, R.; Sheehy, C. D.; Soliman, A.; St Germaine, T.; Staniszewski, Z. K.; Steinbach, B.; Sudiwala, R. V.; Teply, G. P.; Thompson, K. L.; Tolan, J. E.; Tucker, C.; Turner, A. D.; Umilta, C.; Vieregg, A. G.; Wandui, A.; Weber, A. C.; Wiebe, D. V.; Willmert, J.; Wong, C. L.; Wu, W. L. K.; Yang, H.; Yoon, K. W.; Zhang, C.</t>
  </si>
  <si>
    <t>Keck Array Collaboration; BICEP2 Collaboration</t>
  </si>
  <si>
    <t>BICEP2/Keck Array XI: Beam Characterization and Temperature-to-Polarization Leakage in the BK15 Data Set</t>
  </si>
  <si>
    <t>cosmic background radiation; cosmology: observations; gravitational waves; inflation polarization</t>
  </si>
  <si>
    <t>Precision measurements of cosmic microwave background (CMB) polarization require extreme control of instrumental systematics. In a companion paper we have presented cosmological constraints from observations with the BICEP2 and Keck Array experiments up to and including the 2015 observing season (BK15), resulting in the deepest CMB polarization maps to date and a statistical sensitivity to the tensor-to-scalar ratio of s(r).=.0.020. In this work we characterize the beams and constrain potential systematic contamination from main beam shape mismatch at the three BK15 frequencies (95, 150, and 220 GHz). Far-field maps of 7360 distinct beam patterns taken from 2010-2015 are used to measure differential beam parameters and predict the contribution of temperature-to-polarization leakage to the BK15 B-mode maps. In the multifrequency, multicomponent likelihood analysis that uses BK15, Planck, and Wilkinson Microwave Anisotropy Probe maps to separate sky components, we find that adding this predicted leakage to simulations induces a bias of Delta r = 0.0027 +/- 0.0019. Future results using higher-quality beam maps and improved techniques to detect such leakage in CMB data will substantially reduce this uncertainty, enabling the levels of systematics control needed for BICEP Array and other experiments that plan to definitively probe large-field inflation.</t>
  </si>
  <si>
    <t>[Ade, P. A. R.; Sudiwala, R. V.; Tucker, C.] Cardiff Univ, Sch Phys &amp; Astron, Cardiff CF24 3AA, S Glam, Wales; [Ahmed, Z.; Irwin, K. D.; Kuo, C. L.; Ogburn, R. W.; Yoon, K. W.] SLAC Natl Accelerator Lab, Kavli Inst Particle Astrophys &amp; Cosmol, 2575 Sand Hill Rd, Menlo Pk, CA 94025 USA; [Aikin, R. W.; Bock, J. J.; Brevik, J. A.; Hildebrandt, S. R.; Hui, H.; Kefeli, S.; Lueker, M.; Moncelsi, L.; O'Brient, R.; Schillaci, A.; Soliman, A.; Staniszewski, Z. K.; Steinbach, B.; Teply, G. P.; Wandui, A.; Zhang, C.] CALTECH, Dept Phys, Pasadena, CA 91125 USA; [Barkats, D.; Bowens-Rubin, R.; Buder, I.; Buza, V.; Connors, J.; Cornelison, J.; Dierickx, M.; Harrison, S.; Karkare, K. S.; Kovac, J. M.; Racine, B.; Richter, S.; St Germaine, T.; Wong, C. L.] Harvard Smithsonian Ctr Astrophys, 60 Garden St MS 42, Cambridge, MA 02138 USA; [Benton, S. J.] Princeton Univ, Dept Phys, Princeton, NJ 08544 USA; [Bischoff, C. A.; Palladino, S.; Umilta, C.] Univ Cincinnati, Dept Phys, Cincinnati, OH 45221 USA; [Bock, J. J.; Crill, B. P.; Hildebrandt, S. R.; Megerian, K. G.; Nguyen, H. T.; O'Brient, R.; Staniszewski, Z. K.; Turner, A. D.; Weber, A. C.] Jet Prop Lab, Pasadena, CA 91109 USA; [Bullock, E.; Pryke, C.] Univ Minnesota, Minnesota Inst Astrophys, Minneapolis, MN 55455 USA; [Buza, V.; Kovac, J. M.; Wong, C. L.] Harvard Univ, Dept Phys, Cambridge, MA 02138 USA; [Crumrine, M.; Fliescher, S.; Hall, G.; Lau, K.; Pryke, C.; Schwarz, R.; Willmert, J.] Univ Minnesota, Sch Phys &amp; Astron, Minneapolis, MN 55455 USA; [Duband, L.] CEA, Serv Basses Temp, F-38054 Grenoble, France; [Filippini, J. P.] Univ Illinois, Dept Phys, Urbana, IL 61801 USA; [Filippini, J. P.] Univ Illinois, Dept Astron, Urbana, IL 61801 USA; [Grayson, J.; Irwin, K. D.; Kang, J.; Karpel, E.; Kernasovskiy, S. A.; Kuo, C. L.; Ogburn, R. W.; Thompson, K. L.; Tolan, J. E.; Yang, H.; Yoon, K. W.] Stanford Univ, Dept Phys, Stanford, CA 94305 USA; [Halpern, M.; Wiebe, D. V.] Univ British Columbia, Dept Phys &amp; Astron, Vancouver, BC V6T 1Z1, Canada; [Hilton, G. C.; Irwin, K. D.] NIST, Boulder, CO 80305 USA; [Karkare, K. S.; Larsen, N. A.; Leitch, E. M.; Vieregg, A. G.; Wu, W. L. K.] Univ Chicago, Kavli Inst Cosmol Phys, Chicago, IL 60637 USA; [Kaufman, J. P.; Keating, B. G.; Teply, G. P.] Univ Calif San Diego, Dept Phys, La Jolla, CA 92093 USA; [Namikawa, T.] Univ Cambridge, Dept Appl Math &amp; Theoret Phys, Cambridge CB3 0WA, England; [Netterfield, C. B.] Univ Toronto, Dept Phys, Toronto, ON M5S 1A7, Canada; [Netterfield, C. B.] Canadian Inst Adv Res, Toronto, ON M5G 1Z8, Canada; [Sheehy, C. D.] Brookhaven Natl Lab, Dept Phys, Upton, NY 11973 USA; [Vieregg, A. G.] Univ Chicago, Enrico Fermi Inst, Dept Phys, Chicago, IL 60637 USA</t>
  </si>
  <si>
    <t>Cardiff University; Stanford University; United States Department of Energy (DOE); SLAC National Accelerator Laboratory; California Institute of Technology; Harvard University; Smithsonian Astrophysical Observatory; Smithsonian Institution; Princeton University; University System of Ohio; University of Cincinnati; National Aeronautics &amp; Space Administration (NASA); NASA Jet Propulsion Laboratory (JPL); University of Minnesota System; University of Minnesota Twin Cities; Harvard University; University of Minnesota System; University of Minnesota Twin Cities; CEA; University of Illinois System; University of Illinois Urbana-Champaign; University of Illinois System; University of Illinois Urbana-Champaign; Stanford University; University of British Columbia; National Institute of Standards &amp; Technology (NIST) - USA; University of Chicago; University of California System; University of California San Diego; University of Cambridge; University of Toronto; Canadian Institute for Advanced Research (CIFAR); United States Department of Energy (DOE); Brookhaven National Laboratory; University of Chicago</t>
  </si>
  <si>
    <t>Karkare, KS (corresponding author), Harvard Smithsonian Ctr Astrophys, 60 Garden St MS 42, Cambridge, MA 02138 USA.;Karkare, KS (corresponding author), Univ Chicago, Kavli Inst Cosmol Phys, Chicago, IL 60637 USA.</t>
  </si>
  <si>
    <t>kkarkare@kicp.uchicago.edu</t>
  </si>
  <si>
    <t>Moncelsi, Lorenzo/AAU-1009-2020; Nguyen, H.T/AAG-1974-2021; Chen, Shuo/JEO-6350-2023; kaufman, jarrod/GXV-3683-2022; Nguyễn, Hương/JUV-6128-2023; sun, huan/JEO-7152-2023</t>
  </si>
  <si>
    <t>Moncelsi, Lorenzo/0000-0002-4242-3015; Nguyen, H.T/0000-0001-5580-2877; Zhang, Cheng/0000-0001-8288-5823; Willmert, Justin/0000-0002-6452-4693; Hildebrandt, Sergi/0000-0003-0220-0009; Lau, King/0000-0002-6445-2407; Ahmed, Zeeshan/0000-0002-9957-448X; /0000-0002-5215-6993; Kovac, John/0009-0003-5432-7180; Tucker, Carole/0000-0002-1851-3918; Wu, Kimmy/0000-0001-5411-6920; Barkats, Denis/0000-0002-8971-1954; Hui, Howard/0000-0001-5812-1903; Bischoff, Colin/0000-0001-9185-6514; Racine, Benjamin/0000-0001-8861-3052; Bowens-Rubin, Rachel/0000-0001-5831-9530; Crill, Brendan/0000-0002-4650-8518; Namikawa, Toshiya/0000-0003-3070-9240; Irwin, Kent/0000-0002-2998-9743; Dierickx, Marion/0000-0002-3519-8593; Kang, Jae Hwan/0000-0002-3470-2954; Schillaci, Alessandro/0000-0002-0512-1042</t>
  </si>
  <si>
    <t>National Science Foundation [ANT-1145172, ANT-1145143, ANT-1145248]; Keck Foundation (Caltech); JPL Research and Technology Development Fund; NASA [06-ARPA206-0040, 10-SAT10-0017]; Gordon and Betty Moore Foundation at Caltech; Canada Foundation for Innovation grant; FAS Science Division Research Computing Group at Harvard University; U.S. DoE Office of Science; STFC [ST/S00033X/1] Funding Source: UKRI</t>
  </si>
  <si>
    <t>National Science Foundation(National Science Foundation (NSF)); Keck Foundation (Caltech); JPL Research and Technology Development Fund; NASA(National Aeronautics &amp; Space Administration (NASA)); Gordon and Betty Moore Foundation at Caltech(Gordon and Betty Moore Foundation); Canada Foundation for Innovation grant(Canada Foundation for Innovation); FAS Science Division Research Computing Group at Harvard University; U.S. DoE Office of Science(United States Department of Energy (DOE)); STFC(UK Research &amp; Innovation (UKRI)Science &amp; Technology Facilities Council (STFC))</t>
  </si>
  <si>
    <t>The Keck Array project has been made possible through support from the National Science Foundation under grants ANT-1145172 (Harvard), ANT-1145143 (Minnesota), and ANT-1145248 (Stanford), and from the Keck Foundation (Caltech). The development of antenna-coupled detector technology was supported by the JPL Research and Technology Development Fund and grant Nos..06-ARPA206-0040 and 10-SAT10-0017 from the NASA APRA and SAT programs. The development and testing of focal planes were supported by the Gordon and Betty Moore Foundation at Caltech. Readout electronics were supported by a Canada Foundation for Innovation grant to UBC. The computations in this paper were run on the Odyssey cluster supported by the FAS Science Division Research Computing Group at Harvard University. The analysis effort at Stanford and SLAC is partially supported by the U.S. DoE Office of Science. We thank the staff of the U.S. Antarctic Program and in particular the South Pole Station without whose help this research would not have been possible. Most special thanks go to our heroic winter-overs Robert Schwarz and Steffen Richter. We thank all those who have contributed past efforts to the BICEP-Keck Array.series of experiments, including the BICEP1 team. We also thank the Planck and WMAP teams for the use of their data.</t>
  </si>
  <si>
    <t>10.3847/1538-4357/ab391d</t>
  </si>
  <si>
    <t>JU6BY</t>
  </si>
  <si>
    <t>Bronze, Green Accepted, Green Submitted</t>
  </si>
  <si>
    <t>WOS:000501761200005</t>
  </si>
  <si>
    <t>Schimschal, CM; Jokat, W</t>
  </si>
  <si>
    <t>Schimschal, Claudia Monika; Jokat, Wilfried</t>
  </si>
  <si>
    <t>The crustal structure of the Maurice Ewing Bank</t>
  </si>
  <si>
    <t>TECTONOPHYSICS</t>
  </si>
  <si>
    <t>Falkland Plateau; Wide-angle seismic data; Amplitude modelling; Continental fragment</t>
  </si>
  <si>
    <t>LARGE IGNEOUS PROVINCES; GONDWANA BREAK-UP; FALKLAND PLATEAU; CONTINENTAL-CRUST; ATLANTIC; RIDGE; SEA; EVOLUTION; GRAVITY; HISTORY</t>
  </si>
  <si>
    <t>The Maurice Ewing Bank is a bathymetric high at the eastern termination of the Falkland Plateau in the South Atlantic Ocean. During the Jurassic, the Falkland Plateau was situated between the South American, Antarctic and African plates and therefore its crustal composition is of interest for plate kinematic reconstructions of the Southern Ocean. On the basis of recently acquired wide-angle seismic and potential field data, a crustal model is established for the Maurice Ewing Bank, the adjacent eastern Falkland Plateau Basin and the western Georgia Basin. According to the model, the Falkland Plateau Basin is floored by thick oceanic crust. An 80 km wide continent-ocean transition zone is located towards the Maurice Ewing Bank. The data indicate that the Maurice Ewing Bank is composed of continental crust of up to 29 km thickness. Its western part shows fast crustal velocities (&gt; 7.0 km/s) and strong intracrustal reflections. The wide-angle data provide no evidence for strong tectonic or magmatic overprinting of the bank's central portion. The continental crust thins eastwards to 11 km. The oceanic crust of the Georgia Basin is of average thickness (similar to 7 km) for its type. Here, ship and airborne magnetic data confirm previously identified Mesozoic spreading anomalies and the onset of oceanic crust formation at M10n (similar to 133 Ma) time.</t>
  </si>
  <si>
    <t>[Schimschal, Claudia Monika; Jokat, Wilfried] Alfred Wegener Inst, Helmholtz Ctr Polar &amp; Marine Res, Dept Geophys, Handelshafen 12, D-27570 Bremerhaven, Germany; [Jokat, Wilfried] Univ Bremen, Dept Geosci, Klagenfurterstr 4, D-28359 Bremen, Germany</t>
  </si>
  <si>
    <t>Helmholtz Association; Alfred Wegener Institute, Helmholtz Centre for Polar &amp; Marine Research; University of Bremen</t>
  </si>
  <si>
    <t>Schimschal, CM (corresponding author), Alfred Wegener Inst, Helmholtz Ctr Polar &amp; Marine Res, Dept Geophys, Handelshafen 12, D-27570 Bremerhaven, Germany.</t>
  </si>
  <si>
    <t>Claudia.Klemt@awi.de; Wilfried.Jokat@awi.de</t>
  </si>
  <si>
    <t>Schimschal, Claudia Monika/0000-0002-3156-9393; Jokat, Wilfried/0000-0002-7793-5854</t>
  </si>
  <si>
    <t>Alfred Wegener Institute (AWI)</t>
  </si>
  <si>
    <t>We thank Captain Stefan Schwarze and his crew of 11/V Polarstern for their excellent support and assistance during expedition ANT-XXIX/5. We acknowledge the Geomar, Kiel for providing the OBS/H stations. For their support with the software SOFI2D we thank Thomas Bohlen. Graeme Eagles is thanked for his effort to enhance the manuscript. Many thanks to Frauke Klingelhoefer and one anonymous reviewer for their constructive review of this manuscript. This work was supported by Alfred Wegener Institute (AWI) internal funding.</t>
  </si>
  <si>
    <t>0040-1951</t>
  </si>
  <si>
    <t>1879-3266</t>
  </si>
  <si>
    <t>Tectonophysics</t>
  </si>
  <si>
    <t>10.1016/j.tecto.2019.228190</t>
  </si>
  <si>
    <t>JO0AH</t>
  </si>
  <si>
    <t>WOS:000497249600005</t>
  </si>
  <si>
    <t>Sontag, PT; Steinberg, DK; Reinfelder, JR</t>
  </si>
  <si>
    <t>Sontag, Philip T.; Steinberg, Deborah K.; Reinfelder, John R.</t>
  </si>
  <si>
    <t>Patterns of total mercury and methylmercury bioaccumulation in Antarctic krill (Euphausia superba) along the West Antarctic Peninsula</t>
  </si>
  <si>
    <t>Mercury; Antarctica; Krill development; Sea ice; Primary and export production</t>
  </si>
  <si>
    <t>ONTOGENIC NICHE EXPANSION; MARINE FOOD-WEB; CARBON REMINERALIZATION; ELEMENT CONCENTRATIONS; SPATIAL VARIABILITY; TROPHIC POSITION; MARGUERITE BAY; ADMIRALTY BAY; AUSTRAL FALL; TRACE-METALS</t>
  </si>
  <si>
    <t>We examined mercury (Hg) accumulation in juvenile and adult subpopulations of Antarctic krill (Euphausia superba) collected west of the Antarctic Peninsula. Samples were collected along a northern cross-shelf transect beginning near Anvers Island and farther south near the sea ice edge in the austral summers of 2011, 2013, 2014, and 2015. Regardless of geographical position, mean concentrations of total Hg and methylmercury (MeHg), the form of Hg that biomagnifies in marine food webs, were significantly higher in juvenile than adult krill in all years. In 2013, juvenile Antarctic krill collected along the coast near Anvers Island had significantly higher MeHg concentrations than krill collected farther offshore, and in 2013 and 2014, coastal juvenile krill exhibited some of the highest MeHg concentrations of all subpopulations sampled. Across all sampling years, collection in northern (sea ice-free) or southern (sea ice edge) transects did not affect MeHg concentrations of juvenile or adult krill, suggesting similar levels and routes of MeHg exposure across the latitudes sampled. Developmental stage, feeding near the coast, and annual variations in sea ice-driven primary and export production were identified as potentially important factors leading to greater MeHg accumulation in juvenile than adult krill. Krill-dependent predators feeding primarily on juveniles may thus accumulate more MeHg than consumers foraging on older krill. These results report MeHg concentrations in Antarctic krill and will be useful for predicting Hg biomagnification in higher-level consumers in this productive Antarctic ecosystem. (C) 2019 Elsevier B.V. All rights reserved.</t>
  </si>
  <si>
    <t>[Sontag, Philip T.; Reinfelder, John R.] Rutgers State Univ, Dept Environm Sci, 14 Coll Farm Rd, New Brunswick, NJ 08901 USA; [Steinberg, Deborah K.] Virginia Inst Marine Sci, Coll William &amp; Mary, Gloucester Point, VA 23062 USA</t>
  </si>
  <si>
    <t>Rutgers University System; Rutgers University New Brunswick; William &amp; Mary; Virginia Institute of Marine Science</t>
  </si>
  <si>
    <t>Sontag, PT (corresponding author), Rutgers State Univ, Dept Environm Sci, 14 Coll Farm Rd, New Brunswick, NJ 08901 USA.</t>
  </si>
  <si>
    <t>philip.sontag@rutgers.edu; debbies@vims.edu; reinfelder@envsci.rutgers.edu</t>
  </si>
  <si>
    <t>Sontag, Philip T/G-3927-2011; Reinfelder, John/C-7214-2016</t>
  </si>
  <si>
    <t>Steinberg, Deborah K./0000-0001-9884-4655; Reinfelder, John/0000-0002-3737-604X</t>
  </si>
  <si>
    <t>National Science Foundation Antarctic Organisms and Ecosystems Program [OPP NSF PLR 1440435]; NSF Chemical Oceanography Program [OCE-1634154]; Hatch/McIntyre-Stennis grant through the New Jersey Agricultural Experiment Station</t>
  </si>
  <si>
    <t>National Science Foundation Antarctic Organisms and Ecosystems Program(National Science Foundation (NSF)NSF - Directorate for Geosciences (GEO)); NSF Chemical Oceanography Program(National Science Foundation (NSF)NSF - Directorate for Geosciences (GEO)); Hatch/McIntyre-Stennis grant through the New Jersey Agricultural Experiment Station</t>
  </si>
  <si>
    <t>We thank the Captain, officers, and crew of the ARSV Laurence M. Gould, and Raytheon Polar Services and Lockheed Martin personnel for their scientific and logistical support. This research was supported by the National Science Foundation Antarctic Organisms and Ecosystems Program(OPP NSF PLR 1440435), the NSF Chemical Oceanography Program (OCE-1634154), and a Hatch/McIntyre-Stennis grant through the New Jersey Agricultural Experiment Station. This is contribution number XXX from the Virginia Institute of Marine Science.</t>
  </si>
  <si>
    <t>10.1016/j.scitotenv.2019.06.176</t>
  </si>
  <si>
    <t>IR6ZG</t>
  </si>
  <si>
    <t>WOS:000481589100020</t>
  </si>
  <si>
    <t>Norregaard, RD; Kaarsholm, H; Bach, L; Nowak, B; Geertz-Hansen, O; Sondergaard, J; Sonne, C</t>
  </si>
  <si>
    <t>Norregaard, Rasmus Dyrmose; Kaarsholm, Henrik; Bach, Lis; Nowak, Barbara; Geertz-Hansen, Ole; Sondergaard, Jens; Sonne, Christian</t>
  </si>
  <si>
    <t>Bioaccumulation of rare earth elements in juvenile arctic char (Salvelinus alpinus) under field experimental conditions</t>
  </si>
  <si>
    <t>Rare earth elements; In situ experiment; Arctic char; Cerium; Lanthanum; Yttrium</t>
  </si>
  <si>
    <t>FRESH-WATER; RAINBOW-TROUT; LANTHANUM; ACCUMULATION; ECOTOXICITY; TOXICITY; SEDIMENT</t>
  </si>
  <si>
    <t>Few ecotoxicological studies exist on the accumulation and effects of rare earth elements (REEs) in fish, particularly on Arctic species. In southwest Greenland, there are currently several advanced exploration REE mining projects. The aim of this study was to investigate accumulation of REEs in native fish species. juvenile arctic chars, Salvelinus alpinus, were pulse-exposed to cerium (Ce), lanthanum (La) and yttrium (Y) using an in-situ flow through system over a period of 15 days. Results showed that the arctic char accumulated most REEs in the gills &gt; liver &gt; muscle. We also demonstrated the ability of the arctic char to rapidly excrete the REEs throughout the experiment, where levels of post exposure accumulation also declined throughout the period. These results demonstrate the importance of further studies on accumulation of REE in the arctic char native to the site of future mining operations. Long-term exposure will most likely result in accumulation of REE5 in arctic char, and the effects and accumulation patterns of this should be explored further. (C) 2019 Elsevier B.V. All rights reserved.</t>
  </si>
  <si>
    <t>[Norregaard, Rasmus Dyrmose; Kaarsholm, Henrik; Bach, Lis; Nowak, Barbara; Sondergaard, Jens; Sonne, Christian] Aarhus Univ, Fac Sci &amp; Technol, Dept Biosci, Arctic Res Ctr, Frederiksborgvej 399, DK-4000 Roskilde, Denmark; [Norregaard, Rasmus Dyrmose; Geertz-Hansen, Ole] Greenland Inst Nat Resources, Dept Environm &amp; Mineral Resources, Nuuk, Greenland; [Nowak, Barbara] Univ Tasmania, Inst Marine &amp; Antarctic Studies, Newnham, Tas 7248, Australia</t>
  </si>
  <si>
    <t>Aarhus University; Greenland Institute of Natural Resources; University of Tasmania</t>
  </si>
  <si>
    <t>Norregaard, RD (corresponding author), Aarhus Univ, Fac Sci &amp; Technol, Dept Biosci, Arctic Res Ctr, Frederiksborgvej 399, DK-4000 Roskilde, Denmark.</t>
  </si>
  <si>
    <t>rdyn@bios.au.dk</t>
  </si>
  <si>
    <t>Sonne, Christian/I-7532-2013; Søndergaard, Jens/AAZ-1079-2020; Søndergaard, Jens js/F-3031-2013; Nowak, Barbara/J-7261-2014; Bach, Lis/J-6567-2013</t>
  </si>
  <si>
    <t>Sonne, Christian/0000-0001-5723-5263; Søndergaard, Jens/0000-0001-7680-9920; Søndergaard, Jens js/0000-0002-1629-1864; Nowak, Barbara/0000-0002-0347-643X; Bach, Lis/0000-0003-2891-4202</t>
  </si>
  <si>
    <t>Greenlandic Research Council; Artic Science Partnership Field Campaigns (2016)</t>
  </si>
  <si>
    <t>The Greenlandic Research Council is acknowledged for funding Rasmus D. Norregaards PhD scholarship. The Artic Science Partnership Field Campaigns (2016) is acknowledged for providing funding for this study. AM Plejdrup and SE Joensen at Bioscience are acknowledged for conducting the element analyses.</t>
  </si>
  <si>
    <t>10.1016/j.scitotenv.2019.06.180</t>
  </si>
  <si>
    <t>WOS:000481589100053</t>
  </si>
  <si>
    <t>Kwok, R; Markus, T; Kurtz, NT; Petty, AA; Neumann, TA; Farrell, SL; Cunningham, GF; Hancock, DW; Ivanofe, A; Wimert, JT</t>
  </si>
  <si>
    <t>Kwok, R.; Markus, T.; Kurtz, N. T.; Petty, A. A.; Neumann, T. A.; Farrell, S. L.; Cunningham, G. F.; Hancock, D. W.; Ivanofe, A.; Wimert, J. T.</t>
  </si>
  <si>
    <t>Surface Height and Sea Ice Freeboard of the Arctic Ocean From ICESat-2: Characteristics and Early Results</t>
  </si>
  <si>
    <t>altimetry; Arctic; Antarctic; sea ice thickness; freeboard; surface height</t>
  </si>
  <si>
    <t>We present the first winter season of surface height and sea ice freeboards of the Arctic Ocean from the new Ice, Cloud, and Land Elevation Satellite (ICESat-2; IS-2) mission. The Advanced Topographic Laser Altimeter System onboard has six photon-counting beams for surface profiling with a 10-kHz pulse rate (interpulse distance similar to 0.7 m) and footprints of similar to 17 m. Geolocated heights assigned to individual photons scattered from the surface allow significant flexibility in the construction of height distributions used in surface finding. For IS-2 sea ice products, a fixed 150-photon aggregate is used to control height precision and obtain better along-track resolution over high reflectance surfaces. Quasi-specular returns in openings as narrow as similar to 27 m, crucial for freeboard calculations, are resolved. The fixed photon aggregate results in unique variable along-track resolutions and nonuniform sampling (17 m x 27 m to 17 m x 200 m for the strong beams) of the surface. The six profiling beams-three pairs separated by 3.3 km with a strong and weak beam in each pair-provide correlated statistics at regional length scales for assessment of beam-to-beam retrieval consistency and accuracy. Analysis shows along-track height precisions of similar to 2 cm and agreement in the monthly freeboard distributions across the strong beams to 1-2 cm. In this paper, we describe briefly the approaches used in surface height and freeboard retrievals from Advanced Topographic Laser Altimeter System photon clouds and detail the key features of these along-track sea ice products, focusing on the first release of data collected over the Arctic Ocean, which spans the period between 14 October 2018-the start of data collection-and the end of March 2019.</t>
  </si>
  <si>
    <t>[Kwok, R.; Cunningham, G. F.] CALTECH, Jet Prop Lab, Pasadena, CA 91125 USA; [Markus, T.; Kurtz, N. T.; Petty, A. A.; Neumann, T. A.; Ivanofe, A.] Goddard Space Flight Ctr, Greenbelt, MD USA; [Petty, A. A.; Farrell, S. L.] Univ Maryland, Earth Syst Sci Interdisciplinary Ctr, College Pk, MD 20742 USA; [Farrell, S. L.] Univ Maryland, Geog Sci, College Pk, MD 20742 USA; [Hancock, D. W.] Wallops Flight Facil, Wallop Isl, VA USA; [Hancock, D. W.; Wimert, J. T.] KBR, Greenbelt, MD USA; [Ivanofe, A.] ADNET Syst Inc, Bethesda, MD USA</t>
  </si>
  <si>
    <t>National Aeronautics &amp; Space Administration (NASA); NASA Jet Propulsion Laboratory (JPL); California Institute of Technology; National Aeronautics &amp; Space Administration (NASA); NASA Goddard Space Flight Center; University System of Maryland; University of Maryland College Park; University System of Maryland; University of Maryland College Park; National Aeronautics &amp; Space Administration (NASA); NASA Goddard Space Flight Center; Wallops Flight Facility</t>
  </si>
  <si>
    <t>Kwok, R (corresponding author), CALTECH, Jet Prop Lab, Pasadena, CA 91125 USA.</t>
  </si>
  <si>
    <t>ron.kwok@jpi.nasa.gov</t>
  </si>
  <si>
    <t>Kwok, Ronald/L-3968-2019; Neumann, Thomas/JLL-4672-2023; Farrell, Sinead/F-5586-2010; Petty, Alek/K-1839-2014</t>
  </si>
  <si>
    <t>Kwok, Ronald/0000-0003-4051-5896; Farrell, Sinead/0000-0003-3222-2751; Petty, Alek/0000-0003-0307-3216</t>
  </si>
  <si>
    <t>National Aeronautics and Space Administration</t>
  </si>
  <si>
    <t>National Aeronautics and Space Administration(National Aeronautics &amp; Space Administration (NASA))</t>
  </si>
  <si>
    <t>R. K. and G. F. C. carried out this work at the Jet Propulsion Laboratory, California Institute of Technology, under contract with the National Aeronautics and Space Administration. The ICESat-2 data used herein are available at https://nsidc.org/data/icesat-2/data-sets website. The Copernicus Sentinel-1 imagery used here was processed by ESA and archived at the Alaska Satellite Facility.</t>
  </si>
  <si>
    <t>10.1029/2019JC015486</t>
  </si>
  <si>
    <t>WOS:000491432900001</t>
  </si>
  <si>
    <t>Hunt, BJ; Mallon, EB; Rosato, E</t>
  </si>
  <si>
    <t>Hunt, Benjamin James; Mallon, Eamonn B.; Rosato, Ezio</t>
  </si>
  <si>
    <t>In silico Identification of a Molecular Circadian System With Novel Features in the Crustacean Model Organism Parhyale hawaiensis</t>
  </si>
  <si>
    <t>crustacean; amphipod; parhyale; talitrus; hyalella; circadian; clock; genetics</t>
  </si>
  <si>
    <t>CLOCK PROTEIN; RHYTHMS; TRANSCRIPTOME; RECONSTRUCTION; PREDICTION; COMPONENTS; PERIOD; GENES; CYCLE; CRAB</t>
  </si>
  <si>
    <t>The amphipod Parhyale hawaiensis is a model organism of growing importance in the fields of evolutionary development and regeneration. A small, hardy marine crustacean that breeds year-round with a short generation time, it has simple lab culture requirements and an extensive molecular toolkit including the ability to generate targeted genetic mutant lines. Here we identify canonical core and regulatory clock genes using genomic and transcriptomic resources as a first step in establishing this species as a model in the field of chronobiology. The molecular clock of P. hawaiensis lacks orthologs of the canonical circadian genes cryptochrome 1 and timeless, in common with the mammalian system but in contrast to many arthropods including Drosophila melanogaster. Furthermore the predicted CLOCK peptide is atypical and CRY2 shows an extended 5 ' region of unknown function. These results appear to be shared by two other amphipod species.</t>
  </si>
  <si>
    <t>[Hunt, Benjamin James; Mallon, Eamonn B.; Rosato, Ezio] Univ Leicester, Dept Genet &amp; Genome Biol, Leicester, Leics, England</t>
  </si>
  <si>
    <t>University of Leicester</t>
  </si>
  <si>
    <t>Rosato, E (corresponding author), Univ Leicester, Dept Genet &amp; Genome Biol, Leicester, Leics, England.</t>
  </si>
  <si>
    <t>er6@le.ac.uk</t>
  </si>
  <si>
    <t>Mallon, Eamonn Bernard/H-1834-2011; Hunt, Benjamin James/IQS-3328-2023</t>
  </si>
  <si>
    <t>Hunt, Benjamin James/0000-0003-3825-9723</t>
  </si>
  <si>
    <t>Natural Environment Research Council (NERC) UK through an Antarctic Funding Initiative grant [NE/D008719/1]; Natural Environment Research Council, UK [NE/N010019/1]; NERC [NE/N010019/1, NE/D008719/1] Funding Source: UKRI</t>
  </si>
  <si>
    <t>Natural Environment Research Council (NERC) UK through an Antarctic Funding Initiative grant(UK Research &amp; Innovation (UKRI)Natural Environment Research Council (NERC)); Natural Environment Research Council, UK(UK Research &amp; Innovation (UKRI)Natural Environment Research Council (NERC)); NERC(UK Research &amp; Innovation (UKRI)Natural Environment Research Council (NERC))</t>
  </si>
  <si>
    <t>This work was funded by the Natural Environment Research Council (NERC) UK through an Antarctic Funding Initiative grant NE/D008719/1 (ER) and a Ph.D. studentship (BH). EM was supported by research grant NE/N010019/1 from the Natural Environment Research Council, UK.</t>
  </si>
  <si>
    <t>OCT 18</t>
  </si>
  <si>
    <t>10.3389/fphys.2019.01325</t>
  </si>
  <si>
    <t>JJ7JE</t>
  </si>
  <si>
    <t>WOS:000494328700001</t>
  </si>
  <si>
    <t>Li, Y; Cha, QQ; Dang, YR; Chen, XL; Wang, M; McMinn, A; Espina, G; Zhang, YZ; Blamey, JM; Qin, QL</t>
  </si>
  <si>
    <t>Li, Yi; Cha, Qian-Qian; Dang, Yan-Ru; Chen, Xiu-Lan; Wang, Min; McMinn, Andrew; Espina, Giannina; Zhang, Yu-Zhong; Blamey, Jenny M.; Qin, Qi-Long</t>
  </si>
  <si>
    <t>Reconstruction of the Functional Ecosystem in the High Light, Low Temperature Union Glacier Region, Antarctica</t>
  </si>
  <si>
    <t>microorganism community; biogeochemical cycling; extreme environmental adaption; metagenomic analysis; antarctic glacier</t>
  </si>
  <si>
    <t>LEPTOSPIRILLUM-FERRIPHILUM; MICROBIAL COMMUNITY; DIVERSITY; ECOLOGY; ICE; IDENTIFICATION; SEQUENCES; GENOME; GENES</t>
  </si>
  <si>
    <t>Antarctica is covered by multiple larger glaciers with diverse extreme conditions. Microorganisms in Antarctic regions are primarily responsible for diverse biogeochemical processes. The identity and functionality of microorganisms from polar glaciers are defined. However, little is known about microbial communities from the high elevation glaciers. The Union Glacier, located in the inland of West Antarctica at 79 ffi S, is a challenging environment for life to survive due to the high irradiance and low temperatures. Here, soil and rock samples were obtained from three high mountains (Rossman Cove, Charles Peak, and Elephant Head) adjacent to the Union Glacier. Using metagenomic analyses, the functional microbial ecosystem was analyzed through the reconstruction of carbon, nitrogen and sulfur metabolic pathways. A low biomass but diverse microbial community was found. Although archaea were detected, bacteria were dominant. Taxa responsible for carbon fixation were comprised of photoautotrophs (Cyanobacteria) and chemoautotrophs (mainly Alphaproteobacterial clades: Bradyrhizobium, Sphingopyxis, and Nitrobacter). The main nitrogen fixation taxa were Halothece (Cyanobacteria), Methyloversatilis, and Leptothrix (Betaproteobacteria). Diverse sulfide-oxidizing and sulfate-reducing bacteria, fermenters, denitrifying microbes, methanogens, and methane oxidizers were also found. Putative producers provide organic carbon and nitrogen for the growth of other heterotrophic microbes. In the biogeochemical pathways, assimilation and mineralization of organic compounds were the dominant processes. Besides, a range of metabolic pathways and genes related to high irradiance, low temperature and other stress adaptations were detected, which indicate that the microbial communities had adapted to and could survive in this harsh environment. These results provide a detailed perspective of the microbial functional ecology of the Union Glacier area and improve our understanding of linkages between microbial communities and biogeochemical cycling in high Antarctic ecosystems.</t>
  </si>
  <si>
    <t>[Li, Yi; Cha, Qian-Qian; Dang, Yan-Ru; Chen, Xiu-Lan; Zhang, Yu-Zhong; Qin, Qi-Long] Shandong Univ, Marine Biotechnol Res Ctr, State Key Lab Microbial Technol, Qingdao, Shandong, Peoples R China; [Chen, Xiu-Lan; Zhang, Yu-Zhong] Qingdao Natl Lab Marine Sci &amp; Technol, Lab Marine Biol &amp; Biotechnol, Qingdao, Shandong, Peoples R China; [Wang, Min; McMinn, Andrew; Zhang, Yu-Zhong] Ocean Univ China, Inst Adv Ocean Study, Coll Marine Life Sci, Qingdao, Shandong, Peoples R China; [McMinn, Andrew] Univ Tasmania, Inst Marine &amp; Antarctic Studies, Hobart, Tas, Australia; [Espina, Giannina; Blamey, Jenny M.] Fdn Cient &amp; Cultural Biociencia, Santiago, Chile; [Blamey, Jenny M.] Univ Santiago Chile, Fac Chem &amp; Biol, Santiago, Chile</t>
  </si>
  <si>
    <t>Shandong University; Laoshan Laboratory; Ocean University of China; University of Tasmania; Universidad de Santiago de Chile</t>
  </si>
  <si>
    <t>Qin, QL (corresponding author), Shandong Univ, Marine Biotechnol Res Ctr, State Key Lab Microbial Technol, Qingdao, Shandong, Peoples R China.;Blamey, JM (corresponding author), Fdn Cient &amp; Cultural Biociencia, Santiago, Chile.;Blamey, JM (corresponding author), Univ Santiago Chile, Fac Chem &amp; Biol, Santiago, Chile.</t>
  </si>
  <si>
    <t>jblamey@bioscience.cl; qinqilong@sdu.edu.cn</t>
  </si>
  <si>
    <t>Espina, Giannina/AAD-5275-2020; Wang, Min/AFR-9645-2022; Wang, zijun/JNS-5435-2023; sun, jiamin/JPY-2155-2023; liu, peiyao/KFT-1810-2024; Blamey, Jenny M/M-2637-2014; McMinn, Andrew/A-9910-2008</t>
  </si>
  <si>
    <t>Wang, Min/0000-0002-2357-589X; Blamey, Jenny M/0000-0002-7640-316X; Zhang, Yu-Zhong/0000-0002-2017-1005; McMinn, Andrew/0000-0002-2133-3854; Espina, Giannina/0000-0002-6308-7217</t>
  </si>
  <si>
    <t>National Key R&amp;D Program of China [2018YFC1406703, 2018YFC1406702]; Chilean Antarctic Institute (INACH); Fundacion Biociencia; National Natural Science Foundation of China [U1706207, 31630012, 91851205, 31870101]; Program of Shandong for Taishan Scholars [tspd20181203]; AoShan Talents Cultivation Program; Qingdao National Laboratory for Marine Science and Technology [2017ASTCP-OS14]; Young Scholars Program of Shandong University [2016WLJH36]; Key Research Project of Shandong Province [2017GSF21106]</t>
  </si>
  <si>
    <t>National Key R&amp;D Program of China; Chilean Antarctic Institute (INACH); Fundacion Biociencia; National Natural Science Foundation of China(National Natural Science Foundation of China (NSFC)); Program of Shandong for Taishan Scholars; AoShan Talents Cultivation Program; Qingdao National Laboratory for Marine Science and Technology; Young Scholars Program of Shandong University; Key Research Project of Shandong Province</t>
  </si>
  <si>
    <t>This work was supported by the National Key R&amp;D Program of China (2018YFC1406703 and 2018YFC1406702), Chilean Antarctic Institute (INACH), Fundacion Biociencia, the National Natural Science Foundation of China (U1706207, 31630012, 91851205, and 31870101), the Program of Shandong for Taishan Scholars (tspd20181203), AoShan Talents Cultivation Program supported by Qingdao National Laboratory for Marine Science and Technology (2017ASTCP-OS14), Young Scholars Program of Shandong University (2016WLJH36), and the Key Research Project of Shandong Province (2017GSF21106).</t>
  </si>
  <si>
    <t>10.3389/fmicb.2019.02408</t>
  </si>
  <si>
    <t>JG3RX</t>
  </si>
  <si>
    <t>gold, Green Accepted, Green Published</t>
  </si>
  <si>
    <t>WOS:000491992700001</t>
  </si>
  <si>
    <t>Matano, RP; Palma, ED; Combes, V</t>
  </si>
  <si>
    <t>Matano, Ricardo P.; Palma, Elbio D.; Combes, Vincent</t>
  </si>
  <si>
    <t>The Burdwood Bank Circulation</t>
  </si>
  <si>
    <t>Southern Ocean circulation; ocean fertilization; seamounts</t>
  </si>
  <si>
    <t>STRATIFIED TIDAL RECTIFICATION; FINITE-AMPLITUDE BANKS; TALL ISOLATED SEAMOUNT; TOPOGRAPHIC RECTIFICATION; NUMERICAL-SIMULATION; GEORGES BANK; MODEL; CURRENTS; FLOW; VARIABILITY</t>
  </si>
  <si>
    <t>A suite of high-resolution numerical simulations characterizes the oceanic circulation in the Burdwood Bank, a shallow seamount located in the northeastern end of the Drake Passage. Model analysis shows energetic upwelling and mixing uplifting deep and benthic waters into the photic layer. Tides and the Antarctic Circumpolar Current are the primary drivers of the bank's circulation. Tidal forcing is the main driver for the entrainment of deep waters into the upper layers of the bank and local wind forcing for the detrainment of these waters into the deep ocean. Passive tracer diagnostics suggest that the dynamical processes triggered by the Burdwood Bank could have a significant impact on local ecosystems and the biogeochemical balance of the southwestern Atlantic region, which is one of the most fertile portions of the Southern Ocean. Model results are robust-they are reproduced in a wide array of model configurations-but there is insufficient observational evidence to corroborate them. Satellite color imagery does not show substantial chlorophyll blooms in this region but it shows strong phytoplankton plumes emanating from the bank. There are several potential explanations for the chlorophyll deficit, including lack of light due to persistent cloud cover, deep mixing layers, fast ocean currents, and the likelihood that blooms, while extant, might not develop on the surface. None of these possibilities can be confirmed at this stage.</t>
  </si>
  <si>
    <t>[Matano, Ricardo P.; Combes, Vincent] Oregon State Univ, Coll Earth Ocean &amp; Atmospher Sci, Corvallis, OR 97331 USA; [Palma, Elbio D.] Univ Nacl Sur, Dept Fis, Bahia Blanca, Buenos Aires, Argentina; [Palma, Elbio D.] Consejo Nacl Invest Cient &amp; Tecn, Inst Argentino Oceanog, Bahia Blanca, Buenos Aires, Argentina</t>
  </si>
  <si>
    <t>Oregon State University; National University of the South; Consejo Nacional de Investigaciones Cientificas y Tecnicas (CONICET)</t>
  </si>
  <si>
    <t>Matano, RP (corresponding author), Oregon State Univ, Coll Earth Ocean &amp; Atmospher Sci, Corvallis, OR 97331 USA.</t>
  </si>
  <si>
    <t>rmatano@coas.oregonstate.edu</t>
  </si>
  <si>
    <t>combes, vincent/AAA-2343-2020</t>
  </si>
  <si>
    <t>combes, vincent/0000-0002-0416-1827; Matano, Ricardo/0000-0001-5177-4610</t>
  </si>
  <si>
    <t>NASA [NNX17AH20G]; National Science Foundation [OCE-1559550, OCE-1830856]; Agencia Nacional de Promocion Cientifica y Tecnologica, Argentina [PICT16-0557]; Universidad Nacional del Sur, Argentina [24F066]</t>
  </si>
  <si>
    <t>NASA(National Aeronautics &amp; Space Administration (NASA)); National Science Foundation(National Science Foundation (NSF)); Agencia Nacional de Promocion Cientifica y Tecnologica, Argentina(ANPCyT); Universidad Nacional del Sur, Argentina</t>
  </si>
  <si>
    <t>We are very grateful for the time and effort invested by two anonymous reviewers and the editor in the improvement of this manuscript. Their kind and thoughtful comments improved substantially this article. R. Matano and V. Combes acknowledge NASA support through grant NNX17AH20G and the National Science Foundation through grants OCE-1559550 and OCE-1830856. E.D. Palma acknowledges financial support from Agencia Nacional de Promocion Cientifica y Tecnologica (grant PICT16-0557) and Universidad Nacional del Sur (grant 24F066), Argentina. The comments of Jacobo Martin, Yvette Spitz, and Valeria Guinder during the preparation of this article are greatly appreciated. Altimeter data described in this article can be accessed in https://aviso.altimetry.fr/en/data/data-access/ftp.html.</t>
  </si>
  <si>
    <t>10.1029/2019JC015001</t>
  </si>
  <si>
    <t>WOS:000491923300001</t>
  </si>
  <si>
    <t>The importance of Antarctic krill in biogeochemical cycles</t>
  </si>
  <si>
    <t>ZOOPLANKTON FECAL PELLETS; EUPHAUSIA-SUPERBA DANA; SOUTHERN-OCEAN; CLIMATE-CHANGE; MEGANYCTIPHANES-NORVEGICA; MARINE ECOSYSTEM; TWILIGHT ZONE; SINKING RATES; PARTICLE-FLUX; CARBON EXPORT</t>
  </si>
  <si>
    <t>Antarctic krill (Euphausia superba) are swarming, oceanic crustaceans, up to two inches long, and best known as prey for whales and penguins - but they have another important role. With their large size, high biomass and daily vertical migrations they transport and transform essential nutrients, stimulate primary productivity and influence the carbon sink. Antarctic krill are also fished by the Southern Ocean's largest fishery. Yet how krill fishing impacts nutrient fertilisation and the carbon sink in the Southern Ocean is poorly understood. Our synthesis shows fishery management should consider the influential biogeochemical role of both adult and larval Antarctic krill.</t>
  </si>
  <si>
    <t>[Cavan, E. L.; McCormack, S.; Nicol, S.; Boyd, P. W.] Univ Tasmania, Inst Marine &amp; Antarctic Studies, Hobart, Tas, Australia; [Belcher, A.; Hill, S. L.; Tarling, G. A.] British Antarctic Survey, Nat Environm Res Council, Madingley Rd, Cambridge CB3 0ET, England; [Atkinson, A.] Plymouth Marine Lab, Prospect Pl, Plymouth PL1 3DH, Devon, England; [Kawaguchi, S.] Australian Antarctic Div, Kingston, Tas, Australia; [McCormack, S.; Boyd, P. W.] Univ Tasmania, Antarctic Climate &amp; Ecosyst CRC, Hobart, Tas, Australia; [Meyer, B.] Alfred Wegener Inst Polar &amp; Marine Res, Bremerhaven, Germany; [Meyer, B.] Carl von Ossietzky Univ Oldenburg, Inst Chem &amp; Biol Marine Environm, Carl Von Ossietzky Str 9-11, D-26111 Oldenburg, Germany; [Meyer, B.] Carl von Ossietzky Univ Oldenburg, Helmholtz Inst Funct Marine Biodivers, Ammerlander Heerstr 231, D-26129 Oldenburg, Germany; [Ratnarajah, L.] Univ Liverpool, Dept Earth Ocean &amp; Ecol Sci, Liverpool, Merseyside, England; [Schmidt, K.] Univ Plymouth, Sch Geog Earth &amp; Environm Sci, Plymouth, Devon, England; [Steinberg, D. K.] Virginia Inst Marine Sci, Coll William &amp; Mary, Williamsburg, VA USA; [Cavan, E. L.] Imperial Coll London, Dept Life Sci, Silwood Pk Campus,Buckhurst Rd, Ascot SL5 7PY, Berks, England</t>
  </si>
  <si>
    <t>University of Tasmania; UK Research &amp; Innovation (UKRI); Natural Environment Research Council (NERC); NERC British Antarctic Survey; Plymouth Marine Laboratory; Australian Antarctic Division; University of Tasmania; Helmholtz Association; Alfred Wegener Institute, Helmholtz Centre for Polar &amp; Marine Research; Carl von Ossietzky Universitat Oldenburg; Carl von Ossietzky Universitat Oldenburg; University of Liverpool; University of Plymouth; William &amp; Mary; Virginia Institute of Marine Science; Imperial College London</t>
  </si>
  <si>
    <t>Cavan, EL (corresponding author), Univ Tasmania, Inst Marine &amp; Antarctic Studies, Hobart, Tas, Australia.;Cavan, EL (corresponding author), Imperial Coll London, Dept Life Sci, Silwood Pk Campus,Buckhurst Rd, Ascot SL5 7PY, Berks, England.</t>
  </si>
  <si>
    <t>e.cavan@imperial.ac.uk</t>
  </si>
  <si>
    <t>Atkinson, Angus/HOH-3417-2023; Simeon, Hill L/B-2307-2008; Meyer, Bettina/ABB-5311-2020; Cavan, Emma/AFY-2671-2022; Boyd, Philip W/J-7624-2014</t>
  </si>
  <si>
    <t>Meyer, Bettina/0000-0001-6804-9896; Steinberg, Deborah K./0000-0001-9884-4655; Hill, Simeon/0000-0003-1441-8769; Schmidt, Katrin/0000-0002-6488-623X; McCormack, Stacey/0000-0002-8949-4793; Belcher, Anna/0000-0002-9583-5910; Ratnarajah, Lavenia/0000-0002-1021-1923</t>
  </si>
  <si>
    <t>Pew Charitable Trust; Australian Research Council Laureate [FL160100131]; Ocean Ecosystems programme at British Antarctic Survey; UK Natural Environment Research Council (NERC) [NE/M020835/1]; US National Science Foundation's Antarctic Organisms and Ecosystems Program [PLR 1440435]; UK NERC through PICCOLO (RoSES programme) [NE/P021409/1]; NERC [NE/P021409/1, NE/M020835/1, bas0100035, NE/P021344/1, pml010004] Funding Source: UKRI</t>
  </si>
  <si>
    <t>Pew Charitable Trust; Australian Research Council Laureate(Australian Research Council); Ocean Ecosystems programme at British Antarctic Survey; UK Natural Environment Research Council (NERC)(UK Research &amp; Innovation (UKRI)Natural Environment Research Council (NERC)); US National Science Foundation's Antarctic Organisms and Ecosystems Program; UK NERC through PICCOLO (RoSES programme); NERC(UK Research &amp; Innovation (UKRI)Natural Environment Research Council (NERC))</t>
  </si>
  <si>
    <t>This publication was funded by a Pew Charitable Trust grant awarded to E.L.C., and E.L.C. was funded by an Australian Research Council Laureate (FL160100131) awarded to P.W.B. A.B., G.A.T. and S.L.H. were supported by the Ocean Ecosystems programme at British Antarctic Survey, and A.B. and G.A.T. additionally by a Large Grant from the UK Natural Environment Research Council (NERC, NE/M020835/1). D.K.S. was supported by the US National Science Foundation's Antarctic Organisms and Ecosystems Program (grant PLR 1440435). Contributions from A.A. and K.S. were funded by the UK NERC through PICCOLO (RoSES programme) NE/P021409/1. The graphics (Figs. 1-3 and 5) were produced by McCork Studios.</t>
  </si>
  <si>
    <t>10.1038/s41467-019-12668-7</t>
  </si>
  <si>
    <t>JE9AW</t>
  </si>
  <si>
    <t>WOS:000490981900011</t>
  </si>
  <si>
    <t>Dexter, E; Bollens, SM</t>
  </si>
  <si>
    <t>Dexter, Eric; Bollens, Stephen M.</t>
  </si>
  <si>
    <t>Zooplankton invasions in the early 21st century: a global survey of recent studies and recommendations for future research</t>
  </si>
  <si>
    <t>HYDROBIOLOGIA</t>
  </si>
  <si>
    <t>Non-indigenous; Aquatic; Bythotrephes longimanus; Mnemioposis leidyi; Cercopagis pengoi; Daphnia lumholtzi</t>
  </si>
  <si>
    <t>CLIMATE-CHANGE; SKISTODIAPTOMUS-PALLIDUS; ZEBRA MUSSELS; LAKE-MICHIGAN; IMPACTS; COPEPODA; SPREAD; DIAPTOMIDAE; DISPERSAL; TRANSPORT</t>
  </si>
  <si>
    <t>We present a comprehensive survey of the scientific literature pertaining to non-indigenous and invasive zooplankton published across the first decades of the twenty-first century (i.e., 2000-2018). We provide a concise summary of the manner in which the scientific community has allocated its efforts to this issue in recent decades, and to illuminate trends that emerge from the literature. Our search yielded 620 publications encompassing 139 invasive zooplankton species, with invasive zooplankton reported from every region of the planet-including the Arctic and Antarctic. Most taxa were reported in a small number of publications, with the majority being mentioned in only a single paper. In contrast, approximately half of the surveyed publications concerned just four species: Bythotrephes longimanus, Mnemioposis leidyi, Cercopagis pengoi, and Daphnia lumholtzi. Our survey reveals strong geographic patterns among the literature, with most publications arising from economically developed western nations. We found that the majority of publications pertained to holoplanktonic organisms from freshwater habitats, especially from the North American Great Lakes. Based on these results, we present several recommendations for future research topics that may hold considerable opportunity for growth in our understanding of the invasion process.</t>
  </si>
  <si>
    <t>[Dexter, Eric] Washington State Univ, Sch Environm, 14204 NE Salmon Creek Ave, Vancouver, WA 98686 USA; [Bollens, Stephen M.] Washington State Univ, Sch Environm, Sch Biol Sci, 14204 NE Salmon Creek Ave, Vancouver, WA 98686 USA; [Dexter, Eric] Univ Basel, Dept Environm Sci, Vesalgasse 1, CH-4051 Basel, Switzerland</t>
  </si>
  <si>
    <t>Washington State University; Washington State University; University of Basel</t>
  </si>
  <si>
    <t>Dexter, E (corresponding author), Univ Basel, Dept Environm Sci, Vesalgasse 1, CH-4051 Basel, Switzerland.</t>
  </si>
  <si>
    <t>ericdaviddexter@gmail.com</t>
  </si>
  <si>
    <t>Bollens, Stephen/0000-0001-9214-9037</t>
  </si>
  <si>
    <t>US Environmental Protection Agency STAR grant [FP91780901-0]</t>
  </si>
  <si>
    <t>US Environmental Protection Agency STAR grant</t>
  </si>
  <si>
    <t>Funding for this research was provided by a US Environmental Protection Agency STAR grant (#FP91780901-0) awarded to E. Dexter and S. Bollens. Additional comments on this manuscript were provided by Stephen Katz, Stephanie Hampton, Gretchen Rollwagen-Bollens, and Severine Vuilleumier as members of E. Dexter's Ph.D. committee.</t>
  </si>
  <si>
    <t>0018-8158</t>
  </si>
  <si>
    <t>1573-5117</t>
  </si>
  <si>
    <t>Hydrobiologia</t>
  </si>
  <si>
    <t>10.1007/s10750-019-04096-x</t>
  </si>
  <si>
    <t>JV6DS</t>
  </si>
  <si>
    <t>WOS:000491397900002</t>
  </si>
  <si>
    <t>Bax, NJ; Miloslavich, P; Muller-Karger, FE; Allain, V; Appeltans, W; Batten, SD; Benedetti-Cecchi, L; Buttigieg, PL; Chiba, S; Costa, DP; Duffy, JE; Dunn, DC; Johnson, CR; Kudela, RM; Obura, D; Rebelo, LM; Shin, YJ; Simmons, SE; Tyack, PL</t>
  </si>
  <si>
    <t>Bax, Nicholas J.; Miloslavich, Patricia; Muller-Karger, Frank Edgar; Allain, Valerie; Appeltans, Ward; Batten, Sonia Dawn; Benedetti-Cecchi, Lisandro; Buttigieg, Pier Luigi; Chiba, Sanae; Costa, Daniel Paul; Duffy, J. Emmett; Dunn, Daniel C.; Johnson, Craig Richard; Kudela, Raphael M.; Obura, David; Rebelo, Lisa-Maria; Shin, Yunne-Jai; Simmons, Samantha Elisabeth; Tyack, Peter Lloyd</t>
  </si>
  <si>
    <t>A Response to Scientific and Societal Needs for Marine Biological Observations (vol 6, 395, 2019)</t>
  </si>
  <si>
    <t>GOOS; capacity development; EOV; ocean observing; essential ocean variable; UN Decade; Sustainable Development Goals</t>
  </si>
  <si>
    <t>[Bax, Nicholas J.; Miloslavich, Patricia] CSIRO, Oceans &amp; Atmosphere, Hobart, Tas, Australia; [Bax, Nicholas J.; Miloslavich, Patricia; Johnson, Craig Richard] Univ Tasmania, Inst Marine &amp; Antarctic Studies, Hobart, Tas, Australia; [Miloslavich, Patricia] Univ Simon Bolivar, Dept Estudios Ambientales, Caracas, Venezuela; [Muller-Karger, Frank Edgar] Univ S Florida, Inst Marine Remote Sensing, Coll Marine Sci, St Petersburg, FL USA; [Allain, Valerie] Secretariat Pacific Community, Noumea, France; [Appeltans, Ward] Intergovt Oceanog Commiss UNESCO, IOC Project Off IODE, Oostende, Belgium; [Batten, Sonia Dawn] CPR Survey MBA, Nanaimo, BC, Canada; [Benedetti-Cecchi, Lisandro] Univ Pisa, CoNISMa, Dept Biol, Pisa, Italy; [Buttigieg, Pier Luigi] Alfred Wegener Inst, Helmholtz Zentrum Polar &amp; Meeresforsch, Bremerhaven, Germany; [Chiba, Sanae] JAMSTEC, Yokohama, Kanagawa, Japan; [Chiba, Sanae] UNEP WCMC, Cambridge, England; [Costa, Daniel Paul] Univ Calif Santa Cruz, Dept Ecol &amp; Evolutionary Biol, Santa Cruz, CA 95064 USA; [Duffy, J. Emmett] Smithsonian, Washington, DC USA; [Dunn, Daniel C.] Duke Univ, Nicholas Sch Environm, Durham, NC 27708 USA; [Kudela, Raphael M.] Univ Calif Santa Cruz, Ocean Sci Dept, Santa Cruz, CA 95064 USA; [Obura, David] Coastal Oceans Res &amp; Dev Indian Ocean CORDIO East, Mombasa, Kenya; [Obura, David] Univ Queensland, Global Change Inst, Brisbane, Qld, Australia; [Rebelo, Lisa-Maria] Int Water Management Inst, Reg Off SE Asia &amp; Mekong, Viangchan, Laos; [Shin, Yunne-Jai] Univ Montpellier, IFREMER, CNRS, MARBEC,IRD, Montpellier, France; [Shin, Yunne-Jai] Univ Cape Town, Ma Re Inst, Dept Biol Sci, Cape Town, South Africa; [Simmons, Samantha Elisabeth] Marine Mammal Commiss, Bethesda, MD USA; [Tyack, Peter Lloyd] Marine Biol Assoc UK, Nanaimo, BC, Canada</t>
  </si>
  <si>
    <t>Commonwealth Scientific &amp; Industrial Research Organisation (CSIRO); University of Tasmania; Simon Bolivar University; State University System of Florida; University of South Florida; CoNISMa; University of Pisa; Helmholtz Association; Alfred Wegener Institute, Helmholtz Centre for Polar &amp; Marine Research; Japan Agency for Marine-Earth Science &amp; Technology (JAMSTEC); United Nations Environment Programme; University of California System; University of California Santa Cruz; Smithsonian Institution; Duke University; University of California System; University of California Santa Cruz; University of Queensland; CGIAR; International Water Management Institute (IWMI); Centre National de la Recherche Scientifique (CNRS); Ifremer; Universite de Montpellier; Institut de Recherche pour le Developpement (IRD); University of Cape Town</t>
  </si>
  <si>
    <t>Bax, NJ; Miloslavich, P (corresponding author), CSIRO, Oceans &amp; Atmosphere, Hobart, Tas, Australia.;Bax, NJ; Miloslavich, P (corresponding author), Univ Tasmania, Inst Marine &amp; Antarctic Studies, Hobart, Tas, Australia.;Miloslavich, P (corresponding author), Univ Simon Bolivar, Dept Estudios Ambientales, Caracas, Venezuela.</t>
  </si>
  <si>
    <t>nic.bax@csiro.au; pmilos@usb.ve</t>
  </si>
  <si>
    <t>Shin, Yunne-Jai/A-7575-2012; Tyack, Peter/AAC-4513-2019; Bax, Nicholas J/A-2321-2012; Allain, Valerie/AAE-1449-2019</t>
  </si>
  <si>
    <t>Tyack, Peter/0000-0002-8409-4790; Allain, Valerie/0000-0002-9874-3077</t>
  </si>
  <si>
    <t>NERC [SAH01001] Funding Source: UKRI; Natural Environment Research Council [NE/R015953/1, SAH01001] Funding Source: researchfish</t>
  </si>
  <si>
    <t>NERC(UK Research &amp; Innovation (UKRI)Natural Environment Research Council (NERC)); Natural Environment Research Council(UK Research &amp; Innovation (UKRI)Natural Environment Research Council (NERC))</t>
  </si>
  <si>
    <t>10.3389/fmars.2019.00643</t>
  </si>
  <si>
    <t>JF0KN</t>
  </si>
  <si>
    <t>WOS:000491076500001</t>
  </si>
  <si>
    <t>Watanabe, M; Kojima, H; Fukui, M</t>
  </si>
  <si>
    <t>Watanabe, Miho; Kojima, Hisaya; Fukui, Manabu</t>
  </si>
  <si>
    <t>Labilibaculum antarcticum sp. nov., a novel facultative anaerobic, psychrotorelant bacterium isolated from marine sediment of Antarctica</t>
  </si>
  <si>
    <t>Bacteroidetes; Labilibaculum; Marinifilaceae; Novel species</t>
  </si>
  <si>
    <t>GEN. NOV.; MARINIFILACEAE; PROLIXIBACTERACEAE</t>
  </si>
  <si>
    <t>A novel facultative anaerobic and facultative psychrophilic bacterium, designated SPP2(T), was isolated from an Antarctic marine sediment. Cells of the isolate were observed to be long rods (0.5 x 5-10 mu m), Gram-stain negative and to have gliding motility. For growth, the optimum NaCl concentration was found to be 2-3% and the optimum temperature to be 18-22 degrees C. Strain SPP2(T) cannot use sulfate and nitrate as electron acceptors in the presence of lactate. The G+C content of the genomic DNA was determined to be 36.0 mol%.. The major cellular fatty acids were identified as anteiso-C-15:0 and iso-C-15:0. MK-7 was found to be the predominant respiratory quinone. Phylogenetic analysis based on the 16S rRNA gene revealed that the novel strain belongs to the family Marinifilaceae and to be closely related to Labilibaculum manganireducens 59.10-2M(T) with 16S rRNA gene sequence identity of 98%. The OrthoANI and dDDH values between the genome sequences of strain SPP2(T) and its close relative were 84% and 27.3%, which are lower than the threshold values for species delineation. On the basis of phylogenetic and phenotypic characterisation, Labilibaculum antarcticum sp. nov. is proposed with the type strain SPP2(T) (= NBRC 111151(T) = CECT 9460(T)).</t>
  </si>
  <si>
    <t>[Watanabe, Miho; Kojima, Hisaya; Fukui, Manabu] Hokkaido Univ, Inst Low Temp Sci, Kita Ku, Kita 19,Nishi 8, Sapporo, Hokkaido 0600819, Japan; [Watanabe, Miho] Japan Soc Promot Sci, Chiyoda Ku, Tokyo 1028471, Japan; [Watanabe, Miho] Univ Tsukuba, Grad Sch Life &amp; Environm Sci, 1-1-1 Ten Nodai, Tsukuba, Ibaraki 3058572, Japan</t>
  </si>
  <si>
    <t>Hokkaido University; Japan Society for the Promotion of Science; University of Tsukuba</t>
  </si>
  <si>
    <t>Watanabe, M (corresponding author), Hokkaido Univ, Inst Low Temp Sci, Kita Ku, Kita 19,Nishi 8, Sapporo, Hokkaido 0600819, Japan.;Watanabe, M (corresponding author), Univ Tsukuba, Grad Sch Life &amp; Environm Sci, 1-1-1 Ten Nodai, Tsukuba, Ibaraki 3058572, Japan.</t>
  </si>
  <si>
    <t>m.watanabe@pop.lowtem.hokudai.ac.jp</t>
  </si>
  <si>
    <t>Kojima, Hisaya/D-9100-2012; Fukui, Manabu/E-1323-2012; Watanabe, Miho/Q-5601-2017</t>
  </si>
  <si>
    <t>Watanabe, Miho/0000-0001-5070-9657</t>
  </si>
  <si>
    <t>JSPS KAKENHI Grant [22370005]; Grants-in-Aid for Scientific Research [20K19987] Funding Source: KAKEN</t>
  </si>
  <si>
    <t>JSPS KAKENHI Grant(Ministry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</si>
  <si>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This study was supported by JSPS KAKENHI Grant Number 22370005 to Fukui and Research Fellow of Japan Society for the Promotion Science to Watanabe.</t>
  </si>
  <si>
    <t>10.1007/s10482-019-01345-w</t>
  </si>
  <si>
    <t>KN6YP</t>
  </si>
  <si>
    <t>WOS:000491398500002</t>
  </si>
  <si>
    <t>Paniz, OG; Pereira, CMP; Pacheco, BS; Wolke, S; Maron, GK; Mansilla, A; Colepicolo, P; Orlandi, MO; Osorio, AG; Carreño, NL</t>
  </si>
  <si>
    <t>Paniz, Oscar G.; Pereira, Claudio M. P.; Pacheco, Bruna S.; Wolke, Silvana, I; Maron, Guilherme K.; Mansilla, Andres; Colepicolo, Pio; Orlandi, Marcelo O.; Osorio, Alice G.; Carreno, Neftali L., V</t>
  </si>
  <si>
    <t>Cellulosic material obtained from Antarctic algae biomass</t>
  </si>
  <si>
    <t>CELLULOSE</t>
  </si>
  <si>
    <t>Cellulose; Algae biomass; Cystosphaera jacquinottii</t>
  </si>
  <si>
    <t>INFRARED-SPECTROSCOPY; BROWN-ALGAE; EXTRACTION; NANOCELLULOSE; NANOCRYSTALS; NANOFIBERS; NMR; IDENTIFICATION; CARBON; WASTE</t>
  </si>
  <si>
    <t>Algae biomass is a raw material widely used by many industrial sectors, such as food production, pharmaceuticals, cosmetics, fertilizers, biofuels, and many others. Its usage is mainly due to the phycocolloids content, such as alginates, carrageenans, agar, etc. One of the polysaccharides present in this biomass, and still little explored is cellulose, an important resource with several technological applications, for example: production of nanocellulose, ultralightweight structures, drug delivery, tissue engineering, wound dressings, among others. Thus, we used the Antarctic algae Cystosphaera jacquinottii as raw material for the production of a cellulosic material combining alkaline treatment, bleaching, and freeze-drying. Fourier-transform infrared spectroscopy results revealed that the methodology employed was effective to obtain cellulose. X-ray diffraction analysis showed that the material obtained had crystallinity above 70%. Scanning electron microscopy analyses showed a highly porous morphology, consisting of cellulose nanofibers with a diameter about 32 nm. [GRAPHICS] .</t>
  </si>
  <si>
    <t>[Paniz, Oscar G.; Pereira, Claudio M. P.; Maron, Guilherme K.; Osorio, Alice G.; Carreno, Neftali L., V] Univ Fed Pelotas, CDTec, Grad Program Mat Sci &amp; Engn, Rua Gomes Carneiro 1, BR-96010610 Pelotas, RS, Brazil; [Pereira, Claudio M. P.; Pacheco, Bruna S.] Univ Fed Pelotas, Lab Lipid &amp; Bioorgan, Av Eliseu Macieu Predio 31, BR-96010900 Capao Do Ledo, RS, Brazil; [Wolke, Silvana, I] Univ Fed Rio Grande do Sul, Inst Chem, Av Bento Goncalves 9500, BR-91501970 Porto Alegre, RS, Brazil; [Mansilla, Andres] Univ Magallanes, Lab Macroalgas Antarticas &amp; Subantarticas, Av Pdte Manuel Bulnes 01890, Punta Arenas 6200000, Chile; [Colepicolo, Pio] Univ Sao Paulo, Chem Inst, Biochem Dept, Av Prof Lineu Prestes 748, BR-05508000 Sao Paulo, SP, Brazil; [Orlandi, Marcelo O.] Sao Paulo State Univ, Interdisciplinary Lab Ceram, IQ, Av Prof Francisco Degni 55, BR-14800060 Araraquara, SP, Brazil</t>
  </si>
  <si>
    <t>Universidade Federal de Pelotas; Universidade Federal de Pelotas; Universidade Federal do Rio Grande do Sul; Universidad de Magallanes; Universidade de Sao Paulo; Universidade Estadual Paulista</t>
  </si>
  <si>
    <t>Carreño, NL (corresponding author), Univ Fed Pelotas, CDTec, Grad Program Mat Sci &amp; Engn, Rua Gomes Carneiro 1, BR-96010610 Pelotas, RS, Brazil.</t>
  </si>
  <si>
    <t>Carreño, Neftali Lenin Villarreal/C-2100-2016; Wolke, Silvana Ines/AAO-9735-2021; Paniz, Oscar Giordani/HSI-4143-2023; Osorio, Alice/AAG-7454-2020; Fapesp, Biota/F-8655-2017</t>
  </si>
  <si>
    <t>Carreño, Neftali Lenin Villarreal/0000-0002-5780-817X; Wolke, Silvana Ines/0000-0001-7164-7096; Osorio, Alice/0000-0002-1825-3749; Fapesp, Biota/0000-0002-9887-8449; Giordani Paniz, Oscar/0000-0002-2352-2923; Maron, Guilherme/0000-0003-4918-0383; Mansilla, Andres/0000-0003-3505-7018</t>
  </si>
  <si>
    <t>Coordenacao de Aperfeicoamento de Pessoal de Nivel Superior-Brasil (CAPES) [001]; FAPERGS/PqG 2017 [7/2551-0001 157-0]; Capes [PGCI-99999.002378/2015-09, 88887.125421/2016-00]; Forensic National Institute of Science and Technology (CNPq) [465450/2014-8]</t>
  </si>
  <si>
    <t>Coordenacao de Aperfeicoamento de Pessoal de Nivel Superior-Brasil (CAPES)(Coordenacao de Aperfeicoamento de Pessoal de Nivel Superior (CAPES)); FAPERGS/PqG 2017; Capes(Coordenacao de Aperfeicoamento de Pessoal de Nivel Superior (CAPES)); Forensic National Institute of Science and Technology (CNPq)</t>
  </si>
  <si>
    <t>This study was financed in part by the Coordenacao de Aperfeicoamento de Pessoal de Nivel Superior-Brasil (CAPES)-Finance Code 001, FAPERGS/PqG 2017 (17/2551-0001 157-0), Capes (PGCI-99999.002378/2015-09), (88887.125421/2016-00), and Forensic National Institute of Science and Technology (CNPq -Grant number 465450/2014-8). The authors would like to thank the CNANO-UFRGS for Solid State CP-MAS 13 C-NMR for her invaluable technical support, as well to Electron microscopy facilities were provided by LMA-IQ-UNESP.</t>
  </si>
  <si>
    <t>0969-0239</t>
  </si>
  <si>
    <t>1572-882X</t>
  </si>
  <si>
    <t>Cellulose</t>
  </si>
  <si>
    <t>10.1007/s10570-019-02794-2</t>
  </si>
  <si>
    <t>Materials Science, Paper &amp; Wood; Materials Science, Textiles; Polymer Science</t>
  </si>
  <si>
    <t>Materials Science; Polymer Science</t>
  </si>
  <si>
    <t>LH5AK</t>
  </si>
  <si>
    <t>WOS:000491330600001</t>
  </si>
  <si>
    <t>Adcroft, A; Anderson, W; Balaji, V; Blanton, C; Bushuk, M; Dufour, CO; Dunne, JP; Griffies, SM; Hallberg, R; Harrison, MJ; Held, IM; Jansen, MF; John, JG; Krasting, JP; Langenhorst, AR; Legg, S; Liang, Z; McHugh, C; Radhakrishnan, A; Reichl, BG; Rosati, T; Samuels, BL; Shao, A; Stouffer, R; Winton, M; Wittenberg, AT; Xiang, BQ; Zadeh, N; Zhang, R</t>
  </si>
  <si>
    <t>Adcroft, Alistair; Anderson, Whit; Balaji, V.; Blanton, Chris; Bushuk, Mitchell; Dufour, Carolina O.; Dunne, John P.; Griffies, Stephen M.; Hallberg, Robert; Harrison, Matthew J.; Held, Isaac M.; Jansen, Malte F.; John, Jasmin G.; Krasting, John P.; Langenhorst, Amy R.; Legg, Sonya; Liang, Zhi; McHugh, Colleen; Radhakrishnan, Aparna; Reichl, Brandon G.; Rosati, Tony; Samuels, Bonita L.; Shao, Andrew; Stouffer, Ronald; Winton, Michael; Wittenberg, Andrew T.; Xiang, Baoqiang; Zadeh, Niki; Zhang, Rong</t>
  </si>
  <si>
    <t>The GFDL Global Ocean and Sea Ice Model OM4.0: Model Description and Simulation Features</t>
  </si>
  <si>
    <t>ocean circulation model; CORE; hybrid coordinates</t>
  </si>
  <si>
    <t>MERIDIONAL OVERTURNING CIRCULATION; ANTARCTIC CIRCUMPOLAR CURRENT; NORTH-ATLANTIC SIMULATIONS; COUPLED CLIMATE MODELS; SOUTHERN-OCEAN; PART I; MESOSCALE EDDIES; Z-COORDINATE; TRACER TRANSPORTS; DIURNAL CYCLE</t>
  </si>
  <si>
    <t>We document the configuration and emergent simulation features from the Geophysical Fluid Dynamics Laboratory (GFDL) OM4.0 ocean/sea ice model. OM4 serves as the ocean/sea ice component for the GFDL climate and Earth system models. It is also used for climate science research and is contributing to the Coupled Model Intercomparison Project version 6 Ocean Model Intercomparison Project. The ocean component of OM4 uses version 6 of the Modular Ocean Model and the sea ice component uses version 2 of the Sea Ice Simulator, which have identical horizontal grid layouts (Arakawa C-grid). We follow the Coordinated Ocean-sea ice Reference Experiments protocol to assess simulation quality across a broad suite of climate-relevant features. We present results from two versions differing by horizontal grid spacing and physical parameterizations: OM4p5 has nominal 0.5 degrees spacing and includes mesoscale eddy parameterizations and OM4p25 has nominal 0.25 degrees spacing with no mesoscale eddy parameterization. Modular Ocean Model version 6 makes use of a vertical Lagrangian-remap algorithm that enables general vertical coordinates. We show that use of a hybrid depth-isopycnal coordinate reduces the middepth ocean warming drift commonly found in pure z* vertical coordinate ocean models. To test the need for the mesoscale eddy parameterization used in OM4p5, we examine the results from a simulation that removes the eddy parameterization. The water mass structure and model drift are physically degraded relative to OM4p5, thus supporting the key role for a mesoscale closure at this resolution.</t>
  </si>
  <si>
    <t>[Adcroft, Alistair; Balaji, V.; Griffies, Stephen M.; Hallberg, Robert; Held, Isaac M.; Legg, Sonya; Zhang, Rong] Princeton Univ, Program Atmospher &amp; Ocean Sci, Princeton, NJ 08544 USA; [Adcroft, Alistair; Anderson, Whit; Balaji, V.; Blanton, Chris; Bushuk, Mitchell; Dunne, John P.; Griffies, Stephen M.; Hallberg, Robert; Harrison, Matthew J.; Held, Isaac M.; John, Jasmin G.; Krasting, John P.; Langenhorst, Amy R.; Legg, Sonya; Liang, Zhi; McHugh, Colleen; Reichl, Brandon G.; Rosati, Tony; Samuels, Bonita L.; Stouffer, Ronald; Winton, Michael; Wittenberg, Andrew T.; Xiang, Baoqiang; Zadeh, Niki; Zhang, Rong] NOAA GFDL, Princeton, NJ USA; [Blanton, Chris; Radhakrishnan, Aparna] SAIC GFDL, Princeton, NJ USA; [Dufour, Carolina O.] McGill Univ, Dept Atmospher &amp; Ocean Sci, Montreal, PQ, Canada; [Jansen, Malte F.] Univ Chicago, Dept Geophys Sci, Chicago, IL USA; [Shao, Andrew] Univ Victoria, Canadian Ctr Climate Modeling &amp; Anal, Victoria, BC, Canada; [Stouffer, Ronald] Univ Arizona, Dept Geosci, Tucson, AZ USA; [Xiang, Baoqiang] Univ Corp Atmospheric Res, Cooperat Programs Adv Earth Syst Sci, Boulder, CO USA</t>
  </si>
  <si>
    <t>National Oceanic Atmospheric Admin (NOAA) - USA; Princeton University; National Oceanic Atmospheric Admin (NOAA) - USA; McGill University; University of Chicago; Environment &amp; Climate Change Canada; Canadian Centre for Climate Modelling &amp; Analysis (CCCma); University of Victoria; University of Arizona; National Center Atmospheric Research (NCAR) - USA</t>
  </si>
  <si>
    <t>Adcroft, A (corresponding author), Princeton Univ, Program Atmospher &amp; Ocean Sci, Princeton, NJ 08544 USA.;Adcroft, A (corresponding author), NOAA GFDL, Princeton, NJ USA.</t>
  </si>
  <si>
    <t>aadcroft@princeton.edu</t>
  </si>
  <si>
    <t>Zhang, Rong/D-9767-2014; Adcroft, Alistair/E-5949-2010; Jansen, Malte/ABB-4451-2020; Legg, Sonya/E-5995-2010; Wittenberg, Andrew T/G-9619-2013; RADHAKRISHNAN, APARNA/AAG-1460-2019; Krasting, John P/G-9360-2019; Dufour, Carolina/GZA-9986-2022; John, Jasmin/F-8194-2012; Griffies, Stephen/N-9144-2019; Dunne, John/F-8086-2012; Bushuk, Mitch/L-7032-2015</t>
  </si>
  <si>
    <t>Zhang, Rong/0000-0002-8493-6556; Adcroft, Alistair/0000-0001-9413-1017; Jansen, Malte/0000-0003-3894-1124; Wittenberg, Andrew T/0000-0003-1680-8963; RADHAKRISHNAN, APARNA/0000-0002-2843-931X; Dufour, Carolina/0000-0002-1441-3880; Blanton, Chris/0000-0002-0785-3538; Griffies, Stephen/0000-0002-3711-236X; Dunne, John/0000-0002-8794-0489; Harrison, Matthew/0000-0001-7991-454X; Reichl, Brandon/0000-0001-9047-0767; Held, Isaac/0000-0002-6744-439X; Bushuk, Mitch/0000-0002-0063-1465</t>
  </si>
  <si>
    <t>National Oceanic and Atmospheric Administration, U.S. Department of Commerce [NA14OAR4320106]; Carbon Mitigation Initiative (CMI) project at Princeton University - BP; Natural Sciences and Engineering Research Council of Canada (NSERC) [RGPIN-2018-04985]; National Science Foundation [1536350]</t>
  </si>
  <si>
    <t>National Oceanic and Atmospheric Administration, U.S. Department of Commerce(National Oceanic Atmospheric Admin (NOAA) - USA); Carbon Mitigation Initiative (CMI) project at Princeton University - BP; Natural Sciences and Engineering Research Council of Canada (NSERC)(Natural Sciences and Engineering Research Council of Canada (NSERC)); National Science Foundation(National Science Foundation (NSF))</t>
  </si>
  <si>
    <t>We thank the leadership of NOAA/GFDL (Director V. Ramaswamy and Associate Director W. Anderson) for their ongoing support during this model development project. We also thank the many GFDL scientists and engineers who provided valuable resources for algorithm development and code optimization, thus allowing OM4 to run efficiently and robustly across a suite of computational platforms. A. A., S. L.. and B. G. R. were supported by Award NA14OAR4320106 from the National Oceanic and Atmospheric Administration, U.S. Department of Commerce. The statements, findings, conclusions, and recommendations are those of the author(s) and do not necessarily reflect the views of the National Oceanic and Atmospheric Administration, or the U.S. Department of Commerce. B. G. R. also acknowledges support from the Carbon Mitigation Initiative (CMI) project at Princeton University, sponsored by BP. C. O. D. acknowledges the support of the Natural Sciences and Engineering Research Council of Canada (NSERC) under the Discovery Grants Program [RGPIN-2018-04985]. M. F. J. acknowledges support from the National Science Foundation through Award 1536350. We thank Thomas Delworth and Graeme MacGilchrist for critical feedback on early drafts of this manuscript as well as Mike Bell and Julie Deshayes for extremely thoughtful and helpful reviews. TAO/TRITON mooring observations were obtained on 8 June 2017 from the Global Tropical Moored Buoy Array (GTMBA) Project Office of NOAA/PMEL, via their website (https://www.pmel.noaa.gov/tao/drupal/disdel/). The RAPID AMOC data were obtained from the RAPIDWATCH MOC monitoring project at this site (https://www.rapid.ac.uk/rapidmoc/). The NASA team satellite sea ice concentration observations are available from the National Snow and Ice Data Center website (https://nsidc.org/data/NSIDC-0051/versions/1). Chlorophyl data were obtained from NASA Goddard Space Flight Center, Ocean Ecology Laboratory, Ocean Biology Processing Group; (2014): Seaviewing Wide Field-of-view Sensor (SeaWiFS) Ocean Color Data, NASA OB.DAAC (doi:10.5067/ORBVIEW-2/SEAWIFS_OC.2014.0). Accessed on 2018/04/18. All results can be reproduced using software archived at this site (https://doi.org/10.5281/zenodo.2612846). Model source code included in the archive and documentation of compilation procedures are linked in the top-level README. The upto-date working versions of these experiments, and source code, can be found at https://github.com/NOAAGFDL/MOM6-examples and https://github.com/NOAA-GFDL/MOM6, respectively. All scripts needed to obtain and process input data, as well as input parameter files can be found under the following directories (ice_ocean_SIS2/OM4_025/and ice_ocean_ SIS2/OM4_05/). Model results are published at this site (https://doi.org/10.22033/ESGF/CMIP6.8620).Scripts used for analysis are available at this site (https://github.com/NOAAGFDL/OM4-figures).</t>
  </si>
  <si>
    <t>10.1029/2019MS001726</t>
  </si>
  <si>
    <t>JQ2FN</t>
  </si>
  <si>
    <t>Green Submitted, gold, Green Accepted</t>
  </si>
  <si>
    <t>WOS:000491869400001</t>
  </si>
  <si>
    <t>Fretwell, PT; Jackson, JA; Encina, MJU; Häussermann, V; Alvarez, MJP; Olavarría, C; Gutstein, CS</t>
  </si>
  <si>
    <t>Fretwell, Peter T.; Jackson, Jennifer A.; Ulloa Encina, Mauricio J.; Haussermann, Vreni; Perez Alvarez, Maria J.; Olavarria, Carlos; Gutstein, Carolina S.</t>
  </si>
  <si>
    <t>Using remote sensing to detect whale strandings in remote areas: The case of sei whales mass mortality in Chilean Patagonia</t>
  </si>
  <si>
    <t>GAS-BUBBLE LESIONS; MEGAPTERA-NOVAEANGLIAE; EUBALAENA-AUSTRALIS; PENINSULA VALDES; IMAGERY; CETACEANS</t>
  </si>
  <si>
    <t>We test the ability of Very High Resolution satellite (VHR) imagery to detect stranded whales using both manual and automated methods. We use the 2015 mass mortality event in the Gulf of Penas locality, central Patagonia, Chile, as an initial case study. This event was the largest known mass mortality of baleen whales, with at least 343 whales, mainly sei whales (Balaenoptera borealis), documented as stranding. However, even with such a large number of whales, due to the remote location of the gulf the strandings went unrecorded for several weeks. Aerial and boat surveys of the area were conducted two to four months after the mortality event. In this study we use 50cm resolution WorldView2 imagery to identify and count strandings from two archival images acquired just after the stranding event and two months before the aerial and ground surveys, and to test manual and automated methods of detecting stranded whales. Our findings show that whales are easily detected manually in the images but due to the heterogeneous colouration of decomposing whales, spectral indices are unsuitable for automatic detection. Our satellite counts suggest that, at the time the satellite images were taken, more whales were stranded than recorded in the aerial survey, possibly due to the non-comprehensive coverage of the aerial survey or movement of the carcases between survey acquisition. With even higher resolution imagery now available, satellite imagery may be a cost effective alternative to aerial surveys for future assessment of the extent of mass whale stranding events, especially in remote and inaccessible areas.</t>
  </si>
  <si>
    <t>[Fretwell, Peter T.; Jackson, Jennifer A.] British Antarctic Survey, Madingley Rd, Cambridge, England; [Ulloa Encina, Mauricio J.] Natl Fisheries &amp; Aquaculture Serv Chile, Aquat Anim Rescue &amp; Conservat Unit, Valparaiso, Chile; [Haussermann, Vreni] Pontificia Univ Catolica Valparaiso, Fac Recursos Nat, Escuela Ciencias Mar, Avda Brazil, Valparaiso, Chile; [Haussermann, Vreni] Huinay Sci Field Stn, Valparaiso, Chile; [Perez Alvarez, Maria J.] Univ Mayor, Fac Ciencias, Escuela Med Vet, Santiago, Chile; [Perez Alvarez, Maria J.] Univ Chile, Fac Ciencias, Inst Ecol &amp; Biodiversidad, Santiago, Chile; [Perez Alvarez, Maria J.] Ctr Invest Eutropia, Santiago, Chile; [Olavarria, Carlos] Ctr Estudios Avanzados Zonas Aridas CEAZA, La Serena, Chile; [Gutstein, Carolina S.] Univ Chile, Fac Ciencias, Dept Biol, Lab Ontogenia &amp; Filogenia, Santiago, Chile; [Gutstein, Carolina S.] Consultora Paleosuchus Ltda, Oficina C, Santiago, Chile</t>
  </si>
  <si>
    <t>UK Research &amp; Innovation (UKRI); Natural Environment Research Council (NERC); NERC British Antarctic Survey; Pontificia Universidad Catolica de Valparaiso; Universidad Mayor; Universidad de Chile; Universidad de Chile</t>
  </si>
  <si>
    <t>Fretwell, PT (corresponding author), British Antarctic Survey, Madingley Rd, Cambridge, England.</t>
  </si>
  <si>
    <t>ptf@bas.ac.uk</t>
  </si>
  <si>
    <t>Jackson, Jennifer A/E-7997-2013; S. Gutstein, Carolina/AGO-2836-2022</t>
  </si>
  <si>
    <t>S. Gutstein, Carolina/0000-0002-0823-2434; Perez-Alvarez, M.Jose/0000-0003-1440-8966; Haussermann, Verena Susanne/0000-0001-9630-7477; Jackson, Jennifer/0000-0003-4158-1924</t>
  </si>
  <si>
    <t>Pew fellowship for marine conservation; National Geographic Society/Waitt Grants Program [W380-15]; Programa de Investigacion Asociativa - Fondecyt [Anillo ACT172099]; CONICYT-FONDECYT Postdoctoral Program [3160710]; CONICYT Postdoctoral FONDECYT Program [3140513, ICM P05-002, PFB 023]; Blue Marine Foundation; Huinay Foundation; NERC [bas0100035, bas010011] Funding Source: UKRI</t>
  </si>
  <si>
    <t>Pew fellowship for marine conservation; National Geographic Society/Waitt Grants Program(National Geographic Society); Programa de Investigacion Asociativa - Fondecyt; CONICYT-FONDECYT Postdoctoral Program(Comision Nacional de Investigacion Cientifica y Tecnologica (CONICYT)CONICYT FONDECYT); CONICYT Postdoctoral FONDECYT Program(Comision Nacional de Investigacion Cientifica y Tecnologica (CONICYT)CONICYT FONDECYT); Blue Marine Foundation; Huinay Foundation; NERC(UK Research &amp; Innovation (UKRI)Natural Environment Research Council (NERC))</t>
  </si>
  <si>
    <t>Part of this research was partially funded by Pew fellowship for marine conservation to VH, National Geographic Society/Waitt Grants Program #W380-15 to CSG, VH and MJP. Carolina S. Gutstein was funded by Programa de Investigacion Asociativa - Fondecyt (Anillo ACT172099 to Alexander Vargas) CONICYT-FONDECYT Postdoctoral Program No 3160710. Maria Jose Perez-Alvarez was funded by CONICYT Postdoctoral FONDECYT Program 3140513, Projects ICM P05-002 and PFB 023. VH thanks the Blue Marine Foundation and the Huinay Foundation for their support. Consultora Paleosuchus Ltd loaned equipment for the aerial survey of the Gulf of Penas. This is publication nr. 163 of Huinay Scientific Field Station. We would also like to acknowledge the additional contribution by British Antarctic Survey Innovation Voucher 1012017. The funders had no role in study design, data collection and analysis, decision to publish, or preparation of the manuscript.</t>
  </si>
  <si>
    <t>OCT 17</t>
  </si>
  <si>
    <t>e0222498</t>
  </si>
  <si>
    <t>10.1371/journal.pone.0222498</t>
  </si>
  <si>
    <t>LM9KP</t>
  </si>
  <si>
    <t>WOS:000532567300011</t>
  </si>
  <si>
    <t>Malfasi, F; Convey, P; Zaccara, S; Cannone, N</t>
  </si>
  <si>
    <t>Malfasi, Francesco; Convey, Peter; Zaccara, Serena; Cannone, Nicoletta</t>
  </si>
  <si>
    <t>Establishment and eradication of an alien plant species in Antarctica: Poa annua at Signy Island</t>
  </si>
  <si>
    <t>BIODIVERSITY AND CONSERVATION</t>
  </si>
  <si>
    <t>Biological invasion; Biosecurity; Seed bank; Antarctica</t>
  </si>
  <si>
    <t>KING GEORGE ISLAND; PHYLOGENETIC-RELATIONSHIPS; POACEAE; DISPERSAL; POOIDEAE; NUCLEAR; SEEDS</t>
  </si>
  <si>
    <t>Invasive alien species are among the most significant conservation threats for Antarctica, and the South Orkney Islands are highly exposed to this threat because of their location and intensity of human activity. The alien flowering plant species Poa annua is known to occur at several locations in the Antarctic Peninsula and the South Shetland Islands. Here we report the first occurrence record of P. annua observed in the natural environment on Signy Island, South Orkney Islands. This archipelago is distant from previous records of the species in Antarctica (&gt; 1500 km), and at local scale also distant (c. 2 km) from the main concentration of human activity close to the research station on the island. During the austral summer 2017/2018 we recorded one clump of P. annua on the island, and eradicated all individuals as well as removing the associated soil. No reproductive structures were apparent on the plants, and the soil did not contain a seed bank. Molecular analyses using available sequence data in GenBank confirmed the taxonomic species identification and, at a global scale identified six different haplotypes, confirming that the Signy Island material belongs to a distinct lineage within the species. Given Signy's northern and relatively mild location in the maritime Antarctic, likely closer to the natural climatic and environmental niche of P. annua, the island may be at high risk of invasion, meaning that monitoring and biosecurity efforts need to be enhanced and extended well beyond the immediate vicinity of the research station area.</t>
  </si>
  <si>
    <t>[Malfasi, Francesco; Zaccara, Serena] Insubria Univ, Dept Theoret &amp; Appl Sci, Via Dunant 3, I-21100 Varese, VA, Italy; [Convey, Peter] British Antarctic Survey, Nat Environm Res Council, Madingley Rd, Cambridge CB3 0ET, England; [Cannone, Nicoletta] Insubria Univ, Dept Sci &amp; High Technol, Via Valleggio 11, I-22100 Como, Italy</t>
  </si>
  <si>
    <t>University of Insubria; UK Research &amp; Innovation (UKRI); Natural Environment Research Council (NERC); NERC British Antarctic Survey; University of Insubria</t>
  </si>
  <si>
    <t>Cannone, N (corresponding author), Insubria Univ, Dept Sci &amp; High Technol, Via Valleggio 11, I-22100 Como, Italy.</t>
  </si>
  <si>
    <t>nicoletta.cannone@uninsubria.it</t>
  </si>
  <si>
    <t>Convey, Peter/AAV-5728-2020; Malfasi, Francesco/JTS-5575-2023</t>
  </si>
  <si>
    <t>Convey, Peter/0000-0001-8497-9903; Malfasi, Francesco/0000-0002-2660-8327</t>
  </si>
  <si>
    <t>PNRA (Programma Nazionale di Ricerche in Antartide) [PNRA16_00224]; NERC (Natural Environment Research Council); NERC [bas0100036] Funding Source: UKRI</t>
  </si>
  <si>
    <t>PNRA (Programma Nazionale di Ricerche in Antartide); NERC (Natural Environment Research Council)(UK Research &amp; Innovation (UKRI)Natural Environment Research Council (NERC)); NERC(UK Research &amp; Innovation (UKRI)Natural Environment Research Council (NERC))</t>
  </si>
  <si>
    <t>We thank PNRA (Programma Nazionale di Ricerche in Antartide, project PNRA16_00224) and NERC (Natural Environment Research Council, core funding to the BAS 'Biodiversity, Evolution and Adaptation' Team) for funding and BAS (British Antarctic Survey) for logistical support.</t>
  </si>
  <si>
    <t>0960-3115</t>
  </si>
  <si>
    <t>1572-9710</t>
  </si>
  <si>
    <t>BIODIVERS CONSERV</t>
  </si>
  <si>
    <t>Biodivers. Conserv.</t>
  </si>
  <si>
    <t>10.1007/s10531-019-01877-7</t>
  </si>
  <si>
    <t>KJ2CQ</t>
  </si>
  <si>
    <t>WOS:000490847400002</t>
  </si>
  <si>
    <t>Gard, M; Hasterok, D; Halpin, JA</t>
  </si>
  <si>
    <t>Gard, Matthew; Hasterok, Derrick; Halpin, Jacqueline A.</t>
  </si>
  <si>
    <t>Global whole-rock geochemical database compilation</t>
  </si>
  <si>
    <t>RADIOGENIC HEAT-PRODUCTION; CLASSIFICATION</t>
  </si>
  <si>
    <t>Collation and dissemination of geochemical data are critical to promote rapid, creative, and accurate research and place new results in an appropriate global context. To this end, we have compiled a global whole-rock geochemical database, sourced from various existing databases and supplemented with an extensive list of individual publications. Currently the database stands at 1 022 092 samples with varying amounts of associated sample data, including major and trace element concentrations, isotopic ratios, and location information. Spatial and temporal distribution is heterogeneous; however, temporal distributions are enhanced over some previous database compilations, particularly in ages older than similar to 1000 Ma. Also included are a range of geochemical indices, various naming schema, and physical property estimates computed on a major element normalized version of the geochemical data for quick reference. This compilation will be useful for geochemical studies requiring extensive data sets, in particular those wishing to investigate secular temporal trends. The addition of physical properties, estimated from sample chemistry, represents a unique contribution to otherwise similar geochemical databases. The data are published in .csv format for the purposes of simple distribution, but exist in a structure format acceptable for database management systems (e.g. SQL). One can either manipulate these data using conventional analysis tools such as MATLAB (R), Microsoft (R) Excel, or R, or upload them to a relational database management system for easy querying and management of the data as unique keys already exist. The data set will continue to grow and be improved, and we encourage readers to contact us or other database compilations within about any data that are yet to be included.</t>
  </si>
  <si>
    <t>[Gard, Matthew; Hasterok, Derrick] Univ Adelaide, Dept Earth Sci, North Terrace, Adelaide, SA 5005, Australia; [Hasterok, Derrick] Univ Adelaide, MCG, North Terrace, Adelaide, SA 5005, Australia; [Halpin, Jacqueline A.] Univ Tasmania, IMAS, Hobart, Tas 7001, Australia</t>
  </si>
  <si>
    <t>University of Adelaide; University of Adelaide; University of Tasmania</t>
  </si>
  <si>
    <t>Gard, M (corresponding author), Univ Adelaide, Dept Earth Sci, North Terrace, Adelaide, SA 5005, Australia.</t>
  </si>
  <si>
    <t>matthew.gard@adelaide.edu.au</t>
  </si>
  <si>
    <t>; Hasterok, Derrick/H-9392-2012</t>
  </si>
  <si>
    <t>Gard, Matthew/0000-0002-7695-2484; Hasterok, Derrick/0000-0002-8257-7975</t>
  </si>
  <si>
    <t>Australian Research Council's Discovery Projects funding scheme [DP180104074]; Australian Research Council's Special Research Initiative for Antarctic Gateway Partnership [SR140300001]</t>
  </si>
  <si>
    <t>Australian Research Council's Discovery Projects funding scheme(Australian Research Council); Australian Research Council's Special Research Initiative for Antarctic Gateway Partnership(Australian Research Council)</t>
  </si>
  <si>
    <t>This research has been supported by the Australian Research Council's Discovery Projects funding scheme (grant no. DP180104074) and the Australian Research Council's Special Research Initiative for Antarctic Gateway Partnership (grant no. SR140300001).</t>
  </si>
  <si>
    <t>10.5194/essd-11-1553-2019</t>
  </si>
  <si>
    <t>JF1LY</t>
  </si>
  <si>
    <t>WOS:000491149800001</t>
  </si>
  <si>
    <t>de Lima, DT; Moser, GAO; Piedras, FR; da Cunha, LC; Tenenbaum, DR; Tenório, MMB; de Campos, MVPB; Cornejo, TD; Barrera-Alba, JJ</t>
  </si>
  <si>
    <t>de Lima, Domenica Teixeira; Oliveira Moser, Gleyci Aparecida; Piedras, Fernanda Reinhardt; da Cunha, Leticia Cotrim; Tenenbaum, Denise Rivera; Barboza Tenorio, Marcio Murilo; Pereira Borges de Campos, Marcos Vinicius; Cornejo, Thais de Oliveira; Barrera-Alba, Jose Juan</t>
  </si>
  <si>
    <t>Abiotic Changes Driving Microphytoplankton Functional Diversity in Admiralty Bay, King George Island (Antarctica)</t>
  </si>
  <si>
    <t>functional diversity; microphytoplankton; Antarctic; abiotic variation; meltwater</t>
  </si>
  <si>
    <t>PHYTOPLANKTON RESTING STAGES; NORTHERN MARGUERITE BAY; EUPHAUSIA-SUPERBA DANA; SOUTH-SHETLAND ISLANDS; SHALLOW COASTAL ZONE; COMMUNITY ECOLOGY; CLIMATE-CHANGE; SEA-ICE; INTERANNUAL VARIABILITY; LATE SUMMER</t>
  </si>
  <si>
    <t>Environmental gradients can provide habitat-specific scenarios for community functional diversity (FD) that determine the composition of populations on both spatial and temporal scales. The western shelf of the Antarctic Peninsula has experiencing increasing air temperatures while the climate is transitioning to a warm-humid sub-Antarctic-type of climate. As a consequence, abiotic changes are leading to alterations in the trophic web. Microphytoplankton FD was analyzed across environmental gradients of sea surface temperature, salinity, meltwater percentage and nutrient availability in Admiralty Bay, South Shetland Islands, Western Antarctic Peninsula. Samples were collected during the austral summer from 2009 to 2011 and from 2013 to 2015, at Admiralty Bay for which FD indices were calculated based on species traits. The amount of meltwater (MW) present in Admiralty Bay groups microphytoplankton into communities according to physiological and ecological tolerances, thus leading to a greater FD. When meltwater dominated the bay (&gt;2.25% MW scenarios iii - 2013-14 and iv - 2014-15), diatoms and dinoflagellates were codominant. An increase in the dinoflagellate fraction of microplankton, notably with auxotrophic and mixotrophic nutrition mode, can be considered a trigger for changes in the structure of the Antarctic food web. Our results suggest using Admiralty Bay as a model for studies on changes in microphytoplankton community composition and FD.</t>
  </si>
  <si>
    <t>[de Lima, Domenica Teixeira; Oliveira Moser, Gleyci Aparecida; Piedras, Fernanda Reinhardt] Univ Estado Rio De Janeiro, Fac Oceanog, Dept Oceanog Biol, Lab Ecol &amp; Cult Fitoplancton Marinho, Rio De Janeiro, Brazil; [da Cunha, Leticia Cotrim] Univ Estado Rio De Janeiro, Fac Oceanog, Dept Oceanog Quim, Lab Oceanog Quim, Rio De Janeiro, Brazil; [da Cunha, Leticia Cotrim] Brazilian Ocean Acidificat Network, Rio Grande, Brazil; [Tenenbaum, Denise Rivera; Barboza Tenorio, Marcio Murilo] Univ Fed Rio De Janeiro, Inst Biol, Rio De Janeiro, Brazil; [Pereira Borges de Campos, Marcos Vinicius; Cornejo, Thais de Oliveira; Barrera-Alba, Jose Juan] Univ Fed Sao Paulo, Dept Ciencias Mar, Inst Mar, Santos, Brazil</t>
  </si>
  <si>
    <t>Universidade do Estado do Rio de Janeiro; Universidade do Estado do Rio de Janeiro; Universidade Federal do Rio de Janeiro; Universidade Federal de Sao Paulo (UNIFESP)</t>
  </si>
  <si>
    <t>Moser, GAO (corresponding author), Univ Estado Rio De Janeiro, Fac Oceanog, Dept Oceanog Biol, Lab Ecol &amp; Cult Fitoplancton Marinho, Rio De Janeiro, Brazil.</t>
  </si>
  <si>
    <t>gleycimoser@gmail.com</t>
  </si>
  <si>
    <t>Moser, Gleyci A./ABA-4395-2021; Cotrim da Cunha, Leticia/F-5732-2010</t>
  </si>
  <si>
    <t>Moser, Gleyci A./0000-0003-3773-2400; Cotrim da Cunha, Leticia/0000-0001-8035-1430</t>
  </si>
  <si>
    <t>National Council for Research and Development (CNPq) [574018/2008-5]; Research Support Foundation of the State of Rio de Janeiro (FAPERJ) [E-16/170.023/2008]</t>
  </si>
  <si>
    <t>National Council for Research and Development (CNPq)(Conselho Nacional de Desenvolvimento Cientifico e Tecnologico (CNPQ)); Research Support Foundation of the State of Rio de Janeiro (FAPERJ)(Fundacao Carlos Chagas Filho de Amparo a Pesquisa do Estado do Rio De Janeiro (FAPERJ))</t>
  </si>
  <si>
    <t>This work integrates the National Institute of Science and Technology Antarctic Environmental Research (INCT-APA), which receives scientific and financial support from the National Council for Research and Development (CNPq Grant No. 574018/2008-5) and the Research Support Foundation of the State of Rio de Janeiro (FAPERJ Grant No. E-16/170.023/2008).</t>
  </si>
  <si>
    <t>10.3389/fmars.2019.00638</t>
  </si>
  <si>
    <t>JE5OY</t>
  </si>
  <si>
    <t>WOS:000490743000001</t>
  </si>
  <si>
    <t>Hill, PW; Broughton, R; Bougoure, J; Havelange, W; Newsham, KK; Grant, H; Murphy, DV; Clode, P; Ramayah, S; Marsden, KA; Quilliam, RS; Roberts, P; Brown, C; Read, DJ; Deluca, TH; Bardgett, RD; Hopkins, DW; Jones, DL</t>
  </si>
  <si>
    <t>Hill, Paul W.; Broughton, Richard; Bougoure, Jeremy; Havelange, William; Newsham, Kevin K.; Grant, Helen; Murphy, Daniel, V; Clode, Peta; Ramayah, Soshila; Marsden, Karina A.; Quilliam, Richard S.; Roberts, Paula; Brown, Caley; Read, David J.; Deluca, Thomas H.; Bardgett, Richard D.; Hopkins, David W.; Jones, Davey L.</t>
  </si>
  <si>
    <t>Angiosperm symbioses with non-mycorrhizal fungal partners enhance N acquisition from ancient organic matter in a warming maritime Antarctic</t>
  </si>
  <si>
    <t>ECOLOGY LETTERS</t>
  </si>
  <si>
    <t>carbon cycle; climate change; dark septate endophytes; enantiomers; nitrogen cycle; polar; soil</t>
  </si>
  <si>
    <t>AMINO-ACID ENANTIOMERS; TEMPERATURE SENSITIVITY; DESCHAMPSIA-ANTARCTICA; SOIL; CARBON; NITROGEN; IDENTIFICATION; ENDOPHYTES; INCREASES; PENINSULA</t>
  </si>
  <si>
    <t>In contrast to the situation in plants inhabiting most of the world's ecosystems, mycorrhizal fungi are usually absent from roots of the only two native vascular plant species of maritime Antarctica, Deschampsia antarctica and Colobanthus quitensis. Instead, a range of ascomycete fungi, termed dark septate endophytes (DSEs), frequently colonise the roots of these plant species. We demonstrate that colonisation of Antarctic vascular plants by DSEs facilitates not only the acquisition of organic nitrogen as early protein breakdown products, but also as non-proteinaceous d-amino acids and their short peptides, accumulated in slowly-decomposing organic matter, such as moss peat. Our findings suggest that, in a warming maritime Antarctic, this symbiosis has a key role in accelerating the replacement of formerly dominant moss communities by vascular plants, and in increasing the rate at which ancient carbon stores laid down as moss peat over centuries or millennia are returned to the atmosphere as CO2.</t>
  </si>
  <si>
    <t>[Hill, Paul W.; Havelange, William; Ramayah, Soshila; Marsden, Karina A.; Quilliam, Richard S.; Roberts, Paula; Brown, Caley; Deluca, Thomas H.; Jones, Davey L.] Bangor Univ, Sch Nat Sci, Bangor LL57 2UW, Gwynedd, Wales; [Broughton, Richard; Newsham, Kevin K.] British Antarctic Survey, Nat Environm Res Council, High Cross,Madingley Rd, Cambridge CB3 0ET, England; [Broughton, Richard] Univ Stirling, Inst Aquaculture, Stirling, Scotland; [Bougoure, Jeremy; Murphy, Daniel, V; Jones, Davey L.] Univ Western Australia, Fac Sci, SoilsWest, UWA Sch Agr &amp; Environm, Crawley, WA 6009, Australia; [Bougoure, Jeremy; Clode, Peta] Univ Western Australia, Ctr Microscopy Characterisat &amp; Anal, Crawley, WA 6009, Australia; [Grant, Helen] Lancaster Environm Ctr, Life Sci Mass Spectrometry Facil, Lancaster LA1 4AP, England; [Clode, Peta] Univ Western Australia, UWA Sch Biol Sci, Crawley, WA 6009, Australia; [Marsden, Karina A.] Univ Melbourne, Fac Vet &amp; Agr Sci, Parkville, Vic 3010, Australia; [Quilliam, Richard S.] Univ Stirling, Fac Nat Sci, Biol &amp; Environm Sci, Stirling FK9 4LA, Scotland; [Read, David J.] Univ Sheffield, Anim &amp; Plant Sci, Sheffield S10 2TN, S Yorkshire, England; [Deluca, Thomas H.] Univ Montana, WA Franke Coll Forestry &amp; Conservat, Missoula, MT 59812 USA; [Bardgett, Richard D.] Univ Manchester, Sch Earth &amp; Environm Sci, Manchester M13 9PL, Lancs, England; [Hopkins, David W.] SRUC Scotlands Rural Coll, West Mains Rd, Edinburgh EH9 3JG, Midlothian, Scotland</t>
  </si>
  <si>
    <t>Bangor University; UK Research &amp; Innovation (UKRI); Natural Environment Research Council (NERC); NERC British Antarctic Survey; University of Stirling; University of Western Australia; University of Western Australia; Lancaster University; University of Western Australia; University of Melbourne; University of Stirling; University of Sheffield; University of Montana System; University of Montana; University of Manchester; Scotland's Rural College</t>
  </si>
  <si>
    <t>Hill, PW (corresponding author), Bangor Univ, Sch Nat Sci, Bangor LL57 2UW, Gwynedd, Wales.</t>
  </si>
  <si>
    <t>p.w.hill@bangor.ac.uk</t>
  </si>
  <si>
    <t>DeLuca, Thomas/GYU-3468-2022; Broughton, Richard/AAJ-5665-2021; Read, David J/C-2454-2013; DeLuca, Thomas Henry/B-4547-2012; Hill, Paul W/C-2944-2013; jones, davey/C-7411-2011; Jones, Davey/AAD-6037-2020; Clode, Peta L/C-4482-2011; Marsden, Karina/AAA-7459-2021; Hopkins, David/B-1536-2008; Quilliam, Richard/E-6920-2011</t>
  </si>
  <si>
    <t>Broughton, Richard/0000-0001-7339-2760; jones, davey/0000-0002-1482-4209; Bougoure, Jeremy/0000-0002-4869-035X; Murphy, Daniel/0000-0002-4686-9276; Marsden, Karina/0000-0002-0605-3918; Clode, Peta/0000-0002-5188-4737; Hopkins, David/0000-0003-0953-8643; Hopkins, David/0000-0002-2743-5894; Quilliam, Richard/0000-0001-7020-4410</t>
  </si>
  <si>
    <t>UK Natural Environment Research Council [NE/I012303/1]; NERC [NE/I011722/1, bas0100036, lsmsf010003, NE/I012303/1] Funding Source: UKRI; Natural Environment Research Council [NE/S011587/1] Funding Source: researchfish</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</si>
  <si>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</si>
  <si>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thank Stacey Adlard and Bruce Maltman for assistance with fieldwork, Liam Smallwood, Peter Talboys and Sarah Chesworth for laboratory assistance, Rebecca Upson and British Antarctic Survey staff who are too numerous to mention by name. Special thanks to Jonathan and Linda Roberts. The authors acknowledge the facilities of Microscopy Australia at the Centre for Microscopy, Characterisation &amp; Analysis, The University of Western Australia, a facility funded by the University, State and Commonwealth Governments. This work was funded by the UK Natural Environment Research Council grant NE/I012303/1.</t>
  </si>
  <si>
    <t>1461-023X</t>
  </si>
  <si>
    <t>1461-0248</t>
  </si>
  <si>
    <t>ECOL LETT</t>
  </si>
  <si>
    <t>Ecol. Lett.</t>
  </si>
  <si>
    <t>10.1111/ele.13399</t>
  </si>
  <si>
    <t>JK6EP</t>
  </si>
  <si>
    <t>hybrid, Green Published, Green Accepted, Green Submitted</t>
  </si>
  <si>
    <t>WOS:000490512100001</t>
  </si>
  <si>
    <t>Yi, W; Xue, XH; Reid, IM; Murphy, DJ</t>
  </si>
  <si>
    <t>Yi, Wen; Xue, Xianghui; Reid, Iain M.; Murphy, Damian J.</t>
  </si>
  <si>
    <t>Reply to comment by Tsurutani et al. on First observation of mesosphere response to the solar wind high-speed streams</t>
  </si>
  <si>
    <t>Mesosphere; Meteor radar; geomagnetic; density</t>
  </si>
  <si>
    <t>DENSITY</t>
  </si>
  <si>
    <t>In our recent paper, Yi, Reid, Xue, Younger, Spargo, et al. (2017, , hereinafter Y17A), we presented a first analysis of 9- and 6.75-day periodic oscillations observed in the Earth's neutral mesospheric density during 2005 and 2006. These observations reveal a direct coupling between the Sun's upper atmosphere and the Earth's mesosphere. Tsurutani et al. (2019, , hereinafter T19) have commented on T19 by way of suggesting possible physical mechanisms for Y17A's observations (Y17A do not address possible mechanisms in their paper).</t>
  </si>
  <si>
    <t>[Yi, Wen; Xue, Xianghui] Univ Sci &amp; Technol China, Dept Geophys &amp; Planetary Sci, CAS Key Lab Geospace Environm, Hefei, Anhui, Peoples R China; [Yi, Wen; Xue, Xianghui] Univ Sci &amp; Technol China, Sch Earth &amp; Space Sci, Mengcheng Natl Geophys Observ, Hefei, Anhui, Peoples R China; [Xue, Xianghui] Univ Sci &amp; Technol China, Synerget Innovat Ctr Quantum Informat &amp; Quantum P, Hefei, Anhui, Peoples R China; [Reid, Iain M.] ATRAD Pty Ltd, Thebarton, SA, Australia; [Reid, Iain M.] Univ Adelaide, Sch Phys Sci, Adelaide, SA, Australia; [Murphy, Damian J.] Australian Antarctic Div, Kingston, ON, Canada</t>
  </si>
  <si>
    <t>Chinese Academy of Sciences; University of Science &amp; Technology of China, CAS; Chinese Academy of Sciences; University of Science &amp; Technology of China, CAS; Chinese Academy of Sciences; University of Science &amp; Technology of China, CAS; CAS Center for Excellence in Quantum Information &amp; Quantum Physics; ATRAD Pty Ltd.; University of Adelaide; Australian Antarctic Division</t>
  </si>
  <si>
    <t>Yi, W (corresponding author), Univ Sci &amp; Technol China, Dept Geophys &amp; Planetary Sci, CAS Key Lab Geospace Environm, Hefei, Anhui, Peoples R China.;Yi, W (corresponding author), Univ Sci &amp; Technol China, Sch Earth &amp; Space Sci, Mengcheng Natl Geophys Observ, Hefei, Anhui, Peoples R China.</t>
  </si>
  <si>
    <t>yiwen@ustc.edu.cn</t>
  </si>
  <si>
    <t>Xue, Xianghui/S-5789-2019; Reid, Iain/B-5681-2012; Yi, Wen/M-4896-2019</t>
  </si>
  <si>
    <t>Xue, Xianghui/0000-0002-4541-9900; Reid, Iain/0000-0003-2340-9047; Yi, Wen/0000-0003-3717-6811; Murphy, Damian/0000-0003-1738-5560</t>
  </si>
  <si>
    <t>Chinese Academy of Sciences [KJCX2-EW-J01, KZZD-EW-0101]; National Natural Science Foundation of China [41774158, 41474129, 41421063, 41574179, 41404119, 41904135]; Youth Innovation Promotion Association of the Chinese Academy of Sciences [2011324]; open research project of CAS Large Research Infrastructures; Chinese Meridian Project; ATRAD Pty Ltd.; AAS projects [2529, 2668]</t>
  </si>
  <si>
    <t>Chinese Academy of Sciences(Chinese Academy of Sciences); National Natural Science Foundation of China(National Natural Science Foundation of China (NSFC)); Youth Innovation Promotion Association of the Chinese Academy of Sciences; open research project of CAS Large Research Infrastructures; Chinese Meridian Project; ATRAD Pty Ltd.; AAS projects</t>
  </si>
  <si>
    <t>This work is supported by the Chinese Academy of Sciences (KJCX2-EW-J01 and KZZD-EW-0101), the National Natural Science Foundation of China (41774158, 41474129, 41421063, 41574179, and 41404119, 41904135), the Youth Innovation Promotion Association of the Chinese Academy of Sciences (2011324), the open research project of CAS Large Research Infrastructures, and the Chinese Meridian Project. The involvement of I. M. R. is supported by ATRAD Pty Ltd. We also acknowledge the provision of Davis meteor radar data by the Australian Antarctic Division. Operation of the Davis meteor radar was supported under AAS projects 2529 and 2668. Davis meteor radar data are available from the Australian Antarctic Data Centre online (data.aad.gov.au).</t>
  </si>
  <si>
    <t>10.1029/2019JA026538</t>
  </si>
  <si>
    <t>JO6UV</t>
  </si>
  <si>
    <t>WOS:000490636100001</t>
  </si>
  <si>
    <t>Zhang, DP; Huang, YY; Sun, B</t>
  </si>
  <si>
    <t>Zhang, Dapeng; Huang, Yanyan; Sun, Bo</t>
  </si>
  <si>
    <t>Verification and Improvement of the Capability of ENSEMBLES to Predict the Winter Arctic Oscillation</t>
  </si>
  <si>
    <t>Arctic Oscillation prediction; interannual increment approach; ENSEMBLE; dynamical-statistical model</t>
  </si>
  <si>
    <t>ASIAN SUMMER MONSOON; SEA-ICE; ANTARCTIC OSCILLATION; SURFACE-TEMPERATURE; SEASONAL PREDICTION; JANUARY TEMPERATURE; COUPLED MODELS; DUST STORM; CLIMATE; IMPACT</t>
  </si>
  <si>
    <t>The winter Arctic Oscillation (AO) is important for understanding the Northern Hemisphere climate variability and predictability. However, ENSEMBLES models produce inconsistent predictions when applied to the interannual variability of the 1962-2006 winter AO. In this study, the interannual increment of the winter AO index (DY_AOI) during 1962-2006 is first improved by a dynamical-statistical model with two predictors: the preceding autumn Arctic sea ice and the concurrent winter ENSEMBLES-predicted sea surface temperature over the North Pacific. Next, the improved final AOI is obtained by adding the improved DY_AOI to the preceding observed AOI. Because the interannual increment approach can amplify prediction signals and takes advantage from the previous observed AOI, this method shows promise for significantly improving the interannual variability prediction capabilities of the winter AO during 1962-2006 in the ENSEMBLES models. Therefore, this study offers important insights for AO predictions, even other climate variables predictions.</t>
  </si>
  <si>
    <t>[Zhang, Dapeng; Huang, Yanyan; Sun, Bo] Nanjing Univ Informat Sci &amp; Technol, Minist Educ, Key Lab Meteorol Disaster Minist, Collaborat Innovat Ctr Forecast &amp; Evaluat Meteoro, Nanjing, Jiangsu, Peoples R China; [Zhang, Dapeng; Huang, Yanyan; Sun, Bo] Chinese Acad Sci, Nansen Zhu Int Res Ctr, Inst Atmospher Phys, Beijing, Peoples R China</t>
  </si>
  <si>
    <t>Nanjing University of Information Science &amp; Technology; Chinese Academy of Sciences; Institute of Atmospheric Physics, CAS</t>
  </si>
  <si>
    <t>Huang, YY (corresponding author), Nanjing Univ Informat Sci &amp; Technol, Minist Educ, Key Lab Meteorol Disaster Minist, Collaborat Innovat Ctr Forecast &amp; Evaluat Meteoro, Nanjing, Jiangsu, Peoples R China.;Huang, YY (corresponding author), Chinese Acad Sci, Nansen Zhu Int Res Ctr, Inst Atmospher Phys, Beijing, Peoples R China.</t>
  </si>
  <si>
    <t>huangyy@nuist.edu.cn</t>
  </si>
  <si>
    <t>Sun, Bo/0000-0002-2043-9825; Zhang, Dapeng/0000-0003-0928-5527</t>
  </si>
  <si>
    <t>National Key Research and Development Program of China [2016YFA0600703]; Jiangsu Innovation &amp; Entrepreneurship Team; Priority Academic Program Development (PAPD) of Jiangsu Higher Education Institutions; Postgraduate Research &amp; Practice Innovation Program of Jiangsu Province</t>
  </si>
  <si>
    <t>National Key Research and Development Program of China; Jiangsu Innovation &amp; Entrepreneurship Team; Priority Academic Program Development (PAPD) of Jiangsu Higher Education Institutions; Postgraduate Research &amp; Practice Innovation Program of Jiangsu Province</t>
  </si>
  <si>
    <t>The observed SLP data from NCEP Reanalysis are obtained from https://www.esrl.noaa.gov/psd/data/gridded/data.ncep.reanalysis.html. The SST data are available at https://www.esrl.noaa.gov/psd/data/gridded/tables/sst.html. The sea ice data from Met Office Hadley Center are available from https://www.metoffice.gov.uk/hadobs/hadisst. The monthly data of the ENSEMBLES forecasts are from https://www.ecmwf.int/en/research/projects/ensembles/data-archiving. This work was supported by the National Key Research and Development Program of China (grant 2016YFA0600703), the funding of Jiangsu Innovation &amp; Entrepreneurship Team, the Priority Academic Program Development (PAPD) of Jiangsu Higher Education Institutions, and Postgraduate Research &amp; Practice Innovation Program of Jiangsu Province.</t>
  </si>
  <si>
    <t>10.1029/2019EA000771</t>
  </si>
  <si>
    <t>WOS:000490472500001</t>
  </si>
  <si>
    <t>Olson, AM; Trebilco, R; Salomon, AK</t>
  </si>
  <si>
    <t>Olson, Angeleen M.; Trebilco, Rowan; Salomon, Anne K.</t>
  </si>
  <si>
    <t>Expanded consumer niche widths may signal an early response to spatial protection</t>
  </si>
  <si>
    <t>MARINE RESERVES; COMMUNITY STRUCTURE; REEF; CONSERVATION; FISHERIES; AREAS; PREDATION; CONTEXT; SIZE; IMPLEMENTATION</t>
  </si>
  <si>
    <t>Marine management interventions are increasingly being implemented with the explicit goal of rebuilding ocean ecosystems, but early responses may begin with alterations in ecological interactions preceding detectable changes in population-level characteristics. To establish a baseline from which to monitor the effects of spatial protection on reef fish trophic ecology and track future ecosystem-level changes, we quantified temperate reef fish densities, size, biomass, diets and isotopic signatures at nine sites nested within two fished and one five-year old marine protected area (MPA) on the northwest coast of Canada. We calculated rockfish (Sebastes spp.) community and species-specific niche breadth for fished and protected areas based on delta C-13 and delta N-15 values. We found that rockfish community niche width was greater inside the MPA relative to adjacent fished reefs due to an expanded nitrogen range, possibly reflecting early changes in trophic interactions following five years of spatial protection. Our data also demonstrated that the MPA had a positive effect on the delta N-15 signature of rockfish (i.e., trophic position), but the effect of rockfish length on its own was not well-supported. In addition, we found a positive interaction between rockfish length and delta N-15 signature, such that delta N-15 signatures of rockfish caught within the MPA increased more rapidly with body size than those caught in fished areas. Differences in rockfish size structure and biomass among fished and unfished areas were not clearly evident. Species of rockfish and lingcod varied in trophic and size responses, indicating that life-history traits play an important role in predicting MPA effects. These results may suggest early changes in trophic behavior of slow-growing rockfish due to predation risk by faster growing higher trophic level predators such as lingcod inside MPAs established on temperate reefs. Consequently, spatial protection may restore both the trophic and behavioral roles of previously fished consumers earlier and in measurable ways sooner than observable changes in abundance and size.</t>
  </si>
  <si>
    <t>[Olson, Angeleen M.; Trebilco, Rowan; Salomon, Anne K.] Simon Fraser Univ, Fac Sci, Sch Resource &amp; Environm Management, Burnaby, BC, Canada; [Olson, Angeleen M.; Salomon, Anne K.] Hakai Inst, Heriot Bay, BC, Canada; [Trebilco, Rowan] Univ Tasmania, Antarctic Climate &amp; Ecosyst CRC, Hobart, Tas, Australia</t>
  </si>
  <si>
    <t>Simon Fraser University; Hakai Institute; University of Tasmania</t>
  </si>
  <si>
    <t>Olson, AM; Salomon, AK (corresponding author), Simon Fraser Univ, Fac Sci, Sch Resource &amp; Environm Management, Burnaby, BC, Canada.;Olson, AM; Salomon, AK (corresponding author), Hakai Inst, Heriot Bay, BC, Canada.</t>
  </si>
  <si>
    <t>angeleen.olson@hakai.org; anne.salomon@sfu.ca</t>
  </si>
  <si>
    <t>Trebilco, Rowan/I-5311-2012</t>
  </si>
  <si>
    <t>Trebilco, Rowan/0000-0001-9712-8016; Olson, Angeleen/0000-0001-8443-1868</t>
  </si>
  <si>
    <t>Natural Sciences and Engineering Research Council; Vanier Scholarship; USRA; Parks Canada; Natural Sciences and Engineering Research Council of Canada; Gwaii Haanas Archipelago Management Board; Council for the Haida Nations' Fisheries Committee</t>
  </si>
  <si>
    <t>Natural Sciences and Engineering Research Council(Natural Sciences and Engineering Research Council of Canada (NSERC)); Vanier Scholarship; USRA; Parks Canada; Natural Sciences and Engineering Research Council of Canada(Natural Sciences and Engineering Research Council of Canada (NSERC)CGIAR); Gwaii Haanas Archipelago Management Board; Council for the Haida Nations' Fisheries Committee</t>
  </si>
  <si>
    <t>This research was funded by the Natural Sciences and Engineering Research Council (http://www.nserc-crsng.gc.ca) through a Discovery Grant to A.K.S., a Vanier Scholarship to R.T., and a USRA to A.M.O. Additional support was provided from Parks Canada to A.K.S. This work was supported by the Natural Sciences and Engineering Research Council of Canada [Discovery Grant to A. K. S., Vanier Scholarship to R. T., URSA to A. M. O.] and a Parks Canada contribution [to A. K. S.]. We thank M. Drake for stomach content identification and L. Lee, L. Vigneault, T. Vigneault, A. Frid, H. Stewart, E. White and M. Drake for their assistance in the field. Our deep appreciation goes to the Gwaii Haanas Archipelago Management Board and the Council for the Haida Nations' Fisheries Committee for supporting this research. Fish images were generously provided by Andy Lamb, and other images are courtesy of T. Saxby, D. Tracey, K. Kraeer, and L. Van Essen-Fishman (Integration and Application Network, U. of Maryland, Centre for Environmental Science, ian. umces.edu/imagelibrary/).</t>
  </si>
  <si>
    <t>OCT 15</t>
  </si>
  <si>
    <t>e0223748</t>
  </si>
  <si>
    <t>10.1371/journal.pone.0223748</t>
  </si>
  <si>
    <t>LM9KE</t>
  </si>
  <si>
    <t>WOS:000532565700030</t>
  </si>
  <si>
    <t>Kwon, HJ; Kim, KH; Jee, G; Jin, H; Kim, H; Shin, J; Lee, S; Kwon, JW; Kim, JH; Lee, C; Lessard, M</t>
  </si>
  <si>
    <t>Kwon, Hyuck-Jin; Kim, Khan-Hyuk; Jee, Geonhwa; Jin, Ho; Kim, Hyomin; Shin, Jehyuck; Lee, Seungah; Kwon, Jong-Woo; Kim, Jeong-Han; Lee, Changsup; Lessard, Marc</t>
  </si>
  <si>
    <t>Characteristics of Pc5 activity at high latitudes stations in Antarctica</t>
  </si>
  <si>
    <t>ULF Pc5 waves; Polar region; Variation of solar wind speed; Antarctic stations; Correlation analysis</t>
  </si>
  <si>
    <t>DAWN-DUSK ASYMMETRY; MAGNETIC PULSATIONS; SOLAR-WIND; ULF WAVES; PERIOD; CUSP</t>
  </si>
  <si>
    <t>We examined wave activities in the Pc5 frequency band (similar to 2-7 mHz) using the magnetic field data from five Antarctic stations, which are AGO3 (72.5 degrees S Altitude-Adjusted Corrected Geomagnetic latitude), South Pole (SPA, 74.6 degrees S), McMurdo (MCM) and Jang Bogo Station (JBS, 80 degrees S), and Dome C (DMC, 89.1 degrees S), during 2017. Pc5 waves at AGO3 and SPA show characteristics associated with Kelvin-Helmohltz instability on the magnetopause and substorm activities, under closed field lines conditions. The local time and seasonal dependence of Pc5 wave activities at polar cap stations (MCM, JBS, and DMC) are significantly different from those at AGO3 and SPA. These indicate that the generation mechanism of Pc5 activities in the open field line region at polar cap is different from that in the closed field lines. We suggest that polar-cap Pc5 is generated by ionospheric current variations produced by solar dynamo between solar wind plasma and geomagnetic field.</t>
  </si>
  <si>
    <t>[Kwon, Hyuck-Jin; Jee, Geonhwa; Kim, Jeong-Han; Lee, Changsup] Korea Polar Res Inst, Div Polar Climate Sci, Incheon, South Korea; [Jee, Geonhwa] Univ Sci &amp; Technol, Daejeon, South Korea; [Kim, Khan-Hyuk; Jin, Ho; Shin, Jehyuck; Lee, Seungah; Kwon, Jong-Woo] Kyung Hee Uanivers, Sch Space Res, Gyeonggi, South Korea; [Kim, Hyomin] New Jersey Inst Technol, Ctr Solar Terr Res, Newark, NJ 07102 USA; [Lessard, Marc] Univ New Hampshire, Space Sci Ctr, Durham, NH 03824 USA</t>
  </si>
  <si>
    <t>Korea Polar Research Institute (KOPRI); University of Science &amp; Technology (UST); New Jersey Institute of Technology; University System Of New Hampshire; University of New Hampshire</t>
  </si>
  <si>
    <t>Kwon, HJ (corresponding author), Korea Polar Res Inst, Div Polar Climate Sci, Incheon, South Korea.</t>
  </si>
  <si>
    <t>hjkwon@kopri.re.kr</t>
  </si>
  <si>
    <t>Kim, Jeong Han/J-6244-2016; Kim, Khan-Hyuk/E-2361-2013; Jin, Ho/J-5303-2012</t>
  </si>
  <si>
    <t>Jin, Ho/0000-0002-1773-8234; Kim, Khan-Hyuk/0000-0001-8872-6065; Kwon, Hyuck Jin/0000-0001-9670-0711</t>
  </si>
  <si>
    <t>Korea Polar Research Institute [PE19020]; BK21 thorn through the National Research Foundation (NRF) - Ministry of Education of Korea; Basic Science Research Program through NRF [NRF-2016R1A2B4011553]; National Science Foundation (NSF) [PLR-1643700, PLR-1443507, AGS-1547252]</t>
  </si>
  <si>
    <t>Korea Polar Research Institute(Korea Polar Research Institute of Marine Research Placement (KOPRI)); BK21 thorn through the National Research Foundation (NRF) - Ministry of Education of Korea(Ministry of Education (MOE), Republic of Korea); Basic Science Research Program through NRF(National Research Foundation of Korea); National Science Foundation (NSF)(National Science Foundation (NSF)National Research Foundation of Korea)</t>
  </si>
  <si>
    <t>This study was supported by the grant PE19020 from the Korea Polar Research Institute. This work was supported by BK21 thorn through the National Research Foundation (NRF) funded by Ministry of Education of Korea. The work of K.-H. Kim was supported by the Basic Science Research Program through NRF funded by NRF-2016R1A2B4011553. The work at New Jersey Institute of Technology was supported by National Science Foundation (NSF) grants PLR-1643700 (the fluxgate and search-coil magnetometer at McMurdo and South Pole Station), PLR-1443507 (the fluxgate magnetometer at AGO3), and AGS-1547252 (the search-coil magnetometer at Jang Bogo Station). The solar wind data used in this study were from WIND satellite they had been downloaded from OMNI web site.</t>
  </si>
  <si>
    <t>10.1016/j.jastp.2019.105087</t>
  </si>
  <si>
    <t>JP0KJ</t>
  </si>
  <si>
    <t>WOS:000497960400019</t>
  </si>
  <si>
    <t>Wei, YT; Shen, HH; Xu, WQ; Pan, Y; Chen, J; Zhang, WB; Mai, KS</t>
  </si>
  <si>
    <t>Wei, Yuting; Shen, Haohao; Xu, Weiqi; Pan, Ying; Chen, Jia; Zhang, Wenbing; Mai, Kangsen</t>
  </si>
  <si>
    <t>Replacement of dietary fishmeal by Antarctic krill meal on growth performance, intestinal morphology, body composition and organoleptic quality of large yellow croaker Larimichthys crocea</t>
  </si>
  <si>
    <t>AQUACULTURE</t>
  </si>
  <si>
    <t>Fishmeal; Krill; Large yellow croaker; Quality; Muscle composition</t>
  </si>
  <si>
    <t>TASTE-ACTIVE COMPONENTS; EUPHAUSIA-SUPERBA MEAL; TROUT ONCORHYNCHUS-MYKISS; COD GADUS-MORHUA; ATLANTIC SALMON; RAINBOW-TROUT; MUSCLE QUALITY; AMINO-ACIDS; SKIN PIGMENTATION; GENE-EXPRESSION</t>
  </si>
  <si>
    <t>The present study investigated the growth performance, intestinal morphology, body composition and organoleptic quality of large yellow croaker Larimichthys crocea fed a diet containing different proportions of Antarctic krill Euphausia superba meal (0, 15, 30, 45, 60 and 75%) as a substitute for fishmeal. After a 9-week feeding trial, results showed that the specific growth rate and feed efficiency ratio were not negatively affected by dietary krill meal levels. Increasing levels of dietary krill meal linearly and quadratically increased significantly FI (P &lt; .05). Significant positive linear trends were found between the increasing levels of dietary krill meal and carotenoid concentrations, redness (a*), yellowness (b*) in skin (P &lt; .05). And the color can be distinguished by the human eye when 15% fishmeal protein was replaced by krill meal protein due to the total color difference (Delta E) was &gt; 3. Texture and pH in muscle were not negatively affected, however, liquid holding capacity linearly decreased (P &lt; .05). The increasing dietary krill meal resulted in a linear decrease in most of free amino acids and a linear increase in inosinic acid (P &lt; .05). The concentrations of EPA was linearly increased with the increasing krill meal level, n-3/n-6 ratio ranged from 0.68-0.91 within the human dietary requirements. Total amino acid profile kept unchanged among all the treatments. Although the increase of dietary krill meal significantly linearly increased the content of fluorine in muscle (P &lt; .05), the highest content was within the safe edible limit for human. The expression levels of mTOR, 4E-BP1, eIF4E, S6K1, S6 genes related to TOR signaling pathway and phosphorylation of mTOR were not significantly changed among all treatment. These results suggested that Antarctic krill meal could be a viable alternative dietary protein source for large yellow croaker. And 6.59%-32.93% of dietary krill meal can result in a better skin color and fatty acid nutritional value in muscle without negative effects on growth performance of large yellow croaker.</t>
  </si>
  <si>
    <t>[Wei, Yuting; Shen, Haohao; Xu, Weiqi; Zhang, Wenbing; Mai, Kangsen] Ocean Univ China, Key Lab Aquaculture Nutr &amp; Feeds, Key Lab Mariculture, Minist Agr &amp; Rural Affairs,Minist Edu, Qingdao 266003, Shandong, Peoples R China; [Zhang, Wenbing; Mai, Kangsen] Qingdao Natl Lab Marine Sci &amp; Technol, Lab Marine Fisheries Sci &amp; Food Prod Proc, Wen Hai Rd, Qingdao 266237, Shandong, Peoples R China; [Pan, Ying; Chen, Jia] Ningde Fufa Fisheries Co Ltd, State Key Lab Large Yellow Croaker Breeding, Ningde 352103, Fujian, Peoples R China</t>
  </si>
  <si>
    <t>Ministry of Agriculture &amp; Rural Affairs; Ocean University of China; Laoshan Laboratory</t>
  </si>
  <si>
    <t>Zhang, WB (corresponding author), Ocean Univ China, Key Lab Aquaculture Nutr &amp; Feeds, Key Lab Mariculture, Minist Agr &amp; Rural Affairs,Minist Edu, Qingdao 266003, Shandong, Peoples R China.</t>
  </si>
  <si>
    <t>wzhang@ouc.edu.cn</t>
  </si>
  <si>
    <t>National Key R &amp; D Program of China [2018YFD0900400]; Fundamental Research Funds for the Central Universities of Ocean University of China [201562017]; Science and Technology Platform Construction of Fujian Province [2018N2005]</t>
  </si>
  <si>
    <t>National Key R &amp; D Program of China; Fundamental Research Funds for the Central Universities of Ocean University of China; Science and Technology Platform Construction of Fujian Province</t>
  </si>
  <si>
    <t>This work was financially supported by the National Key R &amp; D Program of China (2018YFD0900400), the Fundamental Research Funds for the Central Universities of Ocean University of China (No. 201562017), and the Science and Technology Platform Construction of Fujian Province (No.2018N2005).</t>
  </si>
  <si>
    <t>0044-8486</t>
  </si>
  <si>
    <t>1873-5622</t>
  </si>
  <si>
    <t>Aquaculture</t>
  </si>
  <si>
    <t>10.1016/j.aquaculture.2019.734281</t>
  </si>
  <si>
    <t>JG3RS</t>
  </si>
  <si>
    <t>WOS:000491992200013</t>
  </si>
  <si>
    <t>Taylor, MJ; Pautet, PD; Fritts, DC; Kaifler, B; Smith, SM; Zhao, YC; Criddle, NR; McLaughlin, P; Pendleton, WR; McCarthy, MP; Hernandez, G; Eckermann, SD; Doyle, J; Rapp, M; Liley, B; Russell, JM</t>
  </si>
  <si>
    <t>Taylor, Michael J.; Pautet, Pierre-Dominique; Fritts, David C.; Kaifler, Bernd; Smith, Steven M.; Zhao, Yucheng; Criddle, Neal R.; McLaughlin, Pattilyn; Pendleton, William R., Jr.; McCarthy, Michael P.; Hernandez, Gonzalo; Eckermann, Stephen D.; Doyle, James; Rapp, Markus; Liley, Ben; Russell, James M., III</t>
  </si>
  <si>
    <t>Large-Amplitude Mountain Waves in the Mesosphere Observed on 21 June 2014 During DEEPWAVE: 1. Wave Development, Scales, Momentum Fluxes, and Environmental Sensitivity</t>
  </si>
  <si>
    <t>mountain waves; mesospheric mountain waves; gravity wave breaking; optical observations; remote sensing</t>
  </si>
  <si>
    <t>GRAVITY-WAVE; MIDDLE ATMOSPHERE; NEW-ZEALAND; INSTABILITY DYNAMICS; GENERAL-CIRCULATION; TEMPERATURE MAPPER; AUCKLAND ISLANDS; INDUCED DRAG; NA LIDAR; TURBULENCE</t>
  </si>
  <si>
    <t>A remarkable, large-amplitude, mountain wave (MW) breaking event was observed on the night of 21 June 2014 by ground-based optical instruments operated on the New Zealand South Island during the Deep Propagating Gravity Wave Experiment (DEEPWAVE). Concurrent measurements of the MW structures, amplitudes, and background environment were made using an Advanced Mesospheric Temperature Mapper, a Rayleigh Lidar, an All-Sky Imager, and a Fabry-Perot Interferometer. The MW event was observed primarily in the OH airglow emission layer at an altitude of 82 km, over an 2-hr interval (10:30-12:30 UT), during strong eastward winds at the OH altitude and above, which weakened with time. The MWs displayed dominant horizontal wavelengths ranging from 40 to 70 km and temperature perturbation amplitudes as large as 35 K. The waves were characterized by an unusual, saw-tooth pattern in the larger-scale temperature field exhibiting narrow cold phases separating much broader warm phases with increasing temperatures toward the east, indicative of strong overturning and instability development. Estimates of the momentum fluxes during this event revealed a distinct periodicity (25 min) with three well-defined peaks ranging from 600 to 800 m(2)/s(2), among the largest ever inferred at these altitudes. These results suggest that MW forcing at small horizontal scales (&lt;100 km) can play large roles in the momentum budget of the mesopause region when forcing and propagation conditions allow them to reach mesospheric altitudes with large amplitudes. A detailed analysis of the instability dynamics accompanying this breaking MW event is presented in a companion paper, Fritts et al. (2019, https://doi.org/10.1029/2019jd030899).</t>
  </si>
  <si>
    <t>[Taylor, Michael J.; Pautet, Pierre-Dominique; Zhao, Yucheng; Criddle, Neal R.; McLaughlin, Pattilyn; Pendleton, William R., Jr.] Utah State Univ, Ctr Atmospher &amp; Space Sci, Logan, UT 84322 USA; [Fritts, David C.] GATS Inc, Boulder, CO USA; [Kaifler, Bernd; Rapp, Markus] German Aerosp Ctr DLR, Munich, Germany; [Smith, Steven M.] Boston Univ, Ctr Space Phys, Boston, MA 02215 USA; [McCarthy, Michael P.; Hernandez, Gonzalo] Univ Washington, Earth &amp; Space Sci, Seattle, WA 98195 USA; [Eckermann, Stephen D.] Naval Res Lab, Washington, DC 20375 USA; [Doyle, James] Naval Res Lab, Monterey, CA USA; [Liley, Ben] Natl Inst Water &amp; Atmospher Res, Auckland, New Zealand; [Russell, James M., III] Hampton Univ, Ctr Atmospher Sci, Hampton, VA 23668 USA</t>
  </si>
  <si>
    <t>Utah System of Higher Education; Utah State University; Helmholtz Association; German Aerospace Centre (DLR); Boston University; University of Washington; University of Washington Seattle; United States Department of Defense; United States Navy; Naval Research Laboratory; United States Department of Defense; United States Navy; Naval Research Laboratory; National Institute of Water &amp; Atmospheric Research (NIWA) - New Zealand; Hampton University</t>
  </si>
  <si>
    <t>Taylor, MJ (corresponding author), Utah State Univ, Ctr Atmospher &amp; Space Sci, Logan, UT 84322 USA.</t>
  </si>
  <si>
    <t>mike.taylor@usu.edu</t>
  </si>
  <si>
    <t>Rapp, Markus/K-6081-2015; Kaifler, Bernd/AAK-7237-2021; Pautet, Pierre-Dominique/HRC-1681-2023</t>
  </si>
  <si>
    <t>Rapp, Markus/0000-0003-1508-5900; Kaifler, Bernd/0000-0002-5891-242X; Fritts, Dave/0000-0002-6402-105X; Pautet, Pierre-Dominique/0000-0001-9452-7337; Taylor, Michael/0000-0002-3796-0836</t>
  </si>
  <si>
    <t>National Institute of Water and Atmospheric Research of New Zealand; Likewise; Mount John Observatory; German Research Foundation (DFG) [RA1400/6-1]; Chief of Naval Research</t>
  </si>
  <si>
    <t>National Institute of Water and Atmospheric Research of New Zealand; Likewise; Mount John Observatory; German Research Foundation (DFG)(German Research Foundation (DFG)); Chief of Naval Research</t>
  </si>
  <si>
    <t>The collaborative research described herein was supported by several NSF grants gratefully cited in GEMS. The authors wish to especially acknowledge the National Institute of Water and Atmospheric Research of New Zealand (NIWA) for hosting the AMTM, Lidar, and all-sky imager operations during the DEEPWAVE mission. In particular, we wish to thank D. Holland and J. Robinson for their considerable help with setting up and maintaining the instruments at Lauder. We also deeply thank the NCAR/EOL personnel for their tremendous contribution to the DEEPWAVE program. Likewise, we thank the Mount John Observatory for supporting the operations of the FPI. B. K. thanks the German Research Foundation (DFG) for support through the research unit MSG-GWaves project RA1400/6-1. S.D.E. acknowledges support of the Chief of Naval Research for the NAVGEM reanalyzes reported here. USU further acknowledges R. Esplin and D. McLain, at the Space Dynamics Laboratory, for their expertise and help in the development of the AMTM. We also acknowledge the NASA TIMED program for the SABER data used in these analyses. Finally, we gratefully acknowledge the U.S. Antarctic Program for hosting the DEEPWAVE field campaign operations from their facilities in Christchurch, New Zealand. The DEEPWAVE data used in these analyses are available on the NCAR EOL archive at www.eol.ucar.edu/field_projects/deepwave. The link to the HALO database that hosts the lidar data used in the paper is https://halo-db.pa.op.dlr.de/mission/24.</t>
  </si>
  <si>
    <t>OCT 16</t>
  </si>
  <si>
    <t>10.1029/2019JD030932</t>
  </si>
  <si>
    <t>JH2MY</t>
  </si>
  <si>
    <t>WOS:000492222700001</t>
  </si>
  <si>
    <t>Ryan, PG; Dilley, BJ; Ronconi, RA; Connan, M</t>
  </si>
  <si>
    <t>Ryan, Peter G.; Dilley, Ben J.; Ronconi, Robert A.; Connan, Maelle</t>
  </si>
  <si>
    <t>Rapid increase in Asian bottles in the South Atlantic Ocean indicates major debris inputs from ships</t>
  </si>
  <si>
    <t>plastic pollution; China; Tristan da Cunha; South America; MARPOL Annex V</t>
  </si>
  <si>
    <t>MARINE DEBRIS; POLLUTION; ISLANDS; REMOTE; ACCUMULATION; PLASTICS; BEACHES; WESTERN; ORIGIN; SIZE</t>
  </si>
  <si>
    <t>Most plastic debris floating at sea is thought to come from land-based sources, but there is little direct evidence to support this assumption. Since 1984, stranded debris has been recorded along the west coast of Inaccessible Island, a remote, uninhabited island in the central South Atlantic Ocean that has a very high macrodebris load (similar to 5 kg.m(-1)). Plastic drink bottles show the fastest growth rate, increasing at 15% per year compared with 7% per year for other debris types. In 2018, we examined 2,580 plastic bottles and other containers (one-third of all debris items) that had accumulated on the coast, and a further 174 bottles that washed ashore during regular monitoring over the course of 72 d (equivalent to 800 bottles.km(-1).y(-1)). The oldest container was a high-density polyethylene canister made in 1971, but most were polyethylene terephthalate drink bottles of recent manufacture. Of the bottles that washed up during our survey, 90% were date-stamped within 2 y of stranding. In the 1980s, two-thirds of bottles derived from South America, carried 3,000 km by the west wind drift. By 2009, Asia had surpassed South America as the major source of bottles, and by 2018, Asian bottles comprised 73% of accumulated and 83% of newly arrived bottles, with most made in China. The rapid growth in Asian debris, mainly from China, coupled with the recent manufacture of these items, indicates that ships are responsible for most of the bottles floating in the central South Atlantic Ocean, in contravention of International Convention for the Prevention of Pollution from Ships regulations.</t>
  </si>
  <si>
    <t>[Ryan, Peter G.; Dilley, Ben J.] Univ Cape Town, DST NRF Ctr Excellence, FitzPatrick Inst African Ornithol, ZA-7701 Rondebosch, South Africa; [Ronconi, Robert A.] Canadian Wildlife Serv, Environm &amp; Climate Change Canada, Dartmouth, NS B2Y 2N6, Canada; [Connan, Maelle] Nelson Mandela Univ, Inst Coastal &amp; Marine Res, Dept Zool, Marine Apex Predator Res Unit, ZA-6031 Port Elizabeth, South Africa</t>
  </si>
  <si>
    <t>National Research Foundation - South Africa; University of Cape Town; Environment &amp; Climate Change Canada; Canadian Wildlife Service; Nelson Mandela University</t>
  </si>
  <si>
    <t>Ryan, PG (corresponding author), Univ Cape Town, DST NRF Ctr Excellence, FitzPatrick Inst African Ornithol, ZA-7701 Rondebosch, South Africa.</t>
  </si>
  <si>
    <t>Connan, Maelle/A-8468-2008</t>
  </si>
  <si>
    <t>Connan, Maelle/0000-0002-1308-9118; Ryan, Peter/0000-0002-3356-2056</t>
  </si>
  <si>
    <t>Darwin Plus; Royal Society for the Protection of Birds; South African National Antarctic Programme [110738]</t>
  </si>
  <si>
    <t>Darwin Plus; Royal Society for the Protection of Birds; South African National Antarctic Programme</t>
  </si>
  <si>
    <t>We thank the Tristan government for allowing this research. Coleen Moloney and Barry Watkins assisted with litter surveys. Funding was received from Darwin Plus, the Royal Society for the Protection of Birds and the South African National Antarctic Programme (grant 110738).</t>
  </si>
  <si>
    <t>10.1073/pnas.1909816116</t>
  </si>
  <si>
    <t>JD7SW</t>
  </si>
  <si>
    <t>WOS:000490183000020</t>
  </si>
  <si>
    <t>Hall, BL; Lowell, TV; Bromley, GRM; Denton, GH; Putnam, AE</t>
  </si>
  <si>
    <t>Hall, B. L.; Lowell, T. V.; Bromley, G. R. M.; Denton, G. H.; Putnam, A. E.</t>
  </si>
  <si>
    <t>Holocene glacier fluctuations on the northern flank of Cordillera Darwin, southernmost South America</t>
  </si>
  <si>
    <t>Cordillera Darwin; Holocene; Glacial extent; Radiocarbon; Chronology</t>
  </si>
  <si>
    <t>TIERRA-DEL-FUEGO; ICE-AGE; LATEST PLEISTOCENE; LAGO ARGENTINO; BAHIA INUTIL; WESTERN ALPS; NEW-ZEALAND; MARINELLI; ICEFIELD; MAGELLAN</t>
  </si>
  <si>
    <t>Records of past variability afford context for evaluating present-day glacier behavior and for testing hypotheses of climate change. Here, we use 69 radiocarbon dates of wood and other organic materials in association with glacial deposits to document the behavior of Ventisqueros Marinelli and Brooks in Cordillera Darwin over the past similar to 17,000 years. Recession from the last glacial maximum was early, with most occurring prior to 17,000 yr BP. Any glacial resurgence during the Antarctic Cold Reversal must have terminated within the bounds of Holocene ice fluctuations. By early Holocene time, Ventisquero Marinelli had retreated such that it was no more extensive than it was in AD 1992. We identify several subsequent glacier readvances, but also note long periods of restricted ice extent, particularly in the mid-Holocene. There were times when Holocene glaciers must have been smaller than at present. Our new record from Marinelli shows similarities to other reconstructions of Holocene glacier variation from southern South America, such as at Mt. Sarmiento and the South Patagonian Icefield, suggesting an underlying climate signal. The overall implication is of substantial early Holocene deglaciation followed by repeated advances interspersed with periods of recession when ice extent was smaller than at present. This general pattern of glacier behavior appears to differ from that of New Zealand's Southern Alps and points to the value of a geographic spread of datasets to elucidate the pattern of Southern Hemisphere climate during the Holocene. (C) 2019 Elsevier Ltd. All rights reserved.</t>
  </si>
  <si>
    <t>[Hall, B. L.; Bromley, G. R. M.; Denton, G. H.; Putnam, A. E.] Univ Maine, Sch Earth &amp; Climate Sci, Orono, ME 04469 USA; [Hall, B. L.; Bromley, G. R. M.; Denton, G. H.; Putnam, A. E.] Univ Maine, Climate Change Inst, Orono, ME 04469 USA; [Lowell, T. V.] Univ Cincinnati, Dept Geol, Cincinnati, OH 45221 USA; [Bromley, G. R. M.] NUI Galway, Sch Geog &amp; Archaeol, Galway, Ireland</t>
  </si>
  <si>
    <t>University of Maine System; University of Maine Orono; University of Maine System; University of Maine Orono; University System of Ohio; University of Cincinnati; Ollscoil na Gaillimhe-University of Galway</t>
  </si>
  <si>
    <t>Hall, BL (corresponding author), Univ Maine, Sch Earth &amp; Climate Sci, Orono, ME 04469 USA.;Hall, BL (corresponding author), Univ Maine, Climate Change Inst, Orono, ME 04469 USA.</t>
  </si>
  <si>
    <t>brendah@maine.edu</t>
  </si>
  <si>
    <t>Putnam, Aaron/0000-0002-5358-1473; Lowell, Thomas/0000-0001-7826-0636</t>
  </si>
  <si>
    <t>U.S. National Science Foundation; Corner Family Foundation</t>
  </si>
  <si>
    <t>U.S. National Science Foundation(National Science Foundation (NSF)); Corner Family Foundation</t>
  </si>
  <si>
    <t>We dedicate this paper to the late Charlie Porter, who not only provided the logistics for this work with his boat, Ocean Tramp, but who also was deeply invested in the field work and the scientific results. He performed the dendrochronological analyses presented here and was instrumental in the retrieval of wood samples. A. Introne, J. Lennon, and E. Cardenas assisted in the field. This work was funded by the U.S. National Science Foundation and by the Corner Family Foundation.</t>
  </si>
  <si>
    <t>10.1016/j.quascirev.2019.105904</t>
  </si>
  <si>
    <t>JF9EP</t>
  </si>
  <si>
    <t>WOS:000491685900014</t>
  </si>
  <si>
    <t>Shah, E; Jayaprasad, P; James, ME</t>
  </si>
  <si>
    <t>Shah, Esha; Jayaprasad, P.; James, M. E.</t>
  </si>
  <si>
    <t>Image Fusion of SAR and Optical Images for Identifying Antarctic Ice Features</t>
  </si>
  <si>
    <t>JOURNAL OF THE INDIAN SOCIETY OF REMOTE SENSING</t>
  </si>
  <si>
    <t>Antarctic ice features; Feature extraction; Image fusion; Image merging; RISAT-1 FRS-1; SAR; ResourceSAT-2 LISS-4</t>
  </si>
  <si>
    <t>Remote sensing data plays an important role in extracting thematic information from various sensors having different spectral, spatial and temporal resolutions. The present study aims at fusion of Radar Imaging Satellite-1 Fine Resolution Stripmap-1 and ResourceSAT-2 Linear Imaging Self Scanning Scanner-4 (LISS-4) images over Indian Antarctic Research Station Maitri and its surroundings to generate a better product which contains the characteristics of both the spectral information from LISS-4 and the spatial details of SAR. Different pixel-based fusion techniques such as Brovey Transform, Principal Component Analysis (PCA), Intensity Hue Saturation and Wavelet Principal Component Analysis (W-PCA) have been used in the present study. These image fusion techniques have been applied for the whole scene as well as for individual surface features like melt ponds, crevasses, freshwater lake, blue ice, oasis and lake ice for better discrimination of features. Quality assessment is performed by evaluating the performance of these algorithms using visual, spatial (High Pass Correlation Coefficient and Entropy) and spectral (Root Mean Square Error, Correlation Coefficient, ERGAS and Universal Quality Index) parameters. It is found that the identification of certain features such as crevasses, blue ice, melt ponds and lake ice has been improved with fused images compared to the original multi-spectral and SAR images. PCA and W-PCA fusion techniques offer better performance as compared to the rest of the techniques.</t>
  </si>
  <si>
    <t>[Shah, Esha; James, M. E.] Gujarat Univ, Dept Phys Elect &amp; Space Sci, Ahmadabad 380009, Gujarat, India; [Jayaprasad, P.] ISRO, Space Applicat Ctr, Ahmadabad 380015, Gujarat, India</t>
  </si>
  <si>
    <t>Gujarat University; Department of Space (DoS), Government of India; Indian Space Research Organisation (ISRO); Space Applications Centre (SAC)</t>
  </si>
  <si>
    <t>Jayaprasad, P (corresponding author), ISRO, Space Applicat Ctr, Ahmadabad 380015, Gujarat, India.</t>
  </si>
  <si>
    <t>eshu7456@gmail.com; jayaprasadp@gmail.com; mejames1962@gmail.com</t>
  </si>
  <si>
    <t>SAC, ISRO; DST; UGC</t>
  </si>
  <si>
    <t>SAC, ISRO; DST(Department of Science &amp; Technology (India)); UGC(University Grants Commission, India)</t>
  </si>
  <si>
    <t>Authors are thankful to SAC, ISRO, for providing research grant under MOP-III program. Authors acknowledge DST and UGC for the financial assistance extended to the Physics Department, Gujarat University, under FIST and SAP. They are thankful to Dr. Raj Kumar, Deputy Director, EPSA, for his support and the keen interest in this study. The guidance provided by Smt. Arundhati Misra, GD, AMHTDG, and Deepak Putrevu, Head, MTDD, AMHTDG, is greatly acknowledged. Authors sincerely thank the anonymous reviewers and editors for their valuable suggestions and comments.</t>
  </si>
  <si>
    <t>0255-660X</t>
  </si>
  <si>
    <t>0974-3006</t>
  </si>
  <si>
    <t>J INDIAN SOC REMOTE</t>
  </si>
  <si>
    <t>J. Indian Soc. Remote Sens.</t>
  </si>
  <si>
    <t>10.1007/s12524-019-01040-3</t>
  </si>
  <si>
    <t>Environmental Sciences; Remote Sensing</t>
  </si>
  <si>
    <t>Environmental Sciences &amp; Ecology; Remote Sensing</t>
  </si>
  <si>
    <t>JM2BC</t>
  </si>
  <si>
    <t>WOS:000490878900001</t>
  </si>
  <si>
    <t>Lüning, S; Galka, M; Vahrenholt, F</t>
  </si>
  <si>
    <t>Luning, Sebastian; Galka, Mariusz; Vahrenholt, Fritz</t>
  </si>
  <si>
    <t>The Medieval Climate Anomaly in Antarctica</t>
  </si>
  <si>
    <t>SOUTHERN ANNULAR MODE; ICE CORE EVIDENCE; HEMISPHERE WESTERLY WINDS; LATE-HOLOCENE CLIMATE; SURFACE MASS-BALANCE; DRONNING MAUD LAND; SEA-ICE; EAST ANTARCTICA; SOLAR-ACTIVITY; EL-NINO</t>
  </si>
  <si>
    <t>The Medieval Climate Anomaly (MCA) is a well-recognized climate perturbation in many parts of the world, with a core period of 1000-1200 CE. Here we are mapping the MCA across the Antarctic region based on the analysis of published palaeotemperature proxy data from 60 sites. In addition to the conventionally used ice core data, we are integrating temperature proxy records from marine and terrestrial sediment cores as well as radiocarbon ages of glacier moraines and elephant seal colonies. A generally warm MCA compared to the subsequent Little Ice Age (LIA) was found for the Subantarctic Islands south of the Antarctic Convergence, the Antarctic Peninsula, Victoria Land and central West Antarctica. A somewhat less clear MCA warm signal was detected for the majority of East Antarctica. MCA cooling occurred in the Ross Ice Shelf region, and probably in the Weddell Sea and on Filchner-Ronne Ice Shelf. Spatial distribution of MCA cooling and warming follows modern dipole patterns, as reflected by areas of opposing temperature trends. Main drivers of the multi-centennial scale climate variability appear to be the Southern Annular Mode (SAM) and El Nino-Southern Oscillation (ENSO) which are linked to solar activity changes by nonlinear dynamics.</t>
  </si>
  <si>
    <t>[Luning, Sebastian] Inst Hydrog Geoecol &amp; Climate Sci, Hauptstr 47, CH-6315 Ageri, Switzerland; [Galka, Mariusz] Univ Lodz, Fac Biol &amp; Environm Protect, Dept Geobot &amp; Plant Ecol, 12-16 Banacha Str, Lodz, Poland; [Vahrenholt, Fritz] Univ Hamburg, Dept Chem, Martin Luther King Pl 6, D-20146 Hamburg, Germany</t>
  </si>
  <si>
    <t>University of Lodz; University of Hamburg</t>
  </si>
  <si>
    <t>Lüning, S (corresponding author), Inst Hydrog Geoecol &amp; Climate Sci, Hauptstr 47, CH-6315 Ageri, Switzerland.</t>
  </si>
  <si>
    <t>luening@ifhgk.org; gamarga@wp.pl; fritz.vahrenholt@chemie.uni-hamburg.de</t>
  </si>
  <si>
    <t>Gałka, Mariusz/ABB-1744-2020</t>
  </si>
  <si>
    <t>Gałka, Mariusz/0000-0001-8906-944X</t>
  </si>
  <si>
    <t>crowdfunding; energy industry</t>
  </si>
  <si>
    <t>We wish to thank all scientists whose case studies form the basis of this palaeoclimate mapping synthesis. We are grateful for provision of tabulated data and valuable discussions to Wenshen Xiao, Robert Mulvaney, Rebecca Minzoni, Stephanie Strother, Loic Barbara, Patrick Monien, Willem van der Bilt, Svante Bjorck, Rolf Zale, Dmitry Divine, Sonja Berg, Nancy Bertler, Barbara Stenni, James White, Tyler Jones, Jean Jouzel, Valerie Masson-Delmotte, Tas van Ommen, Alexey Ekaykin, Hugues Goosse, Vincent Jomelli, Stephen McIntyre, Francoise Vimeux, Ronald Kwok, Boo-Keun Khim, Damien Irving, Jessica Conroy, Paul Vaughan, Liz Thomas, Xavier Crosta, Jonathan Stelling, Yuesong Gao and Ian Goodwin. A large amount of data was sourced through the PANGAEA online data base and the NOAA National Centers for Environmental Information (NCEI, formerly NCDC), invaluable services which are greatly acknowledged. A big thank you goes to Frank Bosse for calculating the MCA trend statistics. We are indebted to Jurgis Klaudius and Lloyd's Register for providing the database and correlation software IC (TM) for this project. This review forms part of the Medieval Climate Anomaly Mapping Project which has been kindly supported by crowdfunding. We are particularly grateful to Jens Kroger for helping to jump-start the project. Kind support was also received by Hans Fischer, Christiane &amp; Michael Grunenberg, Arnd Externbrink, Hans-Joachim Dammschneider, Rainer Frank Elsaesser, Uli Weber, Jochen Zimmermann, and many others. Note that this study is fully unrelated to the first author's employment in the hydrocarbon sector and was neither commissioned nor funded by the energy industry. SL undertook this study outside office hours as a private person, trained geoscientist, and former full-time academic. We are grateful to two anonymous reviewers who greatly helped to improve this manuscript.</t>
  </si>
  <si>
    <t>10.1016/j.palaeo.2019.109251</t>
  </si>
  <si>
    <t>IW3HR</t>
  </si>
  <si>
    <t>WOS:000484871600006</t>
  </si>
  <si>
    <t>Ponte, RM; Meyssignac, B; Domingues, CM; Stammer, D; Cazenave, A; Lopez, T</t>
  </si>
  <si>
    <t>Ponte, Rui M.; Meyssignac, Benoit; Domingues, Catia M.; Stammer, Detlef; Cazenave, Anny; Lopez, Teodolina</t>
  </si>
  <si>
    <t>Guest Editorial: Relationships Between Coastal Sea Level and Large-Scale Ocean Circulation</t>
  </si>
  <si>
    <t>[Ponte, Rui M.] 131 Hartwell Ave, Lexington, MA 02421 USA; [Meyssignac, Benoit; Cazenave, Anny] Univ Paul Sabatier, CNRS, CNES, LEGOS,IRD, Toulouse, France; [Domingues, Catia M.] Univ Tasmania, Inst Marine &amp; Antarctic Studies, Hobart, Tas, Australia; [Domingues, Catia M.] Univ Tasmania, ARC Ctr Excellence Climate Extremes, Hobart, Tas, Australia; [Domingues, Catia M.] Antarctic Climate &amp; Ecosyst Cooperat Res Ctr, Private Bag 80, Hobart, Tas 7001, Australia; [Stammer, Detlef] Univ Hamburg, Hamburg, Germany; [Cazenave, Anny; Lopez, Teodolina] ISSI, Hallerstr 6, CH-3012 Bern, Switzerland</t>
  </si>
  <si>
    <t>Universite de Toulouse; Universite Toulouse III - Paul Sabatier; Centre National de la Recherche Scientifique (CNRS); Institut de Recherche pour le Developpement (IRD); Laboratoire d'Etudes en Geophysique et oceanographie spatiales; University of Tasmania; University of Tasmania; Antarctic Climate &amp; Ecosystems Cooperative Research Centre (ACE CRC); University of Hamburg</t>
  </si>
  <si>
    <t>Ponte, RM (corresponding author), 131 Hartwell Ave, Lexington, MA 02421 USA.</t>
  </si>
  <si>
    <t>rponte@aer.com</t>
  </si>
  <si>
    <t>Meyssignac, Benoit/GLQ-5451-2022; Ponte, Rui/AAE-9824-2020; Domingues, Catia M./A-2901-2015; Lopez, Teodolina/S-1016-2018</t>
  </si>
  <si>
    <t>Meyssignac, Benoit/0000-0001-6325-9843; Domingues, Catia M./0000-0001-5100-4595; Lopez, Teodolina/0000-0001-8550-7270</t>
  </si>
  <si>
    <t>10.1007/s10712-019-09574-4</t>
  </si>
  <si>
    <t>WOS:000489921900001</t>
  </si>
  <si>
    <t>Kida, M; Kojima, T; Tanabe, Y; Hayashi, K; Kudoh, S; Maie, N; Fujitake, N</t>
  </si>
  <si>
    <t>Kida, Morimaru; Kojima, Taichi; Tanabe, Yukiko; Hayashi, Kentaro; Kudoh, Sakae; Maie, Nagamitsu; Fujitake, Nobuhide</t>
  </si>
  <si>
    <t>Origin, distributions, and environmental significance of ubiquitous humic-like fluorophores in Antarctic lakes and streams</t>
  </si>
  <si>
    <t>WATER RESEARCH</t>
  </si>
  <si>
    <t>Autochthonous; DOM; Fluorescence; Microbial process; PARAFAC; Photodegradation</t>
  </si>
  <si>
    <t>DISSOLVED ORGANIC-MATTER; AQUATIC FULVIC-ACIDS; FRESH-WATER; FLUORESCENCE; MARINE; PHOTOREACTIVITY; SUBSTANCES; SEA</t>
  </si>
  <si>
    <t>This study characterized dissolved organic matter (DOM) obtained from 47 lakes and 2 streams on ice-free areas at Lutzow-Holm Bay and Amundsen Bay in East Antarctica (n = 74), where few biogeochemical studies have been historically conducted. Samples were analyzed for basic water chemistry and by resin fractionation, UV-vis spectroscopy, and excitation emission matrix spectroscopy combined with parallel factor analysis (EEM-PARAFAC). Salinity of the samples ranged very broadly from fresh to hypersaline as a result of evaporative concentration. There was a clear positive correlation between log-salinity and the spectral slopes of DOM (S275-295), an indicator of photodegradation. Thus, we interpreted the correlation as a progression of photodegradation by prolonged water retention time. Of the identified seven PARAFAC components, three ubiquitous humic-like components decreased as photodegradation progressed, while a photorefractory UVC humic-like component increased its relative abundance. A non-humic component, traditionally defined as Peak N, did not show a trend depending on photodegradation, and its level was high in nutrient-rich lakes, presumably due to high in-situ production. We found robust correlations between the relative abundance of the ubiquitous humic-like components and that of the Peak N component in the bulk DOM irrespective of water types or ice-free areas. We proposed there were common processes that generated the ubiquitous humic-like components from the Peak N component in the Lutzow-Holm Bay and Amundsen Bay lakes and streams, such as bacterial processing of primary production-derived DOM and photochemical transformation of microbial DOM. (C) 2019 Elsevier Ltd. All rights reserved.</t>
  </si>
  <si>
    <t>[Kida, Morimaru; Kojima, Taichi; Fujitake, Nobuhide] Kobe Univ, Grad Sch Agr Sci, Nada Ku, 1-1 Rokkodai, Kobe, Hyogo 6578501, Japan; [Tanabe, Yukiko; Kudoh, Sakae] Res Org Informat &amp; Syst, Natl Inst Polar Res, 10-3 Midori Cho, Tachikawa, Tokyo 1908518, Japan; [Tanabe, Yukiko; Kudoh, Sakae] SOKENDAI, Dept Polar Sci, 10-3 Midori Cho, Tachikawa, Tokyo 1908518, Japan; [Hayashi, Kentaro] NARO, Inst Agroenvironm Sci, 3-1-3 Kannondai, Tsukuba, Ibaraki 3058604, Japan; [Maie, Nagamitsu] Kitasato Univ, Sch Vet Med, Towada, Aomori 0348628, Japan; [Kida, Morimaru] Japan Soc Promot Sci, Tokyo, Japan; [Kida, Morimaru] Carl von Ossietzky Univ Oldenburg, Inst Chem &amp; Biol Marine Environm ICBM, Res Grp Marine Geochem ICBM MPI Bridging Grp, Carl von Ossietzlcy Str 9-11, D-26129 Oldenburg, Germany</t>
  </si>
  <si>
    <t>Kobe University; Research Organization of Information &amp; Systems (ROIS); National Institute of Polar Research (NIPR) - Japan; National Agriculture &amp; Food Research Organization - Japan; Kitasato University; Japan Society for the Promotion of Science; Carl von Ossietzky Universitat Oldenburg</t>
  </si>
  <si>
    <t>Kida, M (corresponding author), Kobe Univ, Grad Sch Agr Sci, Nada Ku, 1-1 Rokkodai, Kobe, Hyogo 6578501, Japan.;Kida, M (corresponding author), Japan Soc Promot Sci, Tokyo, Japan.;Kida, M (corresponding author), Carl von Ossietzky Univ Oldenburg, Inst Chem &amp; Biol Marine Environm ICBM, Res Grp Marine Geochem ICBM MPI Bridging Grp, Carl von Ossietzlcy Str 9-11, D-26129 Oldenburg, Germany.</t>
  </si>
  <si>
    <t>morimaru.kida@uni-oldenburg.de</t>
  </si>
  <si>
    <t>Maie, Nagamitsu/AAC-2487-2019; Hayashi, Kentaro/O-1463-2018</t>
  </si>
  <si>
    <t>Kida, Morimaru/0000-0002-9908-2012; Maie, Nagamitsu/0000-0001-9450-061X; Hayashi, Kentaro/0000-0002-2936-9544</t>
  </si>
  <si>
    <t>JSPS KAKENHIGrant [16H05885]; Grants-in-Aid for Scientific Research [16H05885] Funding Source: KAKEN</t>
  </si>
  <si>
    <t>JSPS KAKENHIGrant(Ministry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</si>
  <si>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thank Kathleen Murphy and Urban Wunsch for discussion on PARAFAC modeling during the 19th International Conference of IHSS in Bulgaria. M.K. thanks IHSS for giving this opportunity through the provision of Travel Support Awards. We are indebted to all those who provided essential logistical support in the field during the 58th Japanese Antarctic Research Expedition. This study was financially supported by JSPS KAKENHIGrant Number 16H05885.</t>
  </si>
  <si>
    <t>0043-1354</t>
  </si>
  <si>
    <t>WATER RES</t>
  </si>
  <si>
    <t>Water Res.</t>
  </si>
  <si>
    <t>10.1016/j.watres.2019.114901</t>
  </si>
  <si>
    <t>Engineering, Environmental; Environmental Sciences; Water Resources</t>
  </si>
  <si>
    <t>Engineering; Environmental Sciences &amp; Ecology; Water Resources</t>
  </si>
  <si>
    <t>IT6SZ</t>
  </si>
  <si>
    <t>WOS:000483006400049</t>
  </si>
  <si>
    <t>Cocito, LL; Ceballos, SG; Fernández, DA</t>
  </si>
  <si>
    <t>Cocito, Laura L.; Ceballos, Santiago G.; Fernandez, Daniel A.</t>
  </si>
  <si>
    <t>Sharp phylogeographical differentiation near the southern range edge of the silverside Odontesthes nigricans: Distinct peripheral populations and incipient speciation?</t>
  </si>
  <si>
    <t>Silversides; Biogeography; Speciation; Atherinomorpha; Genetic</t>
  </si>
  <si>
    <t>FISH ELEGINOPS-MACLOVINUS; SPECIES DISTRIBUTION; GENETIC-STRUCTURE; TELEOSTEI; ATLANTIC; ATHERINOPSIDAE; GLACIATIONS; DIVERGENCE; SOFTWARE; LIMPET</t>
  </si>
  <si>
    <t>The silverside Odontesthes nigricans is the Atheriniform species that reach the southernmost latitude in Patagonia. Its wide distribution ranges from temperate waters in the Atlantic coast of South America (39 degrees S, Buenos Aires Province, Argentina) to the Sub-Antarctic environment of Cape Horn (56 degrees S). A previous study has shown significant intraspecific differences on growth parameters and otolith morphology between the southern peripheral population of O. nigricans in the Beagle Channel and the populations in the Atlantic coast of Tierra del Fuego. In this work, we report the first data on population genetics of O. nigricans along the southern part of its distributional range, including the peripheral populations of Beagle Channel. To examine the genetic variability, we analyzed 224 sequences of 815 bp of mitochondrial control region generated from individuals captured at two sites in the Beagle Channel and six sites at the Atlantic coast. The genetic structure assessment revealed a sharp phylogeographic division between Beagle Channel and the Atlantic coast of Patagonia with a 39.83% of variance among groups. The observed genetic diversity was lower in Beagle Channel than in the Atlantic coast sites and the demographic analyses are compatible with a scenario of past population expansion, especially in Beagle Channel. We hypothesize two possible scenarios: one is a recent colonization of the Beagle Channel from the Atlantic Coast followed by divergence promoted by adaptation to local conditions. On the other hand, population differentiation may have been attained or initiated in allopatric conditions during Quaternary glacial phases and the populations may now be experiencing a secondary contact near the eastern tip of Tierra del Fuego. These hypotheses should be addressed in the future with genomics tools. By now, these populations should be considered as different units for conservation and management purposes.</t>
  </si>
  <si>
    <t>[Cocito, Laura L.; Ceballos, Santiago G.; Fernandez, Daniel A.] Consejo Nacl Invest Cient &amp; Tecn, Ctr Austral Invest Cient CADIC, Buenos Aires, DF, Argentina; [Ceballos, Santiago G.; Fernandez, Daniel A.] UNTDF, Inst Ciencias Polares Ambience &amp; Recursos Nat Tie, ICPA, Ushuaia, Tierra Fuego, Argentina</t>
  </si>
  <si>
    <t>Consejo Nacional de Investigaciones Cientificas y Tecnicas (CONICET)</t>
  </si>
  <si>
    <t>Fernández, DA (corresponding author), Consejo Nacl Invest Cient &amp; Tecn, Ctr Austral Invest Cient CADIC, Buenos Aires, DF, Argentina.</t>
  </si>
  <si>
    <t>dfernandez@untdf.edu.ar</t>
  </si>
  <si>
    <t>Fernandez, Daniel Alfredo/0000-0002-3367-4138</t>
  </si>
  <si>
    <t>Agencia Nacional de Promocion Cientifica y Tecnologica [PICT 1596, PICT 9410]; CONICET [PIP 440]</t>
  </si>
  <si>
    <t>Agencia Nacional de Promocion Cientifica y Tecnologica(ANPCyTSpanish Government); CONICET(Consejo Nacional de Investigaciones Cientificas y Tecnicas (CONICET))</t>
  </si>
  <si>
    <t>This study was supported with grants from the Agencia Nacional de Promocion Cientifica y Tecnologica (PICT 1596 and PICT 9410) and CONICET (PIP 440).</t>
  </si>
  <si>
    <t>10.1016/j.ecss.2019.106276</t>
  </si>
  <si>
    <t>IS9VJ</t>
  </si>
  <si>
    <t>WOS:000482495700033</t>
  </si>
  <si>
    <t>Schannwell, C; Drews, R; Ehlers, TA; Eisen, O; Mayer, C; Gillet-Chaulet, F</t>
  </si>
  <si>
    <t>Schannwell, Clemens; Drews, Reinhard; Ehlers, Todd A.; Eisen, Olaf; Mayer, Christoph; Gillet-Chaulet, Fabien</t>
  </si>
  <si>
    <t>Kinematic response of ice-rise divides to changes in ocean and atmosphere forcing</t>
  </si>
  <si>
    <t>DRONNING MAUD LAND; MASS-BALANCE; SHEET; ANTARCTICA; SURFACE; FLOW; DOME; MIGRATION; ISLAND; MODEL</t>
  </si>
  <si>
    <t>The majority of Antarctic ice shelves are bounded by grounded ice rises. These ice rises exhibit local flow fields that partially oppose the flow of the surrounding ice shelves. Formation of ice rises is accompanied by a characteristic upward-arching internal stratigraphy (Raymond arches), whose geometry can be analysed to infer information about past ice-sheet changes in areas where other archives such as rock outcrops are missing. Here we present an improved modelling framework to study ice-rise evolution using a satellite-velocity calibrated, isothermal, and isotropic 3-D full-Stokes model including grounding-line dynamics at the required mesh resolution (&lt;500 m). This overcomes limitations of previous studies where ice-rise modelling has been restricted to 2-D and excluded the coupling between the ice shelf and ice rise. We apply the model to the Ekstrom Ice Shelf, Antarctica, containing two ice rises. Our simulations investigate the effect of surface mass balance and ocean perturbations onto ice-rise divide position and interpret possible resulting unique Raymond arch geometries. Our results show that changes in the surface mass balance result in immediate and sustained divide migration (&gt; 2.0 m yr(-1)) of up to 3.5 km. In contrast, instantaneous ice-shelf disintegration causes a short-lived and delayed (by 60-100 years) response of smaller magnitude (&lt; 0.75 m yr(-1)). The model tracks migration of a triple junction and synchronous ice-divide migration in both ice rises with similar magnitude but differing rates. The model is suitable for glacial/interglacial simulations on the catchment scale, providing the next step forward to unravel the ice-dynamic history stored in ice rises all around Antarctica.</t>
  </si>
  <si>
    <t>[Schannwell, Clemens; Drews, Reinhard; Ehlers, Todd A.] Univ Tubingen, Dept Geosci, Tubingen, Germany; [Eisen, Olaf] Helmholtz Ctr Polar &amp; Marine Res, Alfred Wegener Inst, Glaciol, Bremerhaven, Germany; [Eisen, Olaf] Univ Bremen, Dept Geosci, Bremen, Germany; [Mayer, Christoph] Bavarian Acad Sci &amp; Humanities, Munich, Germany; [Gillet-Chaulet, Fabien] Univ Grenoble Alpes, CNRS, IRD, Grenoble INP,IGE, Grenoble, France</t>
  </si>
  <si>
    <t>Eberhard Karls University of Tubingen; Helmholtz Association; Alfred Wegener Institute, Helmholtz Centre for Polar &amp; Marine Research; University of Bremen; Communaute Universite Grenoble Alpes; Universite Grenoble Alpes (UGA); Institut National Polytechnique de Grenoble; Centre National de la Recherche Scientifique (CNRS); Institut de Recherche pour le Developpement (IRD)</t>
  </si>
  <si>
    <t>Schannwell, C (corresponding author), Univ Tubingen, Dept Geosci, Tubingen, Germany.</t>
  </si>
  <si>
    <t>clemens.schannwell@uni-tuebingen.de</t>
  </si>
  <si>
    <t>Eisen, Olaf/K-3846-2012; Ehlers, Todd A/A-9582-2012; Drews, reinhard/AAP-4134-2021</t>
  </si>
  <si>
    <t>Eisen, Olaf/0000-0002-6380-962X; Ehlers, Todd A/0000-0001-9436-0303; Drews, reinhard/0000-0002-2328-294X; Schannwell, Clemens/0000-0002-6160-2107</t>
  </si>
  <si>
    <t>Deutsche Forschungsgemeinschaft [3347/10-1, EH329/11-1]</t>
  </si>
  <si>
    <t>Deutsche Forschungsgemeinschaft(German Research Foundation (DFG))</t>
  </si>
  <si>
    <t>This research has been supported by the Deutsche Forschungsgemeinschaft (grant nos. MA 3347/10-1 and EH329/11-1).</t>
  </si>
  <si>
    <t>OCT 14</t>
  </si>
  <si>
    <t>10.5194/tc-13-2673-2019</t>
  </si>
  <si>
    <t>JE2RB</t>
  </si>
  <si>
    <t>WOS:000490541000001</t>
  </si>
  <si>
    <t>Bartlett, JC; Convey, P; Pertierra, LR; Hayward, SAL</t>
  </si>
  <si>
    <t>Bartlett, Jesamine C.; Convey, Pete; Pertierra, Luis R.; Hayward, Scott A. L.</t>
  </si>
  <si>
    <t>An insect invasion of Antarctica: the past, present and future distribution of Eretmoptera murphyi (Diptera, Chironomidae) on Signy Island</t>
  </si>
  <si>
    <t>INSECT CONSERVATION AND DIVERSITY</t>
  </si>
  <si>
    <t>Biosecurity; distribution modelling; GIS mapping; invasive species; MaxEnt; monitoring</t>
  </si>
  <si>
    <t>BIOLOGICAL INVASIONS; BELGICA-ANTARCTICA; CLIMATE-CHANGE; MIDGE; INVERTEBRATE; CONSERVATION; IMPACTS; ECOLOGY; RISK; LIFE</t>
  </si>
  <si>
    <t>Rising human activity in Antarctica, combined with continued warming of the polar climate, means the risk of non-native terrestrial species colonising and establishing in its biodiversity- and nutrient-poor ecosystems is increasing. Of the five non-native invertebrate species currently in terrestrial Antarctica, the flightless midge Eretmoptera murphyi (Schaeffer, The Museum of the Brooklyn Institute of Arts and Sciences 2:90-94, 1914) is perhaps the most persistent insect invader. Accidentally introduced to Signy Island (60 degrees S) in the 1960s from sub-Antarctic South Georgia (54 degrees S), E. murphyi has steadily increased its distribution, however, its status has not been reassessed for a decade. Here, we update the distribution of E. murphyi on Signy, specifically assessing whether footpaths to regularly visited research sites represent dispersal corridors. Our findings show that both the abundance and range of E. murphyi have increased significantly since 2009, particularly along paths leading away from the original introduction site, and that the species is now on the cusp of moving into new valley systems. We identify a moderate association with soil/substrate and vegetation types and build Maximum Entropy (MaxEnt) models to predict areas of the island that may be at highest risk of future colonisation. As a detritivore with no competitors or predators, E. murphyi may have a major impact. For example, accelerating nutrient cycling which may have wider impacts on all levels of biodiversity. This study highlights the need for an assessment of current biosecurity protocols applied within the Antarctic Treaty system, as well as the need for systematic regular monitoring of introduced and invasive species in Antarctica.</t>
  </si>
  <si>
    <t>[Bartlett, Jesamine C.; Hayward, Scott A. L.] Univ Birmingham, Sch BioSci, Edgbaston, England; [Convey, Pete] British Antarctic Survey, Cambridge, England; [Pertierra, Luis R.] King Juan Carlos Univ, Madrid, Spain</t>
  </si>
  <si>
    <t>University of Birmingham; UK Research &amp; Innovation (UKRI); Natural Environment Research Council (NERC); NERC British Antarctic Survey; Universidad Rey Juan Carlos</t>
  </si>
  <si>
    <t>Hayward, SAL (corresponding author), Univ Birmingham, Sch Biosci, Birmingham B15 2TT, W Midlands, England.</t>
  </si>
  <si>
    <t>s.a.hayward@bham.ac.uk</t>
  </si>
  <si>
    <t>Pertierra, Luis R./K-3727-2017</t>
  </si>
  <si>
    <t>Pertierra, Luis R./0000-0002-2232-428X; Bartlett, Jesamine/0000-0001-7464-5440</t>
  </si>
  <si>
    <t>Natural Environment Research Council (NERC) through The Central England NERC Training Alliance (CENTA DTP) [RRBN19276]; University of Birmingham; British Antarctic Survey (BAS, 2018); NERC core funding; BAS through a NERC-CASS grant [CASS-121]; NERC [bas0100036] Funding Source: UKRI</t>
  </si>
  <si>
    <t>Natural Environment Research Council (NERC) through The Central England NERC Training Alliance (CENTA DTP); University of Birmingham; British Antarctic Survey (BAS, 2018); NERC core funding; BAS through a NERC-CASS grant; NERC(UK Research &amp; Innovation (UKRI)Natural Environment Research Council (NERC))</t>
  </si>
  <si>
    <t>J. Bartlett is funded by a Natural Environment Research Council (NERC) through The Central England NERC Training Alliance (CENTA DTP) (RRBN19276). Her PhD studentship is supported by the University of Birmingham and the British Antarctic Survey (BAS, 2018). P. Convey is supported by NERC core funding to the BAS `Biodiversity, Evolution and Adaptation' Team. Fieldwork in this study was supported by BAS through a NERC-CASS grant (CASS-121) and permitted by the British Foreign &amp; Commonwealth Office through Specialist Activities in Antarctica (No 22/2016). The authors also thank staff at Signy Research Station for their practical and moral support, and Kristian Morin for help with the preparation of the QGIS raster layers. This study contributes to the SCAR `State of the Antarctic Ecosystem' (AntEco) programme.</t>
  </si>
  <si>
    <t>1752-458X</t>
  </si>
  <si>
    <t>1752-4598</t>
  </si>
  <si>
    <t>INSECT CONSERV DIVER</t>
  </si>
  <si>
    <t>Insect. Conserv. Divers.</t>
  </si>
  <si>
    <t>10.1111/icad.12389</t>
  </si>
  <si>
    <t>Biodiversity Conservation; Entomology</t>
  </si>
  <si>
    <t>Biodiversity &amp; Conservation; Entomology</t>
  </si>
  <si>
    <t>JZ7HC</t>
  </si>
  <si>
    <t>WOS:000490381000001</t>
  </si>
  <si>
    <t>Suter, L; Polanowski, AM; King, R; Romualdi, C; Sales, G; Kawaguchi, S; Jarman, SN; Deagle, BE</t>
  </si>
  <si>
    <t>Suter, Leonie; Polanowski, Andrea Maree; King, Robert; Romualdi, Chiara; Sales, Gabriele; Kawaguchi, So; Jarman, Simon Neil; Deagle, Bruce Emerson</t>
  </si>
  <si>
    <t>Sex identification from distinctive gene expression patterns in Antarctic krill (Euphausia superba)</t>
  </si>
  <si>
    <t>Antarctic krill; Euphausia superba; Sex determination; Sex differentiation; Transcriptome; Gene expression</t>
  </si>
  <si>
    <t>ORIENTAL RIVER PRAWN; MOLECULAR CHARACTERIZATION; VITELLOGENIN RECEPTOR; FEMALE; TRANSCRIPTOME; SHRIMP; DIFFERENTIATION; MATURATION; SHRINKAGE; PROTEINS</t>
  </si>
  <si>
    <t>Antarctic krill (Euphausia superba) is a highly abundant keystone species of the Southern Ocean ecosystem, directly connecting primary producers to high-trophic level predators. Sex ratios of krill vary remarkably between swarms and this phenomenon is poorly understood, as identification of krill sex relies on external morphological differences that appear late during development. Sex determination mechanisms in krill are unknown, but could include genetic, environmental or parasitic mechanisms. Similarly, virtually nothing is known about molecular sex differentiation. The krill genome has to date not been sequenced, and due to its enormous size and large amount of repetitive elements, it is currently not feasible to develop sex-specific DNA markers. To produce a reliable molecular marker for sex in krill and to investigate molecular sex differentiation we therefore focused on identifying sex-specific transcriptomic differences. Through transcriptomic analysis, we found large gene expression differences between testes and ovaries and identified three genes exclusively expressed in female whole krill from early juvenile stages onwards. The sex-specific expression of these three genes persisted through sexual regression, although our regressed samples originated from a krill aquarium and may differ from wild-regressed krill. Two slightly male-biased genes did not display sufficient expression differences to clearly differentiate sexes. Based on the expression of the three female-specific genes we developed a molecular test that for the first time allows the unambiguous sex determination of krill samples lacking external sex-specific features from juvenile stages onwards, including the sexually regressed krill we examined.</t>
  </si>
  <si>
    <t>[Suter, Leonie; Polanowski, Andrea Maree; King, Robert; Kawaguchi, So; Deagle, Bruce Emerson] Australian Antarctic Div, 203 Channel Highway, Kingston, Tas 7050, Australia; [Romualdi, Chiara; Sales, Gabriele] Univ Padua, Dept Biol, I-35122 Padua, Italy; [Jarman, Simon Neil] Univ Western Australia, Sch Biol Sci, Perth, WA 6009, Australia</t>
  </si>
  <si>
    <t>Australian Antarctic Division; University of Padua; University of Western Australia</t>
  </si>
  <si>
    <t>Suter, L (corresponding author), Australian Antarctic Div, 203 Channel Highway, Kingston, Tas 7050, Australia.</t>
  </si>
  <si>
    <t>leonie.suter@aad.gov.au</t>
  </si>
  <si>
    <t>Deagle, Bruce E/R-2999-2019; Suter, Leonie/A-3157-2017; Sales, Gabriele/K-5065-2016</t>
  </si>
  <si>
    <t>Deagle, Bruce E/0000-0001-7651-3687; Suter, Leonie/0000-0002-6434-1766; Sales, Gabriele/0000-0003-2078-5661; King, Robert/0000-0002-4650-2335; Polanowski, Andrea/0000-0002-9612-220X</t>
  </si>
  <si>
    <t>Swiss National Science Foundation [P2EZP3_162241]; Australian Antarctic Science Program (AAS Project) [4015]; Swiss National Science Foundation (SNF) [P2EZP3_162241] Funding Source: Swiss National Science Foundation (SNF)</t>
  </si>
  <si>
    <t>Swiss National Science Foundation(Swiss National Science Foundation (SNSF)); Australian Antarctic Science Program (AAS Project); Swiss National Science Foundation (SNF)(Swiss National Science Foundation (SNSF))</t>
  </si>
  <si>
    <t>We thank the many people involved in collecting the krill samples on the two voyages to East Antarctica, as well as the krill aquarium crew (particularly Natasha Waller, Blair Smith and Ashley Cooper) for maintaining the captive krill and helping with the sampling. LS was supported by an Early Postdoc Mobility fellowship from the Swiss National Science Foundation (P2EZP3_162241), and the research was funded by the Australian Antarctic Science Program (AAS Project 4015).</t>
  </si>
  <si>
    <t>10.1007/s00300-019-02592-3</t>
  </si>
  <si>
    <t>WOS:000492230800001</t>
  </si>
  <si>
    <t>Egginton, S; Axelsson, M; Crockett, EL; O'Brien, KM; Farrell, AP</t>
  </si>
  <si>
    <t>Egginton, Stuart; Axelsson, Michael; Crockett, Elizabeth L.; O'Brien, Kristin M.; Farrell, Anthony P.</t>
  </si>
  <si>
    <t>Maximum cardiac performance of Antarctic fishes that lack haemoglobin and myoglobin: exploring the effect of warming on nature's natural knockouts</t>
  </si>
  <si>
    <t>Cardiac output; cardiac work; heart rate; icefishes; thermal adaptation; warming</t>
  </si>
  <si>
    <t>RAINBOW-TROUT; TEMPERATURE-ACCLIMATION; CLIMATE-CHANGE; OXYGEN-UPTAKE; NITRIC-OXIDE; HEARTS; ADRENALINE; EXPRESSION; DEPENDENCE; PHYSIOLOGY</t>
  </si>
  <si>
    <t>Antarctic notothenioids, some of which lack myoglobin (Mb) and/or haemoglobin (Hb), are considered extremely stenothermal, which raises conservation concerns since Polar regions are warming at unprecedented rates. Without reliable estimates of maximum cardiac output (((Q)over dot)), it is impossible to assess their physiological scope in response to warming seas. Therefore, we compared cardiac performance of two icefish species, Chionodraco rastrospinosus (Hb(-)Mb(+)) and Chaenocephalus aceratus (Hb(-)Mb(-)), with a related notothenioid, Notothenia coriiceps (Hb(+)Mb(+)) using an in situ perfused heart preparation. The maximum (Q)over dot, heart rate (f(H)), maximum cardiac work (WC) and relative ventricular mass of N. coriiceps at 1 degrees C were comparable to temperate-water teleosts, and acute warming to 4 degrees C increased fH and WC, as expected. In contrast, icefish hearts accommodated a higher maximum stroke volume (VS) and maximum. Q at 1 degrees C, but their unusually large hearts had a lower fH and maximum afterload tolerance than N. coriiceps at 1 degrees C. Furthermore, maximum VS, maximum. Q and fH were all significantly higher for the Hb(-)Mb(+) condition compared with the Hb(-)Mb(-) condition, a potential selective advantage when coping with environmental warming. Like N. coriiceps, both icefish species increased H-f at 4 degrees C. Acutely warming C. aceratus increased maximum (Q) over dot, while C. rastrospinosus (like N. coriiceps) held at 4 degrees C for 1 week maintained maximum. Q when tested at 4 degrees C. These experiments involving short-term warming should be followed up with long-term acclimation studies, since the maximum cardiac performance of these three Antarctic species studied seem to be tolerant of temperatures in excess of predictions associated with global warming.</t>
  </si>
  <si>
    <t>[Egginton, Stuart] Univ Leeds, Sch Biomed Sci, Leeds LS2 9JT, W Yorkshire, England; [Axelsson, Michael] Univ Gothenburg, Dept Biol &amp; Environm Sci, SE-40530 Gothenburg, Sweden; [Crockett, Elizabeth L.] Ohio Univ, Dept Biol Sci, Athens, OH 45701 USA; [O'Brien, Kristin M.] Univ Alaska Fairbanks, Inst Arctic Biol, Fairbanks, AK 99775 USA; [Farrell, Anthony P.] Univ British Columbia, Dept Zool, Vancouver, BC V6T 124, Canada</t>
  </si>
  <si>
    <t>University of Leeds; University of Gothenburg; University System of Ohio; Ohio University; University of Alaska System; University of Alaska Fairbanks; University of British Columbia</t>
  </si>
  <si>
    <t>Farrell, AP (corresponding author), Univ British Columbia, Dept Zool, Vancouver, BC V6T 124, Canada.</t>
  </si>
  <si>
    <t>tony.farrell@ubc.ca</t>
  </si>
  <si>
    <t>; Axelsson, Michael/D-1412-2009</t>
  </si>
  <si>
    <t>Egginton, Stuart/0000-0002-3084-9692; Axelsson, Michael/0000-0002-7839-3233</t>
  </si>
  <si>
    <t>National Science Foundation [ANT 1341602, ANT 1341663]; Natural Sciences and Engineering Council of Canada; University of Leeds; Swedish Research Council; NSERC Canada</t>
  </si>
  <si>
    <t>National Science Foundation(National Science Foundation (NSF)); Natural Sciences and Engineering Council of Canada(Natural Sciences and Engineering Research Council of Canada (NSERC)); University of Leeds; Swedish Research Council(Swedish Research Council); NSERC Canada(Natural Sciences and Engineering Research Council of Canada (NSERC))</t>
  </si>
  <si>
    <t>Supported by operating grants from National Science Foundation (ANT 1341602 to E.L.C. and ANT 1341663 to K.M.O.) and the Natural Sciences and Engineering Council of Canada. S.E. acknowledges support from the University of Leeds, and M.A. from the Swedish Research Council. A.P.F. holds a Canada Research Chair (Tier I) and is supported by NSERC Canada.</t>
  </si>
  <si>
    <t>OCT 11</t>
  </si>
  <si>
    <t>coz049</t>
  </si>
  <si>
    <t>10.1093/conphys/coz049</t>
  </si>
  <si>
    <t>KY8FH</t>
  </si>
  <si>
    <t>WOS:000522809300001</t>
  </si>
  <si>
    <t>Bach, LT; Gill, SJ; Rickaby, REM; Gore, S; Renforth, P</t>
  </si>
  <si>
    <t>Bach, Lennart T. T.; Gill, Sophie J. J.; Rickaby, Rosalind E. M.; Gore, Sarah; Renforth, Phil</t>
  </si>
  <si>
    <t>CO2 Removal With Enhanced Weathering and Ocean Alkalinity Enhancement: Potential Risks and Co-benefits for Marine Pelagic Ecosystems</t>
  </si>
  <si>
    <t>FRONTIERS IN CLIMATE</t>
  </si>
  <si>
    <t>plankton; risk assessment; iron; nickel; silicon; silicification; calcification</t>
  </si>
  <si>
    <t>PARTICULATE ORGANIC-CARBON; INORGANIC CARBON; CALCIUM-CARBONATE; BLACK-SEA; COMMUNITY STRUCTURE; NITROGEN-FIXATION; ION CONCENTRATION; SATURATION STATE; ATMOSPHERIC CO2; HIGH-LATITUDE</t>
  </si>
  <si>
    <t>Humankind will need to remove hundreds of gigatons of carbon dioxide (CO2) from the atmosphere by the end of the twenty-first century to keep global warming below 2 degrees C within the constraints of the global carbon budget. However, so far it is unclear if and how this could be achieved. A widely recognized idea is to accelerate weathering reactions of minerals that consume CO2 when they dissolve. Acceleration could be realized by pulverizing and distributing gigatons of these minerals onto land (termed enhanced weathering (EW)) or sea (termed ocean alkalinity enhancement (OAE)) thereby largely increasing their reactive surfaces. However, the desired consumption of atmospheric CO2 during dissolution would inevitably be accompanied by a release of mineral dissolution products (alkalinity, Si, Ca, Mg, Fe, Ni, and maybe others). Here, we approximate their maximum additions to assess potential consequences for pelagic communities (mainly primary producers) and the biogeochemical fluxes they control. Based on this assessment, we tentatively qualify the potential to induce positive and/or negative side effects to be high for Fe, Ni, Si, intermediate for alkalinity, and low for Ca and Mg. However, perturbation potentials are always higher at perturbation hotspots and would be different for EW than for OAE. Furthermore, ecological/biogeochemical consequences of EW/OAE largely depend on the minerals used. We hypothesize that mainly calcifiers would profit in a scheme where CaCO3 derivatives would be used due to beneficial changes in carbonate chemistry. Figuratively, this may turn the blue ocean into a white(r) ocean. When using silicates, the release of additional Si, Fe and Ni could benefit silicifiers and N-2-fixers (cyanobacteria) and increase ocean productivity ultimately turning the blue ocean into a green(er) ocean. These considerations call for dedicated research to assess risks and co-benefits of mineral dissolution products on marine and other environments. Indeed, both EW and OAE could become important tools to realize CO2 removal at the planetary scale but associated risks and/or co-benefits should be revealed before deciding on their implementation.</t>
  </si>
  <si>
    <t>[Bach, Lennart T. T.] Univ Tasmania, Inst Marine &amp; Antarctic Studies Ecol &amp; Biodivers, Hobart, Tas, Australia; [Bach, Lennart T. T.] GEOMAR Helmholtz Ctr Ocean Res Kiel, Kiel, Germany; [Gill, Sophie J. J.; Rickaby, Rosalind E. M.] Univ Oxford, Dept Earth Sci, Oxford, England; [Gore, Sarah] Cardiff Univ, Sch Earth &amp; Ocean Sci, Cardiff, Wales; [Renforth, Phil] Heriot Watt Univ, Res Ctr Carbon Solut, Sch Engn &amp; Phys Sci, Edinburgh, Scotland</t>
  </si>
  <si>
    <t>University of Tasmania; Helmholtz Association; GEOMAR Helmholtz Center for Ocean Research Kiel; University of Oxford; Cardiff University; Heriot Watt University</t>
  </si>
  <si>
    <t>Bach, LT (corresponding author), Univ Tasmania, Inst Marine &amp; Antarctic Studies Ecol &amp; Biodivers, Hobart, Tas, Australia.;Bach, LT (corresponding author), GEOMAR Helmholtz Ctr Ocean Res Kiel, Kiel, Germany.</t>
  </si>
  <si>
    <t>lennart.bach@utas.edu.au</t>
  </si>
  <si>
    <t>Rickaby, Rosalind/0000-0002-6095-8419; Bach, Lennart/0000-0003-0202-3671</t>
  </si>
  <si>
    <t>GEOMAR Helmholtz Centre for Ocean Research Kiel; Australian Research Council within a Laureate [FL160100131]; Natural Environment Research Council (NERC) GW4+ Doctoral Training Partnership; NERC consortium GGREW [NE/P01982X/1]</t>
  </si>
  <si>
    <t>GEOMAR Helmholtz Centre for Ocean Research Kiel(Helmholtz Association); Australian Research Council within a Laureate(Australian Research Council); Natural Environment Research Council (NERC) GW4+ Doctoral Training Partnership(UK Research &amp; Innovation (UKRI)Natural Environment Research Council (NERC)); NERC consortium GGREW</t>
  </si>
  <si>
    <t>We thank Jennifer Glass, Christopher Dupont, and the Royal Society of Chemistry for allowing us to use their Figure in our manuscript (Figure 4), the reviewers for their insightful comments, and Susan Hovorka for handling this manuscript. LB was thankful to Ulf Riebesell, Jan Taucher, Allanah Paul, David Keller, Andreas Oschlies, and Philip Boyd for stimulating discussions as well as for funding from GEOMAR Helmholtz Centre for Ocean Research Kiel and the Australian Research Council within a Laureate (FL160100131) granted to P. Boyd. RR, SG, and PR acknowledge the NERC consortium GGREW (NE/P01982X/1) for financial support. SG was supported by the Natural Environment Research Council (NERC) GW4+ Doctoral Training Partnership.</t>
  </si>
  <si>
    <t>2624-9553</t>
  </si>
  <si>
    <t>FRONT CLIM</t>
  </si>
  <si>
    <t>Front. Clim.</t>
  </si>
  <si>
    <t>10.3389/fclim.2019.00007</t>
  </si>
  <si>
    <t>Environmental Sciences; Environmental Studies</t>
  </si>
  <si>
    <t>L6TR4</t>
  </si>
  <si>
    <t>WOS:001024571100001</t>
  </si>
  <si>
    <t>Canini, F; Zucconi, L; Pacelli, C; Selbmann, L; Onofri, S; Geml, J</t>
  </si>
  <si>
    <t>Canini, Fabiana; Zucconi, Laura; Pacelli, Claudia; Selbmann, Laura; Onofri, Silvano; Geml, Jozsef</t>
  </si>
  <si>
    <t>Vegetation, pH and Water Content as Main Factors for Shaping Fungal Richness, Community Composition and Functional Guilds Distribution in Soils of Western Greenland</t>
  </si>
  <si>
    <t>metabarcoding; functional guilds; shrub encroachment; edaphic factors; ITS1</t>
  </si>
  <si>
    <t>ERICOID MYCORRHIZAL FUNGI; ARCTIC TUNDRA; BETULA-NANA; SYMBIOTIC FUNGI; PLANT; ECTOMYCORRHIZAL; CARBON; CLIMATE; DIVERSITY; ECOSYSTEMS</t>
  </si>
  <si>
    <t>Fungi are the most abundant and one of the most diverse components of arctic soil ecosystems, where they are fundamental drivers of plant nutrient acquisition and recycling. Nevertheless, few studies have focused on the factors driving the diversity and functionality of fungal communities associated with these ecosystems, especially in the scope of global warming that is particularly affecting Greenland and is leading to shrub expansion, with expected profound changes of soil microbial communities. We used soil DNA metabarcoding to compare taxonomic and functional composition of fungal communities in three habitats [bare ground (BG), biological soil crusts (BSC), and vascular vegetation (VV) coverage] inWestern Greenland. Fungal richness increased with the increasing complexity of the coverage, but BGs and BSCs samples showed the highest number of unique OTUs. Differences in both fungal community composition and distribution of functional guilds identified were correlated with edaphic factors (mainly pH and water content), in turn connected with the different type of coverage. These results suggest also possible losses of diversity connected to the expansion of VV and possible interactions among the members of different functional guilds, likely due to the nutrient limitation, with potential effects on elements recycling.</t>
  </si>
  <si>
    <t>[Canini, Fabiana; Zucconi, Laura; Pacelli, Claudia; Selbmann, Laura; Onofri, Silvano] Univ Tuscia, Dept Ecol &amp; Biol Sci, Viterbo, Italy; [Canini, Fabiana; Geml, Jozsef] Naturalis Biodivers Ctr, Biodivers Dynam, Leiden, Netherlands; [Selbmann, Laura] Italian Natl Antarctic Museum MNA, Sect Mycol, Genoa, Italy; [Geml, Jozsef] Leiden Univ, Fac Sci, Leiden, Netherlands</t>
  </si>
  <si>
    <t>Tuscia University; Naturalis Biodiversity Center; Leiden University - Excl LUMC; Leiden University</t>
  </si>
  <si>
    <t>Zucconi, L (corresponding author), Univ Tuscia, Dept Ecol &amp; Biol Sci, Viterbo, Italy.</t>
  </si>
  <si>
    <t>zucconi@unitus.it</t>
  </si>
  <si>
    <t>Zucconi, L./U-9781-2018; Geml, Jozsef/C-2223-2018; Selbmann, Laura/L-3056-2013; Geml, Jozsef/AAW-9993-2020; Canini, Fabiana/ABE-4243-2020</t>
  </si>
  <si>
    <t>Zucconi, L./0000-0001-9793-2303; Geml, Jozsef/0000-0001-8745-0423; Selbmann, Laura/0000-0002-8967-3329; Canini, Fabiana/0000-0002-9626-6318; Pacelli, Claudia/0000-0001-5113-4293</t>
  </si>
  <si>
    <t>INTERACT under the European Union H2020 [730938]; PRIN project [2015N8F555]</t>
  </si>
  <si>
    <t>INTERACT under the European Union H2020; PRIN project(Ministry of Education, Universities and Research (MIUR)Research Projects of National Relevance (PRIN))</t>
  </si>
  <si>
    <t>The research has been funded by INTERACT under the European Union H2020 Grant Agreement No. 730938 (Project title: Effects of Climate Change on Microbial Community of Soil in Greenland; COMICS-G) and by the PRIN project 2015N8F555 (Project title: Responses of Alpine Sensible Ecosystems to Climate Changes; ReSaCC).</t>
  </si>
  <si>
    <t>10.3389/fmicb.2019.02348</t>
  </si>
  <si>
    <t>JG3GI</t>
  </si>
  <si>
    <t>WOS:000491962000001</t>
  </si>
  <si>
    <t>Pineda-Metz, SEA; Isla, E; Gerdes, D</t>
  </si>
  <si>
    <t>Pineda-Metz, Santiago E. A.; Isla, Enrique; Gerdes, Dieter</t>
  </si>
  <si>
    <t>Benthic communities of the Filchner Region (Weddell Sea, Antarctica)</t>
  </si>
  <si>
    <t>Southern Ocean; Infaunal benthos; Epifaunal benthos; Mega- and macrofauna; Zoobenthic distribution patterns; Sediment cores; Seabed images; Environment-benthic relationships</t>
  </si>
  <si>
    <t>MACROBENTHIC COMMUNITIES; SPATIAL-DISTRIBUTION; FEEDING MECHANISMS; CONTINENTAL-SHELF; PARTICLE FLUXES; MCMURDO SOUND; ICE COVER; PATTERNS; FOOD; SEDIMENTATION</t>
  </si>
  <si>
    <t>Due to extreme pack ice, the Filchner Region in the southern Weddell Sea is one of the least studied regions on the planet. Here, we provide a detailed description of the benthic communities of this high-Antarctic ecosystem, and assess the relationship between environmental factors and benthic distribution patterns. Fieldwork was performed in the austral summers of 2013-14 and 2015-16 during the R/V 'Polarstern' cruises PS82 and PS96. Using a combination of multibox corer (MBC) and seabed image data from 37 stations (water depths 243-1217 m), we differentiated 6 station groups. While 1 of these groups was comprised of a single station, the other 5 groups represented distinct benthic communities. Three of these correspond to the previously described Eastern Shelf, Southern Shelf, and Southern Trench communities. However, we found distribution shifts and MBC abundance and biomass reductions when comparing our results with earlier studies. The other 2 groups have novel characteristics and are presented here as an Ice/Ice Shelf Water-related community and a Continental slope community. Water depth in combination with 2 or 3 other environmental variables (out of 7 available) explained &lt; 30% of the benthic distribution and composition. We found a tighter relationship between water mass circulation and spatial distribution of the communities; we suggest using water-mass-related characteristics (e.g. productivity regimes, water currents) to better explain benthic spatial distribution patterns.</t>
  </si>
  <si>
    <t>[Pineda-Metz, Santiago E. A.; Gerdes, Dieter] Helmholtz Zentrum Polar &amp; Meeresforsch, Alired Wegener Inst, D-27568 Bremerhaven, Germany; [Pineda-Metz, Santiago E. A.] Univ Bremen, Fachbereich Biol Chem 2, D-28334 Bremen, Germany; [Isla, Enrique] CSIC, Inst Ciencies Mar, E-08003 Barcelona, Spain</t>
  </si>
  <si>
    <t>Helmholtz Association; Alfred Wegener Institute, Helmholtz Centre for Polar &amp; Marine Research; University of Bremen; Consejo Superior de Investigaciones Cientificas (CSIC); CSIC - Centro Mediterraneo de Investigaciones Marinas y Ambientales (CMIMA); CSIC - Instituto de Ciencias del Mar (ICM)</t>
  </si>
  <si>
    <t>Pineda-Metz, SEA (corresponding author), Helmholtz Zentrum Polar &amp; Meeresforsch, Alired Wegener Inst, D-27568 Bremerhaven, Germany.;Pineda-Metz, SEA (corresponding author), Univ Bremen, Fachbereich Biol Chem 2, D-28334 Bremen, Germany.</t>
  </si>
  <si>
    <t>santiago.pineda.metz@gmail.com</t>
  </si>
  <si>
    <t>Pineda Metz, Santiago Esteban Agustin/AAB-4814-2022</t>
  </si>
  <si>
    <t>Pineda Metz, Santiago Esteban Agustin/0000-0001-7780-6449; Isla, Enrique/0000-0003-4959-6936</t>
  </si>
  <si>
    <t>OCT 10</t>
  </si>
  <si>
    <t>10.3354/meps13093</t>
  </si>
  <si>
    <t>KW4WR</t>
  </si>
  <si>
    <t>WOS:000521167200003</t>
  </si>
  <si>
    <t>Chaabant, S; López-González, PJ; Casado-Amezúa, P; Pehlke, H; Weber, L; Martínez-Baraldés, I; Jerosch, K</t>
  </si>
  <si>
    <t>Chaabant, Safa; Lopez-Gonzalez, Pablo J.; Casado-Amezua, Pilar; Pehlke, Hendrik; Weber, Lukas; Martinez-Baraldes, Irene; Jerosch, Kerstin</t>
  </si>
  <si>
    <t>Ecological niche modelling of cold-water corals in the Southern Ocean (N Antarctic), present distribution and future projections due to temperature changes</t>
  </si>
  <si>
    <t>Scleractinian coral; Ensemble models; Environmental change; Habitat suitability model; Spatial distribution; Weddell Sea; Antarctica</t>
  </si>
  <si>
    <t>SPECIES DISTRIBUTION; SCLERACTINIAN CORALS; WEDDELL SEA; UNCERTAINTY; PREDICTIONS; CLASSIFICATION; ACIDIFICATION; REGRESSION; DIVERSITY; SEDIMENTS</t>
  </si>
  <si>
    <t>An urgent necessity to understand the effect of climatic change on scleractinian coldwater coral (CWC) ecosystems has arisen due to increasing ocean warming and acidification over the last decades. Here, presence-absence records of 12 scleractinian CWC species from research expeditions and the literature were compiled and merged with model-generated pseudo-absence data and 14 environmental variables. The best-fitting results of 9 species distribution models (SDMs) were combined to an ensemble habitat suitability model for CWCs in the northern Southern Ocean (Weddell Sea and Antarctic Peninsula) by means of the open-source R package 'biomod2'. Furthermore, 2 future scenarios of increasing bottom sea temperature were used to investigate the spatial response of scleractinians to temperature change. The resulting (current scenario) potential ecological niches were evaluated with good to excellent statistical measures. The results predict that present areas of highest probability of CWC occurrence are around the Antarctic Peninsula, South Orkney Islands and Queen Maud Land, with preference to geomorphic features such as seamounts. The distribution of CWC habitats is mainly driven by distance to coast and ice shelves, bathymetry, benthic calcium carbonate, and temperature. Under warming conditions, CWCs are predicted to expand their distribution range by 6 and 10% in 2037 and 2150, respectively, compared to the present distribution. The future models using increased bottom temperature revealed a stable CWC distribution for most parts of the study area. However, habitat shifts are expected to the Filchner Trough region, the adjacent continental shelves, as well as to the eastern side of the Antarctic Peninsula.</t>
  </si>
  <si>
    <t>[Chaabant, Safa; Casado-Amezua, Pilar; Pehlke, Hendrik; Weber, Lukas; Jerosch, Kerstin] Helmholtz Ctr Polar &amp; Marine Res, Allred Wegener Inst, D-27570 Bremerhaven, Germany; [Chaabant, Safa] Norwegian Univ Sci &amp; Technol NTNU, Hogskoleringen 5, N-7491 Trondheim, Norway; [Lopez-Gonzalez, Pablo J.; Martinez-Baraldes, Irene] Univ Seville, Biodiversidad &amp; Ecol Acuat, Dept Zool, Fac Biol, E-41012 Seville, Spain; [Casado-Amezua, Pilar] Univ Alcala, Life Sci Dept, Marine Biodivers Res Grp, Alcala De Henares 28871, Spain</t>
  </si>
  <si>
    <t>Helmholtz Association; Alfred Wegener Institute, Helmholtz Centre for Polar &amp; Marine Research; Norwegian University of Science &amp; Technology (NTNU); University of Sevilla; Universidad de Alcala</t>
  </si>
  <si>
    <t>Jerosch, K (corresponding author), Helmholtz Ctr Polar &amp; Marine Res, Allred Wegener Inst, D-27570 Bremerhaven, Germany.</t>
  </si>
  <si>
    <t>kerstin.jerosch@awi.de</t>
  </si>
  <si>
    <t>Jerosch, Kerstin/ABC-8913-2020</t>
  </si>
  <si>
    <t>Jerosch, Kerstin/0000-0003-0728-2154; Pehlke, Hendrik/0000-0003-1916-7831</t>
  </si>
  <si>
    <t>Deutsche Forschungsgemeinschaft (DFG) [JE 680/1]; Spanish Ministry of Economy, Industry and Competitiveness [ANT97-1533-E, ANT98-1739-E, ANT99-1608E, REN 2001-4269-E/ANT, REN2001-4920-E/ANT, REN2003-04236, CGL2004-20141-E, POL2006-06399/CGL, ANT XXIX/3 (ECOWEB) CTM2012-39350-C02-01, CTM201783920-P]</t>
  </si>
  <si>
    <t>Deutsche Forschungsgemeinschaft (DFG)(German Research Foundation (DFG)); Spanish Ministry of Economy, Industry and Competitiveness(Spanish Government)</t>
  </si>
  <si>
    <t>This work was supported by the Deutsche Forschungsgemeinschaft (DFG) in the framework of the Priority Programme 'Antarctic Research with comparative investigations in Arctic ice areas' by Grant JE 680/1. We acknowledge C. Richter and H. Bornemann for their support during the initial steps of the project and D. Abele for reviewing the manuscript. Also, we thank K. Beyer, R. Zapata, S. Ambroso, C. Havermans, and C. J. Sands, who helped with sample collection and storage on board RV `Polarstern' expedition ANT XXIX/9 to Weddell Sea. P.J.L.G. acknowledges the support provided by a series of Spanish projects for the participation of the BECA research team in 10 RV 'Polarstern' sampling expeditions during 2 decades: ANT97-1533-E, ANT98-1739-E and ANT99-1608E (EASIZ I-III), REN 2001-4269-E/ANT (ANDEEP 1-2), REN2001-4920-E/ANT (LAMPOS), REN2003-04236 (BENDEX), CGL2004-20141-E (ANDEE-3), POL2006-06399/CGL (CALM/EBA -CLIMANT), and ANT XXIX/3 (ECOWEB) CTM2012-39350-C02-01; while the project CTM201783920-P (DIVERSICORAL) funded by the Spanish Ministry of Economy, Industry and Competitiveness made possible the final species identification works of scleractinian specimens collected during these expeditions.</t>
  </si>
  <si>
    <t>10.3354/meps13085</t>
  </si>
  <si>
    <t>WOS:000521167200005</t>
  </si>
  <si>
    <t>Murphy, KJ; Sephton, D; Klein, K; Bishop, CD; Wyeth, RC</t>
  </si>
  <si>
    <t>Murphy, K. J.; Sephton, D.; Klein, K.; Bishop, C. D.; Wyeth, R. C.</t>
  </si>
  <si>
    <t>Abiotic conditions are not sufficient to predict spatial and interannual variation in abundance of Ciona intestinalis in Nova Scotia, Canada</t>
  </si>
  <si>
    <t>Population dynamics; Invasion biology; Sea squirt; Biofouling; Benthic invertebrate; Longitudinal; Tunicate; Ascidian</t>
  </si>
  <si>
    <t>VASE TUNICATE; POTENTIAL DISTRIBUTION; BENTHIC COMMUNITIES; DISTRIBUTION MODELS; CLIMATE-CHANGE; GROWTH-MODELS; PATTERNS; MUSSEL; INTROGRESSION; RECRUITMENT</t>
  </si>
  <si>
    <t>The vase tunicate Ciona intestinalis is an invasive sea squirt that poses several challenges for coastal marine ecosystems and human activities. Despite its widespread distribution, temporal and spatial variability in population abundances is high. We tested whether this variation could be explained by 4 abiotic variables: temperature, salinity, pH and water movement. We repeatedly measured these 4 variables and relative abundance of C. intestinalis at 11 sites along the Atlantic coastline of Nova Scotia, Canada, each month between May and October 2014 and 2015. Using nonlinear mixed-effects modelling, we found that salinity moderately explained abundance of C. intestinalis across sites in 2014, while in 2015 there were no strong associations between abundance and any measured abiotic variable. The combination of little explanatory power within years and inconsistency between years led us to conclude that none of the measured abiotic conditions was useful in predicting the abundance of C. intestinalis. This finding contrasts with previous studies in which temperature and salinity were effective at predicting the presence or absence of the species. Thus, we suggest that tolerances of these 2 factors may determine whether C. intestinalis can survive in a location, but that other factors predict the rate of population growth. Given that increased abundance exacerbates the negative effects of this invasive species, we advocate further study of alternative factors that lead to higher abundances of C. intestinalis, to help inform management decisions.</t>
  </si>
  <si>
    <t>[Murphy, K. J.; Bishop, C. D.; Wyeth, R. C.] St Francis Xavier Univ, Dept Biol, 2320 Notre Dame Ave, Antigonish, NS B2G 2W5, Canada; [Sephton, D.] Fisheries &amp; Oceans Canada, Bedford Inst Oceanog, 1 Challenger Dr, Dartmouth, NS B2Y 4A2, Canada; [Klein, K.] QIMR Berghofer Med Res Inst, Clin Trial &amp; Biostat Unit, 300 Herston Rd, Brisbane, Qld 4006, Australia; [Murphy, K. J.] Univ Tasmania, Inst Marine &amp; Antarctic Studies, 20 Castray Esplanade, Hobart, Tas 7004, Australia; [Klein, K.] Royal Automobile Club Queensland Ltd, 2649 Logan Rd,POB 4, Springwood, Qld 4127, Australia</t>
  </si>
  <si>
    <t>Saint Francis Xavier University - Canada; Bedford Institute of Oceanography; Fisheries &amp; Oceans Canada; QIMR Berghofer Medical Research Institute; University of Tasmania</t>
  </si>
  <si>
    <t>Murphy, KJ (corresponding author), St Francis Xavier Univ, Dept Biol, 2320 Notre Dame Ave, Antigonish, NS B2G 2W5, Canada.;Murphy, KJ (corresponding author), Univ Tasmania, Inst Marine &amp; Antarctic Studies, 20 Castray Esplanade, Hobart, Tas 7004, Australia.</t>
  </si>
  <si>
    <t>kimurphy@tcd.ie</t>
  </si>
  <si>
    <t>Wyeth, Russell/ABE-1310-2021; Murphy, Kieran/C-1897-2017</t>
  </si>
  <si>
    <t>Murphy, Kieran/0000-0002-9697-2458</t>
  </si>
  <si>
    <t>Department of Fisheries and Oceans Canada's (DFO) Aquaculture Collaborative Research and Development Program (ACRDP) [M-13-01-002]; Natural Sciences and Engineering Research Council of Canada [RGPIN-2015-04957, RGPIN-2105-05040]; Aquaculture Association of Nova Scotia (AANS); Nova Scotia Research and Innovation Graduate Scholarship</t>
  </si>
  <si>
    <t>Department of Fisheries and Oceans Canada's (DFO) Aquaculture Collaborative Research and Development Program (ACRDP); Natural Sciences and Engineering Research Council of Canada(Natural Sciences and Engineering Research Council of Canada (NSERC)CGIAR); Aquaculture Association of Nova Scotia (AANS); Nova Scotia Research and Innovation Graduate Scholarship</t>
  </si>
  <si>
    <t>We acknowledge and thank our funding sources: The Department of Fisheries and Oceans Canada's (DFO) Aquaculture Collaborative Research and Development Program (ACRDP: grant no. M-13-01-002 to R.C.W., C.D.B. and D.S.), Natural Sciences and Engineering Research Council of Canada (grant no. RGPIN-2015-04957 to R.C.W. and RGPIN-2105-05040 to C.D.B.), the Aquaculture Association of Nova Scotia (AANS) and a Nova Scotia Research and Innovation Graduate Scholarship. We thank Professor Xavier Turon and 2 anonymous reviewers who improved the quality of our manuscript. Thanks to the AANS members who assisted and allowed us the use of their mussel leases and to the numerous DFO staff for their support. Hoskin Scientific Ltd went above and beyond when assisting with data-loggers. Finally, many thanks to everyone in the StFX Biology Department, especially Rebecca Kennedy and Natalia Filip, for their ever-present personal and academic support.</t>
  </si>
  <si>
    <t>10.3354/meps13076</t>
  </si>
  <si>
    <t>WOS:000521167200007</t>
  </si>
  <si>
    <t>Cleary, AC; Bester, M; Forcada, J; Goebel, M; Goldsworthy, SD; Guinet, C; Hoffman, JI; Kovacs, KM; Lydersen, C; Lowther, AD</t>
  </si>
  <si>
    <t>Cleary, Alison C.; Bester, Marthan; Forcada, Jaume; Goebel, Michael; Goldsworthy, Simon D.; Guinet, Christophe; Hoffman, Joseph, I; Kovacs, Kit M.; Lydersen, Christian; Lowther, Andrew D.</t>
  </si>
  <si>
    <t>Prey differences drive local genetic adaptation in Antarctic fur seals</t>
  </si>
  <si>
    <t>Arctocephalus gazella; Double digest restriction-site associated DNA sequencing; ddRAD; Diet; Euphausia superba; Natural selection</t>
  </si>
  <si>
    <t>ARCTOCEPHALUS-GAZELLA; EUPHAUSIA-SUPERBA; MACQUARIE ISLAND; READ ALIGNMENT; SOUTH SHETLAND; FISH PREY; KRILL; DIET; FLUORIDE; SELECTION</t>
  </si>
  <si>
    <t>Antarctic fur seal (Arctocephalus gazella) colonies are found on sub-Antarctic islands around the continent. These islands experience a range of conditions in terms of physical and biological habitat, creating a natural laboratory to investigate local genetic adaptation. One striking habitat difference is in the availability of Euphausia superba krill as prey, which has led to A. gazella exhibiting a range of diets. A. gazella in some colonies consume exclusively krill, while their conspecifics in other colonies feed mainly on fish and consume few to no krill. To investigate potential adaptations to these different prey fields, reduced representation genome sequencing was conducted on A. gazella from the 8 major colonies. Twenty-seven genomic regions exhibiting signatures of natural selection were identified. Two of these genomic regions were clearly associated with seals living in krill-dominated areas or those in fish-dominated areas. Twenty-two additional genomic regions under selection showed a pattern consistent with prey differences as the driver of selection after historical migrations from krill-dominated habitats where lineages evolved to present krill-poor habitat areas were taken into account. Only 1 of the genomic regions identified appeared to be explained by any other environmental variable analysed (depth). Genomic regions under prey-driven selection included genes associated with regulation of gene expression, skeletal development, and lipid metabolism. Adaptation to local prey has implications for spatial management of this species and for the potential impacts of climate- or harvest-driven reductions in krill abundance on these seals.</t>
  </si>
  <si>
    <t>[Cleary, Alison C.; Kovacs, Kit M.; Lydersen, Christian; Lowther, Andrew D.] Norwegian Polar Res Inst, Fram Ctr, N-9296 Tromso, Norway; [Cleary, Alison C.] Univ Agder, Dept Nat Sci, N-4630 Kristiansand, Norway; [Bester, Marthan] Univ Pretoria, Mammal Res Inst, Private Bag X20, ZA-0028 Hatfield, South Africa; [Forcada, Jaume] British Antarctic Survey, Madingley Rd, Cambridge CB3 0ET, England; [Goebel, Michael] Southwest Fisheries Sci Ctr, Antarctic Ecosyst Res Div, 8901 La Jolla Shores Dr, La Jolla, CA 92037 USA; [Goldsworthy, Simon D.] South Australian Res &amp; Dev Inst, 2 Hamra Ave, West Beach, SA 5024, Australia; [Guinet, Christophe] CNRS, CEBC, F-79360 Villiers En Bois, France; [Guinet, Christophe] Univ La Rochelle, UMR 7372, F-79360 Villiers En Bois, France; [Hoffman, Joseph, I] Bielefeld Univ, Dept Anim Behav, D-33501 Bielefeld, Germany</t>
  </si>
  <si>
    <t>Norwegian Polar Institute; University of Agder; University of Pretoria; UK Research &amp; Innovation (UKRI); Natural Environment Research Council (NERC); NERC British Antarctic Survey; South Australian Research &amp; Development Institute (SARDI); Centre National de la Recherche Scientifique (CNRS); Centre National de la Recherche Scientifique (CNRS); CNRS - Institute of Ecology &amp; Environment (INEE); La Rochelle Universite; University of Bielefeld</t>
  </si>
  <si>
    <t>Cleary, AC (corresponding author), Norwegian Polar Res Inst, Fram Ctr, N-9296 Tromso, Norway.;Cleary, AC (corresponding author), Univ Agder, Dept Nat Sci, N-4630 Kristiansand, Norway.</t>
  </si>
  <si>
    <t>alison_cleary@my.uri.edu</t>
  </si>
  <si>
    <t>Forcada, Jaume/GYU-0677-2022; Hoffman, Joseph i/K-7725-2012; Guinet, Christophe/AAR-8457-2020</t>
  </si>
  <si>
    <t>Lowther, Andrew/0000-0003-4294-3157; Goldsworthy, Simon/0000-0003-4988-9085</t>
  </si>
  <si>
    <t>Norwegian Antarctic Research Expeditions (NARE) programme; NERC [bas0100035] Funding Source: UKRI</t>
  </si>
  <si>
    <t>Norwegian Antarctic Research Expeditions (NARE) programme; NERC(UK Research &amp; Innovation (UKRI)Natural Environment Research Council (NERC))</t>
  </si>
  <si>
    <t>We thank Debbie Baird-Bower, Caroline Bonin, and Iain Staniland for assistance with sample logistics. We thank the Abel computing cluster at the University of Oslo for computational resources and technical advice. Additional technical advice from Thorfinn Korneliussen (ANGSD) and George Roth (Quantarctica) was also much appreciated. We additionally thank the anonymous manuscript reviewers for their comments. This research was funded by the Norwegian Antarctic Research Expeditions (NARE) programme.</t>
  </si>
  <si>
    <t>10.3354/meps13108</t>
  </si>
  <si>
    <t>WOS:000521167200013</t>
  </si>
  <si>
    <t>Abreu, J; Staniland, I; Rodrigues, CF; Queirós, JP; Pereira, JM; Xavier, JC</t>
  </si>
  <si>
    <t>Abreu, Jose; Staniland, Iain; Rodrigues, Clara F.; Queiros, Jose P.; Pereira, Jorge M.; Xavier, Jose C.</t>
  </si>
  <si>
    <t>Squid in the diet of Antarctic fur seals: potential links to oceanographic conditions and Antarctic krill abundance</t>
  </si>
  <si>
    <t>Southern Ocean; Arctocephalus gazella; Slosarczykovia circumantarctica; Stable isotope analysis; Oceanographic conditions</t>
  </si>
  <si>
    <t>SOUTHERN ELEPHANT SEALS; ARCTOCEPHALUS-GAZELLA; TROPHIC ECOLOGY; MIROUNGA-LEONINA; MAYO/KING GEORGE; STOMACH CONTENTS; FORAGING AREAS; WANDERING ALBATROSSES; PATAGONIAN TOOTHFISH; ONTOGENIC CHANGES</t>
  </si>
  <si>
    <t>Understanding how changes in oceanographic conditions affect predators and their prey is fundamental for interpreting variability in natural marine ecosystems. At South Georgia, Antarctic fur seals Arctocephalus gazella are known cephalopod predators and potential indicators of changes in regional environment conditions and prey availability. The cephalopod component of the diet of Antarctic fur seals at South Georgia was assessed using lower beaks found in scats collected over 5 consecutive years (2009-2013) under known variable oceanographic conditions. In years of unusually warm oceanographic conditions around South Georgia and low Antarctic krill Euphausia superba density, the number of squids Slosarczykovia circumantarctica increased in the seals' diet. Moreover, stable isotope analysis of beaks showed that S. circumantarctica exhibited higher delta N-15 values in years that were associated with an offshore habitat (lower delta C-13 values) where Antarctic fur seals had been foraging. This study provides evidence of the ecological links between the feeding behaviour of Antarctic fur seals, their main cephalopod prey, Antarctic krill densities and oceanographic conditions.</t>
  </si>
  <si>
    <t>[Abreu, Jose; Queiros, Jose P.; Pereira, Jorge M.; Xavier, Jose C.] Univ Coimbra, Marine &amp; Environm Sci Ctr MARE UC, P-3001401 Coimbra, Portugal; [Abreu, Jose; Rodrigues, Clara F.] Univ Aveiro, Dept Biol, Campus Santiago, P-3810193 Aveiro, Portugal; [Abreu, Jose; Rodrigues, Clara F.] Univ Aveiro, CESAM, Campus Santiago, P-3810193 Aveiro, Portugal; [Staniland, Iain; Xavier, Jose C.] British Antarctic Survey, High Cross Madingley Rd, Cambridge CB3 0ET, England</t>
  </si>
  <si>
    <t>Universidade de Coimbra; Universidade de Aveiro; Universidade de Aveiro; UK Research &amp; Innovation (UKRI); Natural Environment Research Council (NERC); NERC British Antarctic Survey</t>
  </si>
  <si>
    <t>Abreu, J (corresponding author), Univ Coimbra, Marine &amp; Environm Sci Ctr MARE UC, P-3001401 Coimbra, Portugal.;Abreu, J (corresponding author), Univ Aveiro, Dept Biol, Campus Santiago, P-3810193 Aveiro, Portugal.;Abreu, J (corresponding author), Univ Aveiro, CESAM, Campus Santiago, P-3810193 Aveiro, Portugal.</t>
  </si>
  <si>
    <t>abreu.jose@ua.pt</t>
  </si>
  <si>
    <t>Staniland, Iain/I-4725-2012; Rodrigues, Clara F./A-4536-2009; Pereira, Jorge Miguel/I-5814-2016; Xavier, José/KFB-6739-2024</t>
  </si>
  <si>
    <t>Staniland, Iain/0000-0003-2736-9134; Rodrigues, Clara F./0000-0002-3426-8342; Pereira, Jorge Miguel/0000-0002-7594-3535; Queiros, Jose Pedro/0000-0003-2763-2529; /0000-0002-9621-6660; Abreu, Jose/0000-0003-3424-3011</t>
  </si>
  <si>
    <t>FCT [UID/MAR/04292/2019]; NERC [bas0100035] Funding Source: UKRI</t>
  </si>
  <si>
    <t>FCT(Fundacao para a Ciencia e a Tecnologia (FCT)); NERC(UK Research &amp; Innovation (UKRI)Natural Environment Research Council (NERC))</t>
  </si>
  <si>
    <t>We thank all the scientists (and logistical support) of the British Antarctic Survey who have collected samples from Antarctic fur seals all through these many years. This work is part of the BAS-CEPH monitoring long-term project and SCAR Ant-ERA, SCAR EGBAMM and ICED programs. This study benefited from strategic program of MARE, financed by FCT (UID/MAR/04292/2019). The British Antarctic Survey (BAS) provided all the support related to the permits for the fieldwork: the animal procedures used in this this study were reviewed and approved by the Joint BAS-Cambridge University Animal Welfare and Ethical Review Committee. Permits to operate were issued by the Government of South Georgia and the South Sandwich Islands.</t>
  </si>
  <si>
    <t>10.3354/meps13100</t>
  </si>
  <si>
    <t>WOS:000521167200014</t>
  </si>
  <si>
    <t>Foo, D; Hindell, M; McMahon, C; Goldsworthy, S</t>
  </si>
  <si>
    <t>Foo, Dahlia; Hindell, Mark; McMahon, Clive; Goldsworthy, Simon</t>
  </si>
  <si>
    <t>Identifying foraging habitats of adult female long-nosed fur seal Arctocephalus forsteri based on vibrissa stable isotopes</t>
  </si>
  <si>
    <t>Isoscape; Foraging strategies; Trophic dynamics; Continental shelf; Oceanic; Marine top predators</t>
  </si>
  <si>
    <t>NEW-ZEALAND; SEASONAL-CHANGES; TROPHIC NICHES; GROWTH-RATES; VARIABILITY; STRATEGIES; DELTA-C-13; NITROGEN; CARBON; DIET</t>
  </si>
  <si>
    <t>We investigated how foraging ecotypes of female long-nosed fur seals Arctocephalus forsteri could be identified from vibrissa stable isotopes. We collected regrowths of vibrissae from adult females (n = 18) from Cape Gantheaume, Kangaroo Island, South Australia, from 2 breeding seasons (2016, 2017). The period represented by the regrowth was known, and 8 individuals were administered with N-15-enriched glycine as a biomarker to mark the start date of the regrowth. Non-glycine-marked and glycine-marked vibrissae were used to estimate the rate of the individual vibrissa regrowth. Using individual growth rates (0.18 +/- 0.04 mm d(-1)), we reconstructed a stable isotope (delta C-13 and delta N-15) time series for each regrowth and allocated them to corresponding at-sea locations either based on geolocation tracks (n = 14) or foraging habitat type (shelf or oceanic) based on diving data (n = 2) of the sampled seals. Mean (+/- SD) delta N-15 from vibrissa segments was higher when females foraged on the continental shelf region (16.1 +/- 0.7 parts per thousand, n = 29) compared to oceanic waters (15.1 +/- 0.7 parts per thousand, n = 106) in 2017, whereas it was similar in both regions in 2016 (shelf: 15.3 +/- 0.4 parts per thousand, n = 13; oceanic: 15.4 +/- 0.4 parts per thousand, n = 15). Based on the stable isotope signatures of vibrissa segments, model-based clustering analysis correctly classified 79.8% as originating from shelf or oceanic foraging habitats. This demonstrates the potential of using vibrissa stable isotopes for studying the foraging ecology of an important top marine predator.</t>
  </si>
  <si>
    <t>[Foo, Dahlia; Hindell, Mark] Univ Tasmania, Inst Marine &amp; Antarctic Studies, Hobart, Tas 7004, Australia; [McMahon, Clive] Sydney Inst Marine Sci, Mosman, NSW 2088, Australia; [Goldsworthy, Simon] South Australian Res &amp; Dev Inst, Aquat Sci Ctr, West Beach, SA 5024, Australia</t>
  </si>
  <si>
    <t>University of Tasmania; Sydney Institute of Marine Science; South Australian Research &amp; Development Institute (SARDI)</t>
  </si>
  <si>
    <t>Foo, D (corresponding author), Univ Tasmania, Inst Marine &amp; Antarctic Studies, Hobart, Tas 7004, Australia.</t>
  </si>
  <si>
    <t>dahlia.foo@utas.edu.au</t>
  </si>
  <si>
    <t>McMahon, Clive R/D-5713-2013; Hindell, Mark A/K-1131-2013</t>
  </si>
  <si>
    <t>McMahon, Clive R/0000-0001-5241-8917; Hindell, Mark/0000-0002-7823-7185; Foo, Dahlia/0000-0002-4983-9208; Goldsworthy, Simon/0000-0003-4988-9085</t>
  </si>
  <si>
    <t>Sea World Research and Rescue Foundation; Holsworth Wildlife and Research Endowment; Lirabenda Endowment Fund</t>
  </si>
  <si>
    <t>This study was supported through grants from the Sea World Research and Rescue Foundation, the Holsworth Wildlife and Research Endowment, and the Lirabenda Endowment Fund (issued by the Field Naturalists Society of South Australia). All animal handling was undertaken with the approval from the Primary Industries and Regions South Australia animal ethics committee (application 32-12), Department of Environment, Water and Natural Resources (permit A24684) and the University of Tasmania animal ethics committee (permit A0015176). We thank A. Walters for providing her expertise in stable isotope analyses and for the helpful discussions on this work. We also thank the 3 reviewers who helped improve the manuscript tremendously.</t>
  </si>
  <si>
    <t>10.3354/meps13113</t>
  </si>
  <si>
    <t>WOS:000521167200015</t>
  </si>
  <si>
    <t>Buchanan, PJ; Chase, Z; Matear, RJ; Phipps, SJ; Bindoff, NL</t>
  </si>
  <si>
    <t>Buchanan, Pearse J.; Chase, Zanna; Matear, Richard J.; Phipps, Steven J.; Bindoff, Nathaniel L.</t>
  </si>
  <si>
    <t>Marine nitrogen fixers mediate a low latitude pathway for atmospheric CO2 drawdown</t>
  </si>
  <si>
    <t>LAST GLACIAL MAXIMUM; EQUATORIAL PACIFIC; CARBON SEQUESTRATION; TRICHODESMIUM SPP.; IRON FERTILIZATION; ENVIRONMENTAL CONTROLS; OCEAN CARBON; NO EVIDENCE; FIXATION; DUST</t>
  </si>
  <si>
    <t>Roughly a third (similar to 30 ppm) of the carbon dioxide (CO2) that entered the ocean during ice ages is attributed to biological mechanisms. A leading hypothesis for the biological drawdown of CO2 is iron (Fe) fertilisation of the high latitudes, but modelling efforts attribute at most 10 ppm to this mechanism, leaving similar to 20 ppm unexplained. We show that an Fe-induced stimulation of dinitrogen (N (2)) fixation can induce a low latitude drawdown of 7-16 ppm CO2. This mechanism involves a closer coupling between N-2 fixers and denitrifiers that alleviates widespread nitrate limitation. Consequently, phosphate utilisation and carbon export increase near upwelling zones, causing deoxygenation and deeper carbon injection. Furthermore, this low latitude mechanism reproduces the regional patterns of organic delta N-15 deposited in glacial sediments. The positive response of marine N-2 fixation to dusty ice age conditions, first proposed twenty years ago, therefore compliments high latitude changes to amplify CO2 drawdown.</t>
  </si>
  <si>
    <t>[Buchanan, Pearse J.] Univ Liverpool, Dept Earth Ocean &amp; Ecol Sci, Liverpool L69 3GP, Merseyside, England; [Buchanan, Pearse J.; Chase, Zanna; Phipps, Steven J.; Bindoff, Nathaniel L.] Univ Tasmania, Inst Marine &amp; Antarctic Studies, Hobart, Tas 7004, Australia; [Buchanan, Pearse J.; Matear, Richard J.; Bindoff, Nathaniel L.] CSIRO Oceans &amp; Atmosphere, CSIRO Marine Labs, GPO Box 1538, Hobart, Tas, Australia; [Buchanan, Pearse J.] ARC Ctr Excellence Climate Syst Sci, Hobart, Tas 7004, Australia; [Matear, Richard J.; Bindoff, Nathaniel L.] ARC Ctr Excellence Climate Extremes, Hobart, Tas 7004, Australia; [Bindoff, Nathaniel L.] Antarctic Climate &amp; Ecosyst Cooperat Res Ctr, Hobart, Tas 7004, Australia</t>
  </si>
  <si>
    <t>University of Liverpool; University of Tasmania; Commonwealth Scientific &amp; Industrial Research Organisation (CSIRO); ARC Centre of Excellence for Climate System Science; Antarctic Climate &amp; Ecosystems Cooperative Research Centre (ACE CRC)</t>
  </si>
  <si>
    <t>Buchanan, PJ (corresponding author), Univ Liverpool, Dept Earth Ocean &amp; Ecol Sci, Liverpool L69 3GP, Merseyside, England.;Buchanan, PJ (corresponding author), Univ Tasmania, Inst Marine &amp; Antarctic Studies, Hobart, Tas 7004, Australia.;Buchanan, PJ (corresponding author), CSIRO Oceans &amp; Atmosphere, CSIRO Marine Labs, GPO Box 1538, Hobart, Tas, Australia.;Buchanan, PJ (corresponding author), ARC Ctr Excellence Climate Syst Sci, Hobart, Tas 7004, Australia.</t>
  </si>
  <si>
    <t>pearse.buchanan@liverpool.ac.uk</t>
  </si>
  <si>
    <t>Buchanan, Pearse/JZE-1421-2024; Bindoff, Nathaniel Lee/IVV-0333-2023; Bindoff, Nathaniel Lee/C-8050-2011; Buchanan, Pearse James/P-1626-2014; matear, richard/C-5133-2011; Phipps, Steven/B-3135-2008; Chase, Zanna/E-9232-2013</t>
  </si>
  <si>
    <t>Bindoff, Nathaniel Lee/0000-0001-5662-9519; Bindoff, Nathaniel Lee/0000-0001-5662-9519; Buchanan, Pearse James/0000-0001-7142-882X; matear, richard/0000-0002-3225-0800; Phipps, Steven/0000-0001-5657-8782; Chase, Zanna/0000-0001-5060-779X</t>
  </si>
  <si>
    <t>CSIRO Decadal Climate Forecasting Project; Australian Research Council's Special Research Initiative for the Antarctic Gateway Partnership [SR140300001]; Australian Governments National Environmental Science Program Earth Systems and Climate Change Hub by the National Environmental Science Program; Australian-American Fulbright Commission</t>
  </si>
  <si>
    <t>CSIRO Decadal Climate Forecasting Project; Australian Research Council's Special Research Initiative for the Antarctic Gateway Partnership(Australian Research Council); Australian Governments National Environmental Science Program Earth Systems and Climate Change Hub by the National Environmental Science Program; Australian-American Fulbright Commission</t>
  </si>
  <si>
    <t>We wish to thank the Australian Research Council's Centre of Excellence for Climate System Science, CSIRO Oceans and Atmosphere and the Tasmanian Partnership for Advanced Computing (TPAC) for facilitating the research. This research was partly supported by the CSIRO Decadal Climate Forecasting Project, the Australian Research Council's Special Research Initiative for the Antarctic Gateway Partnership (Project ID SR140300001), and through funding from the Australian Governments National Environmental Science Program Earth Systems and Climate Change Hub, which was supported by the National Environmental Science Program. We acknowledge the World Climate Research Programme's Working Group on Coupled Modelling, which is responsible for CMIP, and we thank the climate modeling groups (GFDL-ESM2G and HadGEM2-CC, listed in Table 1 of Buchanan et al.33)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We thank Tono Gomez for his preparation of Fig. 5 and acknowledge the Australian-American Fulbright Commission for a postgraduate scholarship that allowed the lead author to complete this work.</t>
  </si>
  <si>
    <t>10.1038/s41467-019-12549-z</t>
  </si>
  <si>
    <t>JC8WW</t>
  </si>
  <si>
    <t>WOS:000489557800004</t>
  </si>
  <si>
    <t>Grant, GR; Naish, TR; Dunbar, GB; Stocchi, P; Kominz, MA; Kamp, PJJ; Tapia, CA; McKay, RM; Levy, RH; Patterson, MO</t>
  </si>
  <si>
    <t>Grant, G. R.; Naish, T. R.; Dunbar, G. B.; Stocchi, P.; Kominz, M. A.; Kamp, P. J. J.; Tapia, C. A.; McKay, R. M.; Levy, R. H.; Patterson, M. O.</t>
  </si>
  <si>
    <t>The amplitude and origin of sea-level variability during the Pliocene epoch</t>
  </si>
  <si>
    <t>ANTARCTIC ICE-SHEET; GLACIAL ISOSTASY; WHANGANUI BASIN; WANGANUI BASIN; NEW-ZEALAND; EUSTASY; BED; MAGNETOSTRATIGRAPHY; FLUCTUATIONS; COLLAPSE</t>
  </si>
  <si>
    <t>Earth is heading towards a climate that last existed more than three million years ago (Ma) during the 'mid-Pliocene warm period'(1), when atmospheric carbon dioxide concentrations were about 400 parts per million, global sea level oscillated in response to orbital forcing(2,3) and peak global-mean sea level (GMSL) may have reached about 20 metres above the present-day value(4,5). For sea-level rise of this magnitude, extensive retreat or collapse of the Greenland, West Antarctic and marine-based sectors of the East Antarctic ice sheets is required. Yet the relative amplitude of sea-level variations within glacial-interglacial cycles remains poorly constrained. To address this, we calibrate a theoretical relationship between modern sediment transport by waves and water depth, and then apply the technique to grain size in a continuous 800-metre-thick Pliocene sequence of shallow-marine sediments from Whanganui Basin, New Zealand. Water-depth variations obtained in this way, after corrections for tectonic subsidence, yield cyclic relative sea-level (RSL) variations. Here we show that sea level varied on average by 13 +/- 5 metres over glacial-interglacial cycles during the middle-to-late Pliocene (about 3.3-2.5 Ma). The resulting record is independent of the global ice volume proxy(3) (as derived from the deep-ocean oxygen isotope record) and sea-level cycles are in phase with 20-thousand-year (kyr) periodic changes in insolation over Antarctica, paced by eccentricity-modulated orbital precession(6) between 3.3 and 2.7 Ma. Thereafter, sea-level fluctuations are paced by the 41-kyr period of cycles in Earth's axial tilt as ice sheets stabilize on Antarctica and intensify in the Northern Hemisphere(3,6). Strictly, we provide the amplitude of RSL change, rather than absolute GMSL change. However, simulations of RSL change based on glacio-isostatic adjustment show that our record approximates eustatic sea level, defined here as GMSL unregistered to the centre of the Earth. Nonetheless, under conservative assumptions, our estimates limit maximum Pliocene sea-level rise to less than 25 metres and provide new constraints on polar ice-volume variability under the climate conditions predicted for this century.</t>
  </si>
  <si>
    <t>[Grant, G. R.; Naish, T. R.; Dunbar, G. B.; McKay, R. M.; Levy, R. H.] Victoria Univ Wellington, Antarctic Res Ctr, Wellington, New Zealand; [Grant, G. R.; Levy, R. H.] GNS Sci, Lower Hutt, New Zealand; [Stocchi, P.] Royal Netherlands Inst Sea Res, Coastal Syst Dept, Den Burg, Netherlands; [Stocchi, P.] Univ Utrecht, Den Burg, Netherlands; [Kominz, M. A.] Western Michigan Univ, Dept Geol &amp; Environm Sci, Kalamazoo, MI 49008 USA; [Kamp, P. J. J.] Univ Waikato, Sch Sci, Hamilton, New Zealand; [Tapia, C. A.] Univ Catolica Temuco, Fac Ingn, Dept Obras Civiles &amp; Geol, Temuco, Chile; [Patterson, M. O.] SUNY Binghamton, Binghamton, NY USA</t>
  </si>
  <si>
    <t>Victoria University Wellington; GNS Science - New Zealand; Utrecht University; Royal Netherlands Institute for Sea Research (NIOZ); Utrecht University; Western Michigan University; University of Waikato; Universidad Catolica de Temuco; State University of New York (SUNY) System; State University of New York (SUNY) Binghamton</t>
  </si>
  <si>
    <t>Grant, GR (corresponding author), Victoria Univ Wellington, Antarctic Res Ctr, Wellington, New Zealand.;Grant, GR (corresponding author), GNS Sci, Lower Hutt, New Zealand.</t>
  </si>
  <si>
    <t>g.grant@gns.cri.nz</t>
  </si>
  <si>
    <t>McKay, Robert/0000-0002-5602-6985; Tapia, Claudio A./0000-0001-7653-738X; Stocchi, Paolo/0000-0002-1377-3817; Patterso, Molly/0000-0002-5058-9269</t>
  </si>
  <si>
    <t>Royal Society of New Zealand, Marsden Grant [13 VUW 112]; New Zealand Ministry of Business Innovation and Employment [C05X1001]; New Zealand Ministry of Business, Innovation &amp; Employment (MBIE) [C05X1001] Funding Source: New Zealand Ministry of Business, Innovation &amp; Employment (MBIE)</t>
  </si>
  <si>
    <t>Royal Society of New Zealand, Marsden Grant(Royal Society of New ZealandMarsden Fund (NZ)); New Zealand Ministry of Business Innovation and Employment(New Zealand Ministry of Business, Innovation and Employment (MBIE)); New Zealand Ministry of Business, Innovation &amp; Employment (MBIE)(New Zealand Ministry of Business, Innovation and Employment (MBIE))</t>
  </si>
  <si>
    <t>We thank L. van Rijn for comments on the grain size-water depth methodology. This research was primarily funded by The Royal Society of New Zealand, Marsden Grant 13 VUW 112, with additional support from the New Zealand Ministry of Business Innovation and Employment contract C05X1001. Technical drilling expertise was provided by D. Mandeno and A. Pyne of the Science Drilling Office, Antarctic Research Centre, Victoria University of Wellington and Webster Drilling and Exploration Ltd.</t>
  </si>
  <si>
    <t>10.1038/s41586-019-1619-z</t>
  </si>
  <si>
    <t>JD2DB</t>
  </si>
  <si>
    <t>WOS:000489784200045</t>
  </si>
  <si>
    <t>Tigchelaar, M; Timmermann, A; Friedrich, T; Heinemann, M; Pollard, D</t>
  </si>
  <si>
    <t>Tigchelaar, Michelle; Timmermann, Axel; Friedrich, Tobias; Heinemann, Malte; Pollard, David</t>
  </si>
  <si>
    <t>Nonlinear response of the Antarctic Ice Sheet to late Quaternary sea level and climate forcing</t>
  </si>
  <si>
    <t>LAST GLACIAL MAXIMUM; SOUTHERN-HEMISPHERE CLIMATE; LARGE ENSEMBLE ANALYSIS; EARTH SYSTEM MODEL; CARBON-DIOXIDE; OCEAN TEMPERATURE; THWAITES GLACIER; ROSS SEA; SURFACE; SHELF</t>
  </si>
  <si>
    <t>Antarctic ice volume has varied substantially during the late Quaternary, with reconstructions suggesting a glacial ice sheet extending to the continental shelf break and interglacial sea level highstands of several meters. Throughout this period, changes in the Antarctic Ice Sheet were driven by changes in atmospheric and oceanic conditions and global sea level; yet, so far modeling studies have not addressed which of these environmental forcings dominate and how they interact in the dynamical ice sheet response. Here, we force an Antarctic Ice Sheet model with global sea level reconstructions and transient, spatially explicit boundary conditions from a 408 ka climate model simulation, not only in concert with each other but, for the first time, also separately. We find that together these forcings drive glacial-interglacial ice volume changes of 12-14 m s.l.e., in line with reconstructions and previous modeling studies. None of the individual drivers - atmospheric temperature and precipitation, ocean temperatures, or sea level - single-handedly explains the full ice sheet response. In fact, the sum of the individual ice volume changes amounts to less than half of the full ice volume response, indicating the existence of strong nonlinearities and forcing synergy. Both sea level and atmospheric forcing are necessary to create full glacial ice sheet growth, whereas the contribution of ocean melt changes is found to be more a function of ice sheet geometry than climatic change. Our results highlight the importance of accurately representing the relative timing of forcings of past ice sheet simulations and underscore the need for developing coupled climate-ice sheet modeling frameworks that properly capture key feedbacks.</t>
  </si>
  <si>
    <t>[Tigchelaar, Michelle] Stanford Univ, Ctr Ocean Solut, Palo Alto, CA 94304 USA; [Timmermann, Axel] Inst Basic Sci, Ctr Climate Phys, Busan, South Korea; [Timmermann, Axel] Pusan Natl Univ, Busan, South Korea; [Friedrich, Tobias] Univ Hawaii Manoa, Dept Oceanog, Honolulu, HI 96822 USA; [Heinemann, Malte] Univ Kiel, Inst Geosci, Kiel, Germany; [Pollard, David] Penn State Univ, Earth &amp; Environm Syst Inst, University Pk, PA 16802 USA</t>
  </si>
  <si>
    <t>Stanford University; Institute for Basic Science - Korea (IBS); Pusan National University; University of Hawaii System; University of Hawaii Manoa; University of Kiel; Pennsylvania Commonwealth System of Higher Education (PCSHE); Pennsylvania State University; Pennsylvania State University - University Park</t>
  </si>
  <si>
    <t>Tigchelaar, M (corresponding author), Stanford Univ, Ctr Ocean Solut, Palo Alto, CA 94304 USA.</t>
  </si>
  <si>
    <t>mtigch@stanford.edu</t>
  </si>
  <si>
    <t>Timmermann, Axel/Y-2799-2019; Friedrich, Tobias/D-1053-2013</t>
  </si>
  <si>
    <t>Timmermann, Axel/0000-0003-0657-2969; Friedrich, Tobias/0000-0001-7324-4100; Tigchelaar, Michelle/0000-0001-7964-229X</t>
  </si>
  <si>
    <t>National Science Foundation [1341311]; Institute for Basic Science [IBS-R028-D1]</t>
  </si>
  <si>
    <t>National Science Foundation(National Science Foundation (NSF)); Institute for Basic Science</t>
  </si>
  <si>
    <t>This research has been supported by the National Science Foundation (grant no. 1341311) and the Institute for Basic Science (grant no. IBS-R028-D1).</t>
  </si>
  <si>
    <t>OCT 9</t>
  </si>
  <si>
    <t>10.5194/tc-13-2615-2019</t>
  </si>
  <si>
    <t>JD0UG</t>
  </si>
  <si>
    <t>WOS:000489691400001</t>
  </si>
  <si>
    <t>Wang, YT; Hou, SG; Ding, MH; Sun, WJ</t>
  </si>
  <si>
    <t>Wang, Yetang; Hou, Shugui; Ding, Minghu; Sun, Weijun</t>
  </si>
  <si>
    <t>On the performance of twentieth century reanalysis products for Antarctic snow accumulation</t>
  </si>
  <si>
    <t>Antarctic Ice Sheet; Reanalysis assessment; Precipitation minus evaporation; In-situ observations</t>
  </si>
  <si>
    <t>SURFACE MASS-BALANCE; SEASONAL PRESSURE RECONSTRUCTIONS; DATA ASSIMILATION; CLIMATE MODEL; SEA-ICE; VARIABILITY; AIR; CERA-20C</t>
  </si>
  <si>
    <t>The strengths and weakness of the Twentieth-Century Reanalysis (20CR), the Pilot reanalysis of the twentieth-century (ERA-20C), a coupled twentieth-century climate reanalysis product (CERA-20C), and an ensemble of ten twentieth-century atmospheric model integrations (ERA-20CM), are examined for Antarctic snow accumulation based on 3265 Antarctic multi-year averaged surface mass balance observations and 79 ice core snow accumulation time series, which provides an independent estimate because they are not assimilated into the reanalyses and not used to force ERA-20CM. The ECMWF Interim reanalysis (ERA-Interim) and two regional climate models (RACMO2 and MAR) are also used as a complementary analysis. Despite the magnitude discrepancy between simulations and observations, large-scale spatial variability in multi-year averaged snow accumulation observations are reasonably well reproduced by all the twentieth century datasets. The four datasets capture a large fraction (&gt; 40%) of the interannual variability in the ice core snow accumulation composite over the Antarctic Peninsula from 1901 to 2010. However, none of the twentieth century datasets alone is able to explain &gt; 20% of variance in ice core records at the other Antarctic regions during the twentieth century. Even for the modern satellite era (from 1979 onwards), their performance for Antarctic snow accumulation is still poorer, relative to ERA-Interim, RACMO2 and MAR. Considerable inhomogeneities and spurious changes in atmospheric circulation are found in these datasets, and thus the precipitation minus evaporation/sublimation (P-E) changes and trends during the past 100 years are largely artificial over Antarctica.</t>
  </si>
  <si>
    <t>[Wang, Yetang; Sun, Weijun] Shandong Normal Univ, Coll Geog &amp; Environm, Jinan 250014, Shandong, Peoples R China; [Hou, Shugui] Nanjing Univ, Sch Geog &amp; Oceanog Sci, Key Lab Coast &amp; Isl Dev, MOE, Nanjing 210093, Jiangsu, Peoples R China; [Ding, Minghu] Chinese Acad Meteorol Sci, Inst Tibetan Plateau &amp; Polar Meteorol, Beijing 100081, Peoples R China</t>
  </si>
  <si>
    <t>Shandong Normal University; Nanjing University; China Meteorological Administration; Chinese Academy of Meteorological Sciences (CAMS)</t>
  </si>
  <si>
    <t>Wang, YT (corresponding author), Shandong Normal Univ, Coll Geog &amp; Environm, Jinan 250014, Shandong, Peoples R China.</t>
  </si>
  <si>
    <t>wangyetang@163.com</t>
  </si>
  <si>
    <t>sun, weijun/GZB-2595-2022; Ding, Minghu/AFU-3600-2022</t>
  </si>
  <si>
    <t>Ding, Minghu/0000-0002-1142-6598; Hou, Shugui/0000-0002-0905-3542</t>
  </si>
  <si>
    <t>National Natural Science Foundation of China [41971081, 41576182]; Strategic Priority Research Program of the Chinese Academy of Sciences [XAD19070103]; Outstanding Youth Fund of Shandong Provincial Universities [ZR2016JL030]</t>
  </si>
  <si>
    <t>National Natural Science Foundation of China(National Natural Science Foundation of China (NSFC)); Strategic Priority Research Program of the Chinese Academy of Sciences(Chinese Academy of Sciences); Outstanding Youth Fund of Shandong Provincial Universities</t>
  </si>
  <si>
    <t>This work was supported by the National Natural Science Foundation of China (41971081 and 41576182), the Strategic Priority Research Program of the Chinese Academy of Sciences (XAD19070103), and the Outstanding Youth Fund of Shandong Provincial Universities (ZR2016JL030). We thank the two anonymous referees for their constructive and thoughtful comments to improve this paper. Thanks to the ECMWF Data Center for providing the CERA-20C, ERA-20C, ERA-20CM and ERA-Interim datasets, and to NOAA's Earth System Research Lab for providing the 20CR dataset. RACMO2.3p2 snow accumulation data come from M. R. van de Broeke and J. M. van Wessem. The output of MAR snow accumulation fields data is available at ftp.climato.be/fettweis/MARv3.6/Antarctic/. We are also grateful to Elisabeth Schlosser and Elizabeth R. Thomas for improving English.</t>
  </si>
  <si>
    <t>1-2</t>
  </si>
  <si>
    <t>10.1007/s00382-019-05008-4</t>
  </si>
  <si>
    <t>KJ4UZ</t>
  </si>
  <si>
    <t>WOS:000489286200001</t>
  </si>
  <si>
    <t>Hines, KM; Bromwich, DH; Wang, SH; Silber, I; Verlinde, J; Lubin, D</t>
  </si>
  <si>
    <t>Hines, Keith M.; Bromwich, David H.; Wang, Sheng-Hung; Silber, Israel; Verlinde, Johannes; Lubin, Dan</t>
  </si>
  <si>
    <t>Microphysics of summer clouds in central West Antarctica simulated by the Polar Weather Research and Forecasting Model (WRF) and the Antarctic Mesoscale Prediction System (AMPS)</t>
  </si>
  <si>
    <t>MIXED-PHASE STRATOCUMULUS; ROSS ICE SHELF; PART I; SEA-ICE; PARAMETERIZATION; CLIMATE; SURFACE; PRECIPITATION; PENINSULA; MOISTURE</t>
  </si>
  <si>
    <t>The Atmospheric Radiation Measurement (ARM) West Antarctic Radiation Experiment (AWARE) provided a highly detailed set of remote-sensing and surface observations to study Antarctic clouds and surface energy balance, which have received much less attention than for the Arctic due to greater logistical challenges. Limited prior Antarctic cloud observations have slowed the progress of numerical weather prediction in this region. The AWARE observations from the West Antarctic Ice Sheet (WAIS) Divide during December 2015 and January 2016 are used to evaluate the operational forecasts of the Antarctic Mesoscale Prediction System (AMPS) and new simulations with the Polar Weather Research and Forecasting Model (WRF) 3.9.1. The Polar WRF 3.9.1 simulations are conducted with the WRF single-moment 5-class microphysics (WSM5C) used by the AMPS and with newer generation microphysics schemes. The AMPS simulates few liquid clouds during summer at the WAIS Divide, which is inconsistent with observations of frequent low-level liquid clouds. Polar WRF 3.9.1 simulations show that this result is a consequence of WSM5C. More advanced microphysics schemes simulate more cloud liquid water and produce stronger cloud radiative forcing, resulting in downward longwave and shortwave radiation at the surface more in agreement with observations Similarly, increased cloud fraction is simulated with the more advanced microphysics schemes. All of the simulations, however, produce smaller net cloud fractions than observed. Ice water paths vary less between the simulations than liquid water paths. The colder and drier atmosphere driven by the Global Forecast System (GFS) initial and boundary conditions for AMPS forecasts produces lesser cloud amounts than the Polar WRF 3.9.1 simulations driven by ERA-Interim.</t>
  </si>
  <si>
    <t>[Hines, Keith M.; Bromwich, David H.; Wang, Sheng-Hung] Ohio State Univ, Byrd Polar &amp; Climate Res Ctr, Polar Meteorol Grp, Columbus 43210, OH USA; [Bromwich, David H.] Ohio State Univ, Dept Geog, Atmospher Sci Program, Columbus 43210, OH USA; [Silber, Israel; Verlinde, Johannes] Penn State Univ, Dept Meteorol &amp; Atmospher Sci, University Pk 16802, PA USA; [Lubin, Dan] Univ Calif San Diego, Scripps Inst Oceanog, La Jolla 96802, CA USA</t>
  </si>
  <si>
    <t>University System of Ohio; Ohio State University; University System of Ohio; Ohio State University; Pennsylvania Commonwealth System of Higher Education (PCSHE); Pennsylvania State University; Pennsylvania State University - University Park; University of California System; University of California San Diego; Scripps Institution of Oceanography</t>
  </si>
  <si>
    <t>Hines, KM (corresponding author), Ohio State Univ, Byrd Polar &amp; Climate Res Ctr, Polar Meteorol Grp, Columbus 43210, OH USA.</t>
  </si>
  <si>
    <t>hines@polarmet1.mps.ohio-state.edu</t>
  </si>
  <si>
    <t>/H-8351-2017</t>
  </si>
  <si>
    <t>/0000-0002-9121-3110; Silber, Israel/0000-0001-6588-2145</t>
  </si>
  <si>
    <t>U.S. Department of Energy, Office of Science (DOE) [(DE-SC0017981)]; National Science Foundation (NSF) [PLR 1443443]</t>
  </si>
  <si>
    <t>U.S. Department of Energy, Office of Science (DOE)(United States Department of Energy (DOE)); National Science Foundation (NSF)(National Science Foundation (NSF))</t>
  </si>
  <si>
    <t>This research has been supported by the U.S. Department of Energy, Office of Science (DOE (grant no. DE-SC0017981)) and National Science Foundation (NSF (grant no. PLR 1443443)).</t>
  </si>
  <si>
    <t>OCT 8</t>
  </si>
  <si>
    <t>10.5194/acp-19-12431-2019</t>
  </si>
  <si>
    <t>JC8YF</t>
  </si>
  <si>
    <t>WOS:000489561300003</t>
  </si>
  <si>
    <t>Winski, DA; Fudge, TJ; Ferris, DG; Osterberg, EC; Fegyveresi, JM; Cole-Dai, J; Thundercloud, Z; Cox, TS; Kreutz, KJ; Ortman, N; Buizert, C; Epifanio, J; Brook, EJ; Beaudette, R; Severinghaus, J; Sowers, T; Steig, EJ; Kahle, EC; Jones, TR; Morris, V; Aydin, M; Nicewonger, MR; Casey, KA; Alley, RB; Waddington, ED; Iverson, NA; Dunbar, NW; Bay, RC; Souney, JM; Sigl, M; McConnell, JR</t>
  </si>
  <si>
    <t>Winski, Dominic A.; Fudge, Tyler J.; Ferris, David G.; Osterberg, Erich C.; Fegyveresi, John M.; Cole-Dai, Jihong; Thundercloud, Zayta; Cox, Thomas S.; Kreutz, Karl J.; Ortman, Nikolas; Buizert, Christo; Epifanio, Jenna; Brook, Edward J.; Beaudette, Ross; Severinghaus, Jeffrey; Sowers, Todd; Steig, Eric J.; Kahle, Emma C.; Jones, Tyler R.; Morris, Valerie; Aydin, Murat; Nicewonger, Melinda R.; Casey, Kimberly A.; Alley, Richard B.; Waddington, Edwin D.; Iverson, Nels A.; Dunbar, Nelia W.; Bay, Ryan C.; Souney, Joseph M.; Sigl, Michael; McConnell, Joseph R.</t>
  </si>
  <si>
    <t>The SP19 chronology for the South Pole Ice Core - Part 1: volcanic matching and annual layer counting</t>
  </si>
  <si>
    <t>ANTARCTIC ICE; WAIS DIVIDE; SNOW ACCUMULATION; EXPLOSIVE VOLCANISM; WD2014 CHRONOLOGY; EAST ANTARCTICA; WATER ISOTOPES; LAW DOME; VARIABILITY; SYNCHRONIZATION</t>
  </si>
  <si>
    <t>The South Pole Ice Core (SPICEcore) was drilled in 2014-2016 to provide a detailed multi-proxy archive of paleoclimate conditions in East Antarctica during the Holocene and late Pleistocene. Interpretation of these records requires an accurate depth-age relationship. Here, we present the SPICEcore (SP19) timescale for the age of the ice of SPICEcore. SP19 is synchronized to the WD2014 chronology from theWest Antarctic Ice Sheet Divide (WAIS Divide) ice core using stratigraphic matching of 251 volcanic events. These events indicate an age of 54 302 +/- 519 BP (years before 1950) at the bottom of SPICEcore. Annual layers identified in sodium and magnesium ions to 11 341 BP were used to interpolate between stratigraphic volcanic tie points, yielding an annually resolved chronology through the Holocene. Estimated timescale uncertainty during the Holocene is less than 18 years relative to WD2014, with the exception of the interval between 1800 to 3100 BP when uncertainty estimates reach +/- 25 years due to widely spaced volcanic tie points. Prior to the Holocene, uncertainties remain within 124 years relative to WD2014. Results show an average Holocene accumulation rate of 7.4 cm yr(-1) (water equivalent). The time variability of accumulation rate is consistent with expectations for steady-state ice flow through the modern spatial pattern of accumulation rate. Time variations in nitrate concentration, nitrate seasonal amplitude and delta N-15 of N-2 in turn are as expected for the accumulation rate variations. The highly variable yet well-constrained Holocene accumulation history at the site can help improve scientific understanding of deposition-sensitive climate proxies such as delta N-15 of N-2 and photolyzed chemical compounds.</t>
  </si>
  <si>
    <t>[Winski, Dominic A.; Kreutz, Karl J.] Univ Maine, Sch Earth &amp; Climate Sci, Orono, ME 04469 USA; [Winski, Dominic A.; Kreutz, Karl J.] Univ Maine, Climate Change Inst, Orono, ME 04469 USA; [Fudge, Tyler J.; Steig, Eric J.; Kahle, Emma C.; Waddington, Edwin D.] Univ Washington, Dept Earth &amp; Space Sci, Seattle, WA 98195 USA; [Ferris, David G.; Osterberg, Erich C.; Thundercloud, Zayta; Ortman, Nikolas] Dartmouth Coll, Dept Earth Sci, Hanover, NH 03755 USA; [Fegyveresi, John M.] No Arizona Univ, Sch Earth &amp; Sustainabil, Flagstaff, AZ 86011 USA; [Cole-Dai, Jihong] South Dakota State Univ, Dept Chem &amp; Biochem, Brookings, SD 57007 USA; [Cox, Thomas S.] Butte Coll, Dept Phys Sci, Oroville, CA USA; [Buizert, Christo; Epifanio, Jenna; Brook, Edward J.] Oregon State Univ, Coll Earth Ocean &amp; Atmospher Sci, Corvallis, OR 97331 USA; [Beaudette, Ross; Severinghaus, Jeffrey] Univ Calif San Diego, Scripps Inst Oceanog, La Jolla, CA 92093 USA; [Sowers, Todd; Alley, Richard B.] Penn State Univ, Dept Geosci, University Pk, PA 16802 USA; [Sowers, Todd; Alley, Richard B.] Penn State Univ, Earth &amp; Environm Syst Inst, University Pk, PA 16802 USA; [Jones, Tyler R.; Morris, Valerie] Univ Colorado, Inst Arctic &amp; Alpine Res, Boulder, CO 80309 USA; [Aydin, Murat; Nicewonger, Melinda R.] Univ Calif Irvine, Dept Earth Syst Sci, Irvine, CA USA; [Casey, Kimberly A.] NASA, Div Earth Sci, Goddard Space Flight Ctr, Greenbelt, MD USA; [Casey, Kimberly A.] US Geol Survey, Natl Land Imaging Program, 959 Natl Ctr, Reston, VA 22092 USA; [Iverson, Nels A.; Dunbar, Nelia W.] New Mexico Bur Geol &amp; Mineral Resources, New Mexico Inst Min &amp; Technol, Socorro, NM USA; [Bay, Ryan C.] Univ Calif Berkeley, Dept Phys, Berkeley, CA 94720 USA; [Souney, Joseph M.] Univ New Hampshire, Inst Study Earth Oceans &amp; Space, Durham, NH 03824 USA; [Sigl, Michael] Univ Bern, Dept Climate &amp; Environm Phys, Bern, Switzerland; [McConnell, Joseph R.] Desert Res Inst, Div Hydrol Sci, Reno, NV USA</t>
  </si>
  <si>
    <t>University of Maine System; University of Maine Orono; University of Maine System; University of Maine Orono; University of Washington; University of Washington Seattle; Dartmouth College; Northern Arizona University; South Dakota State University; Oregon State University; University of California System; University of California San Diego; Scripps Institution of Oceanography; 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Colorado System; University of Colorado Boulder; University of California System; University of California Irvine; National Aeronautics &amp; Space Administration (NASA); NASA Goddard Space Flight Center; United States Department of the Interior; United States Geological Survey; New Mexico Institute of Mining Technology; University of California System; University of California Berkeley; University System Of New Hampshire; University of New Hampshire; University of Bern; Nevada System of Higher Education (NSHE); Desert Research Institute NSHE</t>
  </si>
  <si>
    <t>Winski, DA (corresponding author), Univ Maine, Sch Earth &amp; Climate Sci, Orono, ME 04469 USA.;Winski, DA (corresponding author), Univ Maine, Climate Change Inst, Orono, ME 04469 USA.</t>
  </si>
  <si>
    <t>dominic.winski@maine.edu</t>
  </si>
  <si>
    <t>Brook, Edward/AAB-7807-2021; Dunbar, Nelia W./HZL-8693-2023; Casey, Kimberly/AAA-7871-2020; Casey, Kimberly/AAY-9033-2020; Cole-Dai, Jihong/B-2510-2009; Steig, Eric J/G-9088-2015</t>
  </si>
  <si>
    <t>Dunbar, Nelia W./0000-0002-5181-937X; Casey, Kimberly/0000-0002-6115-7525; Casey, Kimberly/0000-0002-6115-7525; Cole-Dai, Jihong/0000-0003-0921-5916; Fudge, Tyler/0000-0002-6818-7479; Osterberg, Erich/0000-0002-0675-1230; Winski, Dominic/0000-0002-9868-7909; Iverson, Nels/0000-0002-7110-5040; Souney, Joseph/0000-0002-1492-6432</t>
  </si>
  <si>
    <t>National Science Foundation, Office of Polar Programs [1443336, 1443105, 1141839, 1443397, 1443663, 1443232, 1142517, 1443470, 1443464, 1443710, 1542778, 1443472, 1643722, 1543454, 1142646]; Directorate For Geosciences [1443470] Funding Source: National Science Foundation; Directorate For Geosciences; Office of Polar Programs (OPP) [1142517, 1443464, 1643722, 1443397, 1443336] Funding Source: National Science Foundation; Office of Polar Programs (OPP) [1443470] Funding Source: National Science Foundation; Office of Polar Programs (OPP); Directorate For Geosciences [1443472, 1543454, 1542778, 1443710, 1443105, 1142646, 1443663, 1443232, 1141839] Funding Source: National Science Foundation</t>
  </si>
  <si>
    <t>National Science Foundation, Office of Polar Programs(National Science Foundation (NSF)); Directorate For Geosciences(National Science Foundation (NSF)NSF - Directorate for Geosciences (GEO)); Directorate For Geosciences; Office of Polar Programs (OPP)(National Science Foundation (NSF)NSF - Directorate for Geosciences (GEO)); Office of Polar Programs (OPP)(National Science Foundation (NSF)NSF - Directorate for Geosciences (GEO)); Office of Polar Programs (OPP); Directorate For Geosciences(National Science Foundation (NSF)NSF - Directorate for Geosciences (GEO))</t>
  </si>
  <si>
    <t>This research has been supported by the National Science Foundation, Office of Polar Programs (grant no. 1443336, 1443105, 1141839, 1443397, 1443663, 1443232, 1142517, 1443470, 1443464, 1443710, 1542778, 1443472, 1643722, 1543454, 1142646).</t>
  </si>
  <si>
    <t>10.5194/cp-15-1793-2019</t>
  </si>
  <si>
    <t>JC8YI</t>
  </si>
  <si>
    <t>WOS:000489561600001</t>
  </si>
  <si>
    <t>Hartman, LH; Kurbatov, AV; Winski, DA; Cruz-Uribe, AM; Davies, SM; Dunbar, NW; Iverson, NA; Aydin, M; Fegyveresi, JM; Ferris, DG; Fudge, TJ; Osterberg, EC; Hargreaves, GM; Yates, MG</t>
  </si>
  <si>
    <t>Hartman, Laura H.; Kurbatov, Andrei, V; Winski, Dominic A.; Cruz-Uribe, Alicia M.; Davies, Siwan M.; Dunbar, Nelia W.; Iverson, Nels A.; Aydin, Murat; Fegyveresi, John M.; Ferris, David G.; Fudge, T. J.; Osterberg, Erich C.; Hargreaves, Geoffrey M.; Yates, Martin G.</t>
  </si>
  <si>
    <t>Volcanic glass properties from 1459 CE volcanic event in South Pole ice core dismiss Kuwae caldera as a potential source</t>
  </si>
  <si>
    <t>RECORD; ANTARCTICA; TEPHROCHRONOLOGY; ERUPTIONS; VANUATU</t>
  </si>
  <si>
    <t>A large volcanic sulfate increase observed in ice core records around 1450 C.E. has been attributed in previous studies to a volcanic eruption from the submarine Kuwae caldera in Vanuatu. Both EPMA-WDS (electron microprobe analysis using a wavelength dispersive spectrometer) and SEM-EDS (scanning electron microscopy analysis using an energy dispersive spectrometer) analyses of five microscopic volcanic ash (cryptotephra) particles extracted from the ice interval associated with a rise in sulfate ca. 1458 C.E. in the South Pole ice core (SPICEcore) indicate that the tephra deposits are chemically distinct from those erupted from the Kuwae caldera. Recognizing that the sulfate peak is not associated with the Kuwae volcano, and likely not a large stratospheric tropical eruption, requires revision of the stratospheric sulfate injection mass that is used for parameterization of paleoclimate models. Future work is needed to confirm that a volcanic eruption from Mt. Reclus is one of the possible sources of the 1458 C.E. sulfate anomaly in Antarctic ice cores.</t>
  </si>
  <si>
    <t>[Hartman, Laura H.; Kurbatov, Andrei, V; Winski, Dominic A.] Univ Maine, Climate Change Inst, Orono, ME 04469 USA; [Kurbatov, Andrei, V; Cruz-Uribe, Alicia M.; Yates, Martin G.] Univ Maine, Sch Earth &amp; Climate Sci, Orono, ME 04469 USA; [Davies, Siwan M.] Swansea Univ, Coll Sci, Swansea, W Glam, Wales; [Dunbar, Nelia W.; Iverson, Nels A.] New Mexico Inst Min &amp; Technol, Earth &amp; Environm Sci, Socorro, NM 87801 USA; [Aydin, Murat] Univ Calif Irvine, Dept Earth Syst Sci, Irvine, CA USA; [Fegyveresi, John M.] No Arizona Univ, Sch Earth &amp; Sustainabil, Flagstaff, AZ 86011 USA; [Ferris, David G.; Osterberg, Erich C.] Dartmouth Coll, Dept Earth Sci, Hanover, NH 03755 USA; [Fudge, T. J.] Univ Washington, Earth &amp; Space Sci, Seattle, WA 98195 USA; [Hargreaves, Geoffrey M.] Denver Fed Ctr, Natl Sci Fdn Ice Core Facil, Lakewood, CO USA</t>
  </si>
  <si>
    <t>University of Maine System; University of Maine Orono; University of Maine System; University of Maine Orono; Swansea University; New Mexico Institute of Mining Technology; University of California System; University of California Irvine; Northern Arizona University; Dartmouth College; University of Washington; University of Washington Seattle</t>
  </si>
  <si>
    <t>Kurbatov, AV (corresponding author), Univ Maine, Climate Change Inst, Orono, ME 04469 USA.;Kurbatov, AV (corresponding author), Univ Maine, Sch Earth &amp; Climate Sci, Orono, ME 04469 USA.</t>
  </si>
  <si>
    <t>akurbatov@maine.edu</t>
  </si>
  <si>
    <t>Dunbar, Nelia W./HZL-8693-2023; Cruz-Uribe, Alicia/AAW-8862-2020</t>
  </si>
  <si>
    <t>Dunbar, Nelia W./0000-0002-5181-937X; Osterberg, Erich/0000-0002-0675-1230; Cruz-Uribe, Alicia/0000-0001-7270-0573; Iverson, Nels/0000-0002-7110-5040; Yates, Martin/0000-0002-9407-470X; Winski, Dominic/0000-0002-9868-7909; Kurbatov, Andrei/0000-0002-9819-9251</t>
  </si>
  <si>
    <t>National Science Foundation [PLR1543454, 1142069, 1542778]</t>
  </si>
  <si>
    <t>This work is directly supported by the National Science Foundation grants PLR1543454, 1142069 and 1542778. We would like to thank Mark Twickler, Joseph Souney and the SPICEcore Science Coordination Office; the U.S. Ice Drill Program Office for SPICEcore recovery; the 109th New York Air National Guard for transport in Antarctica; the members of South Pole station for field operations support. The U.S. NSF Ice Core Facility support for allocation and storage of SPICEcore samples and the many student researchers assisting on core packaging and processing are acknowledged.</t>
  </si>
  <si>
    <t>10.1038/s41598-019-50939-x</t>
  </si>
  <si>
    <t>JC2IB</t>
  </si>
  <si>
    <t>WOS:000489099500033</t>
  </si>
  <si>
    <t>Shu, S; Zhou, XH; Shen, XY; Liu, ZC; Tang, QH; Li, HL; Ke, CQ; Li, J</t>
  </si>
  <si>
    <t>Shu, Su; Zhou, Xinghua; Shen, Xiaoyi; Liu, Zhanchi; Tang, Qiuhua; Li, Haili; Ke, Changqing; Li, Jie</t>
  </si>
  <si>
    <t>Discrimination of different sea ice types from CryoSat-2 satellite data using an Object-based Random Forest (ORF)</t>
  </si>
  <si>
    <t>MARINE GEODESY</t>
  </si>
  <si>
    <t>ice type; CryoSat-2; waveform; object-based random forest; classification; Arctic</t>
  </si>
  <si>
    <t>RADAR ALTIMETER; SAR ALTIMETER; THICKNESS; FREEBOARD; CLASSIFICATION; ALGORITHM; ECHOES</t>
  </si>
  <si>
    <t>Sea ice type is one of the most sensitive variables in Arctic sea ice monitoring, and it is important for the retrieval of ice thickness. In this study, we analyzed various waveform features that characterize the echo waveform shape and Sigma0 (i.e., backscatter coefficient) of CryoSat-2 synthetic aperture radar altimeter data over different sea ice types. Arctic and Antarctic Research Institute operational ice charts were input as reference. An object-based random forest (ORF) classification method is proposed with overall classification accuracy of 90.1%. Accuracy of 92.7% was achieved for first-year ice (FYI), which is the domain ice type in the Arctic. Accuracy of 76.7% was achieved at the border of FYI and multiyear ice (MYI), which is better than current state-of-the-art methods. Accuracy of 83.8% was achieved for MYI. Results showed the overall accuracy of the ORF method was increased by ?8% in comparison with other methods, and the classification accuracy at the border of FYI and MYI was increased by ?10.5%. Nevertheless, ORF classification performance might be influenced by the selected waveform features, snow loading, and the ability to distinguish sea ice from leads.</t>
  </si>
  <si>
    <t>[Shu, Su; Zhou, Xinghua; Liu, Zhanchi; Tang, Qiuhua; Li, Jie] Minist Nat Resources, Inst Oceanog 1, Qingdao 266061, Shandong, Peoples R China; [Shen, Xiaoyi; Li, Haili; Ke, Changqing] Nanjing Univ, Collaborat Innovat Ctr South China Sea Studies, Jiangsu Prov Key Lab Geog Informat Sci &amp; Technol, Nanjing, Jiangsu, Peoples R China; [Li, Jie] Ocean Univ China, Ocean Remote Sensing Inst, Qingdao, Shandong, Peoples R China; [Li, Jie] Natl Adm Surveying Mapping &amp; Geoinfomat, Key Lab Surveying &amp; Mapping Technol Isl &amp; Reef, Qingdao, Shandong, Peoples R China</t>
  </si>
  <si>
    <t>First Institute of Oceanography, Ministry of Natural Resources; Ministry of Natural Resources of the People's Republic of China; Nanjing University; Ocean University of China</t>
  </si>
  <si>
    <t>Zhou, XH (corresponding author), Minist Nat Resources, Inst Oceanog 1, Qingdao 266061, Shandong, Peoples R China.</t>
  </si>
  <si>
    <t>xhzhou@163.com</t>
  </si>
  <si>
    <t>zhou, xt/GWZ-9212-2022; zhou, xing/GQP-4516-2022; Zhou, Xiangfeng/KDO-8724-2024</t>
  </si>
  <si>
    <t>Satellite Surveying and Mapping Application Funds [WX0317001]; International Cooperation and Performance Funds by SOA; Key Laboratory of Surveying and Mapping Technology on Island and Reef, NASG</t>
  </si>
  <si>
    <t>Satellite Surveying and Mapping Application Funds; International Cooperation and Performance Funds by SOA; Key Laboratory of Surveying and Mapping Technology on Island and Reef, NASG</t>
  </si>
  <si>
    <t>This research was supported by Satellite Surveying and Mapping Application Funds (WX0317001), International Cooperation and Performance Funds by SOA, and the Key Laboratory of Surveying and Mapping Technology on Island and Reef, NASG.</t>
  </si>
  <si>
    <t>0149-0419</t>
  </si>
  <si>
    <t>1521-060X</t>
  </si>
  <si>
    <t>MAR GEOD</t>
  </si>
  <si>
    <t>Mar. Geod.</t>
  </si>
  <si>
    <t>MAY 3</t>
  </si>
  <si>
    <t>10.1080/01490419.2019.1671560</t>
  </si>
  <si>
    <t>Geochemistry &amp; Geophysics; Oceanography; Remote Sensing</t>
  </si>
  <si>
    <t>LG0WH</t>
  </si>
  <si>
    <t>WOS:000494084400001</t>
  </si>
  <si>
    <t>Correale, A; Pelorosso, B; Rizzo, AL; Coltorti, M; Italiano, F; Bonadiman, C; Giacomoni, PP</t>
  </si>
  <si>
    <t>Correale, Alessandra; Pelorosso, Beatrice; Rizzo, Andrea Luca; Coltorti, Massimo; Italiano, Francesco; Bonadiman, Costanza; Giacomoni, Pier Paolo</t>
  </si>
  <si>
    <t>The nature of the West Antarctic Rift System as revealed by noble gases in mantle minerals</t>
  </si>
  <si>
    <t>Antarctic Rift; Mantle xenolith; Fluid inclusions; Noble gases; SCLM; Metasomatism</t>
  </si>
  <si>
    <t>NORTHERN VICTORIA-LAND; SUBCONTINENTAL LITHOSPHERIC MANTLE; ROSS-SEA-RIFT; ISOTOPE GEOCHEMISTRY; BASALTIC VOLCANISM; GEOTHERMAL FLUIDS; CONTINENTAL RIFT; EROSION SURFACES; HE-3/HE-4 RATIOS; HELIUM-ISOTOPES</t>
  </si>
  <si>
    <t>The noble gases He, Ne and Ar in fluid inclusions from mantle xenoliths at three localities in Northern Victoria Land (Baker Rocks, Greene Point and Handler Ridge), spanning about 300 km, provide new constraints on the nature of the lithospheric mantle beneath the West Antarctic Rift System (WARS). Mantle xenoliths are anhydrous and hydrous spinel-bearing lherzolite and harzburgite samples. The He-4/Ar-40* ratios (0.004-0.39) in olivines, two pyroxenes and amphiboles are much lower than those typical of fertile mantle (1-5), suggesting that this lithospheric domain are consistent with a variably depleted mantle, as also indicated by the major- and trace-element compositions of whole rock and minerals. The He-3/He-4 ratios vary from 2.30 to 19.79 Ra. However, the lowest and highest He-3/He-4 ratios are related to the post-eruptive accumulation of radiogenic He-4 and cosmogenic He-3, respectively. After filtering the data for these secondary effects, we constrain the He-3/He-4 signature of the subcontinental lithospheric mantle below this area to 7.1 +/- 0.4 Ra (mean +/- standard deviation). This isotope signature results from mantle metasomatism by asthenospheric melts with a MORB (mid-ocean ridge basalt)-type He-3/He-4. The range of 7.1 +/- 0.4 Ra is compatible with previous measurements in mantle xenoliths and lavas from other localities of the NVL, as far away as Mount Erebus, evidencing a homogeneous He-isotope signature beneath the entire rift. The He and Ne isotopes support the hypothesis that WARS origin is not related to a plume.</t>
  </si>
  <si>
    <t>[Correale, Alessandra; Rizzo, Andrea Luca; Italiano, Francesco] Ist Nazl Geofis &amp; Vulcanol, Palermo, Italy; [Pelorosso, Beatrice; Rizzo, Andrea Luca; Coltorti, Massimo; Bonadiman, Costanza; Giacomoni, Pier Paolo] Univ Ferrara, Phys &amp; Earth Sci, Ferrara, Italy</t>
  </si>
  <si>
    <t>Istituto Nazionale Geofisica e Vulcanologia (INGV); University of Ferrara</t>
  </si>
  <si>
    <t>Correale, A (corresponding author), Ist Nazl Geofis &amp; Vulcanol, Palermo, Italy.</t>
  </si>
  <si>
    <t>alessandra.correale@ingv.it</t>
  </si>
  <si>
    <t>Rizzo, Amalia/JOK-2489-2023; Rizzo, Andrea Luca/KCY-5635-2024</t>
  </si>
  <si>
    <t>Rizzo, Amalia/0000-0002-0917-1047; Italiano, Francesco/0000-0002-9465-6398; Rizzo, Andrea Luca/0000-0003-2225-3781</t>
  </si>
  <si>
    <t>OCT 5</t>
  </si>
  <si>
    <t>10.1016/j.chemgeo.2019.06.020</t>
  </si>
  <si>
    <t>JH9KY</t>
  </si>
  <si>
    <t>WOS:000493088300008</t>
  </si>
  <si>
    <t>Gill, AC; Leis, JM</t>
  </si>
  <si>
    <t>Gill, Anthony C.; Leis, Jeffrey M.</t>
  </si>
  <si>
    <t>Phylogenetic position of the fish genera Lobotes, Datnioides and Hapalogenys, with a reappraisal of acanthuriform composition and relationships based on adult and larval morphology</t>
  </si>
  <si>
    <t>Osteology; comparative anatomy; dentition; larval development; ichthyology; phylogenetics; three-item analysis</t>
  </si>
  <si>
    <t>TOOTH REPLACEMENT; TELEOSTEI; PERCIFORMES; LEIOGNATHIDAE; PISCES; TEETH; POMACANTHIDAE; PERCOMORPHA; PLACEMENT; DENTITION</t>
  </si>
  <si>
    <t>Lobotes, Datnioides and Hapalogenys are assigned to a newly defined Acanthuriformes on the basis of their pattern of tooth replacement (termed posterolateral tooth replacement), where new teeth form at the posterolateral ends of series. Posterolateral tooth replacement is shown to be a synamorphy of the order. The order is expanded to include Chaetodontidae, Pomacanthidae, Drepaneidae, Ephippidae, Leiognathidae, Antigonia, Scatophagidae and Capros, along with the more traditional members, Siganidae, Luvaridae, Zanclidae and Acanthuridae. Three-item analysis of 63 adult and larval morphological characters yields two optimal trees that differ only in the relative positions of Capros and Siganidae. The intersection tree of the two optimal trees is: (((Hapalogenys (Datnioides, Lobotidae)) (Pomacanthidae (Drepaneidae (Chaetodontidae (Ephippidae (Leiognathidae (Scatophagidae (Antigonia (Siganidae, Capros (Luvaridae (Zanclidae, Acanthuridae)))))))))))). This cladogram is compared with recent phylogenies based on analyses of sequence data, and few differences are found once the weakly-supported interior nodes of the latter are collapsed. Aside from expansion of the Acanthuriformes, the following classification changes are proposed in order to reflect the phylogenetic relationships: redefinition of the Lobotidae to include Lobotes, Datnioides and Hapalogenys; separate families for Antigonia and Capros (Antigoniidae and Caproidae, respectively); continued recognition of Drepaneidae (often considered a synonym of Ephippidae). The larvae of Capros apex are illustrated to show features overlooked in earlier descriptions.</t>
  </si>
  <si>
    <t>[Gill, Anthony C.] Univ Sydney, Macleay Collect, Chau Chak Wing Museum, Sydney, NSW 2006, Australia; [Gill, Anthony C.] Univ Sydney, Sch Life &amp; Environm Sci, Sydney, NSW 2006, Australia; [Gill, Anthony C.; Leis, Jeffrey M.] Australian Museum, Australian Museum Res Inst, Ichthyol, 1 William St, Sydney, NSW 2010, Australia; [Leis, Jeffrey M.] Univ Tasmania, Inst Marine &amp; Antarctic Studies, Hobart, Tas 7001, Australia</t>
  </si>
  <si>
    <t>University of Sydney; University of Sydney; Australian Museum; University of Tasmania</t>
  </si>
  <si>
    <t>Gill, AC (corresponding author), Univ Sydney, Macleay Collect, Chau Chak Wing Museum, Sydney, NSW 2006, Australia.;Gill, AC (corresponding author), Univ Sydney, Sch Life &amp; Environm Sci, Sydney, NSW 2006, Australia.</t>
  </si>
  <si>
    <t>anthony.c.gill@sydney.edu.au; jeffrey.leis@utas.edu.au</t>
  </si>
  <si>
    <t>Leis, Jeffrey M/E-7502-2012; Leis, Jeffrey M/JCE-0397-2023</t>
  </si>
  <si>
    <t>Leis, Jeffrey M/0000-0003-0603-3447; Leis, Jeffrey M/0000-0003-0603-3447; Gill, Anthony/0000-0002-8990-3657</t>
  </si>
  <si>
    <t>Australian Museum Visiting Research Fellowship</t>
  </si>
  <si>
    <t>This study was initially supported by an Australian Museum Visiting Research Fellowship to the first author. For the loan of specimens, we thank A. Hay, M. McGrouther and S.E. Reader (AMS), C. Johnson (ASU), J. Maclaine (BMNH), A. Graham and J. Pogonoski (CSIRO), K. Matsuura (NSMT), G. Dally and M. Hammer (NTM), Y. Konishi (Southeast Asian Fisheries Development Center), J.T. Williams (USNM) and P. Moller (ZMUC). The following aquarists and aquarium stores donated specimens, which were skeletonized for study: M. Clarke, P. Dority, Y.K. Tea, Pets Inc. (Tempe, Arizona), About the Reef (Scottsdale, Arizona), Aquarium Arts (Mesa, Arizona), Fantasea Aquarium (West Gosford, Australia), and Iwarna Aquafarm (Singapore). M.C. Ebach assisted with initial Lisbeth analyses. L. Hines, S.B. Leis and Y.K. Tea assisted with the preparation of figures. M.N. Yerman provided the photographs of waffle frontals in lobotids. J.E. Randall, A.K. Gardner and B. Lee provided photos of adult Hapalogenys, Lobotes and Datnioides, respectively. The late J.E. Olney provided a copy of M. Cavalluzzi's dissertation. For helpful discussions we thank K. Bemis, S.D. Blum, R.D. Mooi, K. Conway, M.C. Ebach, D. Williams, J.C. Tyler and G.D. Johnson. The submitted manuscript was considerably improved from critical reviews by G.D. Johnson and N.K. Schnell.</t>
  </si>
  <si>
    <t>OCT 4</t>
  </si>
  <si>
    <t>10.11646/zootaxa.4680.1.1</t>
  </si>
  <si>
    <t>JC9NM</t>
  </si>
  <si>
    <t>WOS:000489602100001</t>
  </si>
  <si>
    <t>Galea, HR; Schuchert, P</t>
  </si>
  <si>
    <t>Galea, Horia R.; Schuchert, Peter</t>
  </si>
  <si>
    <t>Some thecate hydroids (Cnidaria: Hydrozoa) from off New Caledonia collected during KANACONO and KANADEEP expeditions of the French Tropical Deep-Sea Benthos Program</t>
  </si>
  <si>
    <t>EUROPEAN JOURNAL OF TAXONOMY</t>
  </si>
  <si>
    <t>Deep water; Leptothecata; taxonomy; new species; 16S DNA barcoding</t>
  </si>
  <si>
    <t>WESTERN PACIFIC; ANTARCTIC EXPEDITIONS; SERTULARIIDAE; BIODIVERSITY; ALLMAN; GENUS</t>
  </si>
  <si>
    <t>Thirty-six species of various thecate hydroids occur in two recent, deep-water collections from off New Caledonia. Of these, nine are new, namely Solenoscyphus subtilis Galea, sp. nov., Hincksella immersa Galea, sp. nov., Synthecium rectangulatum Galea, sp. nov., Aphasia alternata Galea, sp. nov., Dynamena opposita Galea, sp. nov., Hydrallmania clavaformis Galea, sp. nov., Symplectoscyphus acutustriatus Galea, sp. nov., Symplectoscyphus elongatulus Galea, sp. nov. and Zygophylax niger Galea, sp. nov. The male and female gonothecae of Caledoniana decussata Galea, 2015, the female gonothecae of Caledoniana microgona Galea, 2015, as well as the gonothecae of both sexes of Solenoscyphus striatus Galea, 2015 are described for the first time. The systematic position of the genera Solenoscyphus Galea, 2015 and Caledoniana Galea, 2015 is discussed on both morphological and molecular grounds, and both are confidently placed within the family Staurothecidae Maronna et al., 2016. In light of the molecular data, the genera Billardia Totton, 1930 and Dictyocladium Allman, 1888 are assigned to the families Syntheciidae Marktanner-Turneretscher, 1890 and Symplectoscyphidae Maronna et al., 2016, respectively. The previously undescribed gonothecac of Hincksella neocaledonica Galca, 2015, and the male gonothecae of Sertularella tronconica Galea, 2016, were found. Thyroscyphus scorpioides Vervoort, 1993, a peculiar hydroid with putative stem nematothecae, is redescribed and assigned to the new genus Tuberocaulus Galea, gen. nov. Noteworthy new records from the study area are: Tasmanaria edentula (Bale, 1924), Hincksella sibogae Billard, 1918, Dictyocladium reticulatum (Kirchenpaucr, 1884), Salacia sinuosa (Bale, 1888) and Billardia hyalina Vervoort &amp; Watson, 2003. Most species are illustrated to facilitate their identification, and the morphology of the new ones is compared to that of their related congeners.</t>
  </si>
  <si>
    <t>[Galea, Horia R.] Hydrozoan Res Lab, 405 Chemin Gatiers, F-83170 Tourves, France; [Schuchert, Peter] Museum Hist Nat, CP 6434, CH-1211 Geneva 6, Switzerland</t>
  </si>
  <si>
    <t>Galea, HR (corresponding author), Hydrozoan Res Lab, 405 Chemin Gatiers, F-83170 Tourves, France.</t>
  </si>
  <si>
    <t>horia.galea@gmail.com; peter.schuchert@ville-ge.ch</t>
  </si>
  <si>
    <t>Schuchert, Peter/KBB-9007-2024</t>
  </si>
  <si>
    <t>MUSEUM NATL HISTOIRE NATURELLE</t>
  </si>
  <si>
    <t>SERVICE PUBLICATIONS SCIENTIFIQUES, 57 RUE CUVIER, 75005 PARIS, FRANCE</t>
  </si>
  <si>
    <t>2118-9773</t>
  </si>
  <si>
    <t>EUR J TAXON</t>
  </si>
  <si>
    <t>Eur. J. Taxon.</t>
  </si>
  <si>
    <t>10.5852/ejt.2019.562</t>
  </si>
  <si>
    <t>Plant Sciences; Entomology; Zoology</t>
  </si>
  <si>
    <t>JC9VA</t>
  </si>
  <si>
    <t>WOS:000489623500001</t>
  </si>
  <si>
    <t>Piracha, A; Sabia, R; Klockmann, M; Castaldo, L; Fernandez, D</t>
  </si>
  <si>
    <t>Piracha, Aqeel; Sabia, Roberto; Klockmann, Marlene; Castaldo, Luigi; Fernandez, Diego</t>
  </si>
  <si>
    <t>Satellite-Driven Estimates of Water Mass Formation and Their Spatio-Temporal Evolution</t>
  </si>
  <si>
    <t>satellite; SMOS; water mass; water mass formation; sea surface salinity; mode water</t>
  </si>
  <si>
    <t>SUBTROPICAL MODE WATERS; NORTH-ATLANTIC; DECADAL CHANGES; MIXED-LAYER; SALINITY; SMOS; TEMPERATURE; CIRCULATION; IMPACT; FLUX</t>
  </si>
  <si>
    <t>We derive water mass transformation and formation rates using satellite-derived datasets of salinity, temperature and fluxes of heat and freshwater over the North Atlantic, North Pacific and Southern Ocean. The formation rates are expressed in three coordinate systems: (1) density, (2) temperature-salinity and (3) latitude-longitude. In the North Atlantic and North Pacific, peak formation occurs south of the western boundary current extensions during the winter months of the study period. In the Southern Ocean, wintertime peak formation occurs just north of the sub-Antarctic Front. The satellite-derived water mass properties and formation areas agree well with previous estimates from literature. The location of peak Mode Water formation varies slightly with time in all coordinate systems. We assess seasonal and inter-annual variability in all three basins from 2012 to 2014. We assess the impact of satellite uncertainties on final estimates of formation rates and areas with Monte-Carlo simulations. The simulations provide insights on the associated uncertainty of formation estimates. They also provide information on the geographic spread of the water mass formation area subject to the satellite errors. We find that the total uncertainty is dominated by the uncertainty in the sea surface salinity dataset. This stresses the need for frequent and increasingly accurate sea surface salinity data for reliable estimates of water mass formation rates and areas. Our study highlights the feasibility of providing satellite-based estimates of water mass formation rates and areas. The good spatio-temporal coverage of satellite data further adds to the utility of the approach.</t>
  </si>
  <si>
    <t>[Piracha, Aqeel; Fernandez, Diego] European Space Agcy, Frascati, Italy; [Sabia, Roberto] European Space Agcy, Telespazio Vega UK Ltd, Frascati, Italy; [Klockmann, Marlene] Helmholtz Zentrum Geesthacht, Inst Coastal Res, Geesthacht, Germany; [Castaldo, Luigi] Ingpan Inst Geol Sci, Warsaw, Poland</t>
  </si>
  <si>
    <t>European Space Agency; Thales Group; European Space Agency; Helmholtz Association; Helmholtz-Zentrum Hereon</t>
  </si>
  <si>
    <t>Piracha, A (corresponding author), European Space Agcy, Frascati, Italy.</t>
  </si>
  <si>
    <t>apiracha@btinternet.com</t>
  </si>
  <si>
    <t>Klockmann, Marlene/0000-0003-1012-830X</t>
  </si>
  <si>
    <t>European space agency</t>
  </si>
  <si>
    <t>European space agency(European Space Agency)</t>
  </si>
  <si>
    <t>This work was supported by the European space agency as part of Young Graduate Traineeship.</t>
  </si>
  <si>
    <t>10.3389/fmars.2019.00589</t>
  </si>
  <si>
    <t>JB9DQ</t>
  </si>
  <si>
    <t>WOS:000488881900001</t>
  </si>
  <si>
    <t>Horning, M; Andrews, RD; Bishop, AM; Boveng, PL; Costa, DP; Crocker, DE; Haulena, M; Hindell, M; Hindle, AG; Holser, RR; Hooker, SK; Hückstädt, LA; Johnson, S; Lea, MA; McDonald, BI; McMahon, CR; Robinson, PW; Sattler, RL; Shuert, CR; Steingass, SM; Thompson, D; Tuomi, PA; Williams, CL; Womble, JN</t>
  </si>
  <si>
    <t>Horning, Markus; Andrews, Russel D.; Bishop, Amanda M.; Boveng, Peter L.; Costa, Daniel P.; Crocker, Daniel E.; Haulena, Martin; Hindell, Mark; Hindle, Allyson G.; Holser, Rachel R.; Hooker, Sascha K.; Hueckstaedt, Luis A.; Johnson, Shawn; Lea, Mary-Anne; McDonald, Birgitte I.; McMahon, Clive R.; Robinson, Patrick W.; Sattler, Renae L.; Shuert, Courtney R.; Steingass, Sheanna M.; Thompson, Dave; Tuomi, Pamela A.; Williams, Cassondra L.; Womble, Jamie N.</t>
  </si>
  <si>
    <t>Best practice recommendations for the use of external telemetry devices on pinnipeds</t>
  </si>
  <si>
    <t>ANIMAL BIOTELEMETRY</t>
  </si>
  <si>
    <t>Biotelemetry; Biologging; Tagging; Tracking; Marine mammal; Pinniped; Animal welfare; Reduction; Refinement; Replacement</t>
  </si>
  <si>
    <t>NORTHERN ELEPHANT SEALS; FUR SEALS; DIVING BEHAVIOR; MARINE MAMMALS; WEDDELL SEALS; CHEMICAL IMMOBILIZATION; LEPTONYCHOTES-WEDDELLII; CALLORHINUS-URSINUS; FIELD ANESTHESIA; MIROUNGA-LEONINA</t>
  </si>
  <si>
    <t>Pinnipeds spend large portions of their lives at sea, submerged, or hauled-out on land, often on remote off-shore islands. This fundamentally limits access by researchers to critical parts of pinniped life history and has spurred the development and implementation of a variety of externally attached telemetry devices (ETDs) to collect information about movement patterns, physiology and ecology of marine animals when they cannot be directly observed. ETDs are less invasive and easier to apply than implanted internal devices, making them more widely used. However, ETDs have limited retention times and their use may result in negative short- and long-term consequences including capture myopathy, impacts to energetics, behavior, and entanglement risk. We identify 15 best practice recommendations for the use of ETDs with pinnipeds that address experimental justification, animal capture, tag design, tag attachment, effects assessments, preparation, and reporting. Continued improvement of best practices is critical within the framework of the Three Rs (Reduction, Refinement, Replacement); these best practice recommendations provide current guidance to mitigate known potential negative outcomes for individuals and local populations. These recommendations were developed specifically for pinnipeds; however, they may also be applicable to studies of other marine taxa. We conclude with four desired future directions for the use of ETDs in technology development, validation studies, experimental designs and data sharing.</t>
  </si>
  <si>
    <t>[Horning, Markus; Bishop, Amanda M.; Sattler, Renae L.; Tuomi, Pamela A.] Alaska SeaLife Ctr, 301 Railway Ave, Seward, AK 99664 USA; [Horning, Markus] Oregon State Univ, Marine Mammal Inst, Newport, OR 97365 USA; [Andrews, Russel D.] Marine Ecol &amp; Telemetry Res, 2468 Camp McKenzie Trail NW, Seabeck, WA 98380 USA; [Boveng, Peter L.] NOAA, Alaska Fisheries Sci Ctr, Marine Mammal Lab, 7600 Sand Point Way NE, Seattle, WA 98115 USA; [Costa, Daniel P.; Holser, Rachel R.; Hueckstaedt, Luis A.; Robinson, Patrick W.] Univ Calif Santa Cruz, Dept Ecol &amp; Evolutionary Biol, Santa Cruz, CA 95060 USA; [Crocker, Daniel E.] Sonoma State Univ, Rohnert Pk, CA 94928 USA; [Haulena, Martin] Vancouver Aquarium, 845 Avison Way, Vancouver, BC V6G 3E2, Canada; [Hindell, Mark; Lea, Mary-Anne; McMahon, Clive R.] Univ Tasmania, Inst Marine &amp; Antarctic Studies, 20 Castray Esplanade, Hobart, Tas 7004, Australia; [Hindle, Allyson G.] Univ Nevada, Sch Life Sci, 4505 Maryland Pkwy, Las Vegas, NV 89154 USA; [Hooker, Sascha K.; Thompson, Dave] Univ St Andrews, Scottish Oceans Inst, Sea Mammal Res Unit, St Andrews KY16 8LB, Fife, Scotland; [Johnson, Shawn] Marine Mammal Ctr, 2000 Bunker Rd, Sausalito, CA 95965 USA; [McDonald, Birgitte I.] San Jose State Univ, Moss Landing Marine Labs, 8272 Moss Landing Rd, Moss Landing, CA 95039 USA; [McMahon, Clive R.] Sydney Inst Marine Sci, IMOS Anim Satellite Tagging, 19 Chow Bay Rd, Mosman, NSW 2088, Australia; [Shuert, Courtney R.] Univ Durham, Dept Biosci, South Rd, Durham DH1 3LE, England; [Steingass, Sheanna M.] Oregon Dept Fish &amp; Wildlife, Marine Mammal Program, 7118 NE Vandenberg Ave, Corvallis, OR 97330 USA; [Williams, Cassondra L.] Natl Marine Mammal Fdn, 2240 Shelter Isl Dr,Suite 200, San Diego, CA 92106 USA; [Womble, Jamie N.] Natl Pk Serv, 3100 Natl Pk Rd, Juneau, AK 99801 USA</t>
  </si>
  <si>
    <t>Oregon State University; National Oceanic Atmospheric Admin (NOAA) - USA; University of California System; University of California Santa Cruz; California State University System; Sonoma State University; University of Tasmania; Nevada System of Higher Education (NSHE); University of Nevada Las Vegas; University of St Andrews; Moss Landing Marine Laboratories; California State University System; San Jose State University; Sydney Institute of Marine Science; Durham University; United States Department of the Interior</t>
  </si>
  <si>
    <t>Horning, M (corresponding author), Alaska SeaLife Ctr, 301 Railway Ave, Seward, AK 99664 USA.;Horning, M (corresponding author), Oregon State Univ, Marine Mammal Inst, Newport, OR 97365 USA.</t>
  </si>
  <si>
    <t>markush@alaskasealife.org</t>
  </si>
  <si>
    <t>Bishop, Amanda/HMW-2072-2023; Hindell, Mark A/K-1131-2013; Huckstadt, Luis/JNR-7637-2023; McMahon, Clive R/D-5713-2013; Holser, Rachel Rose/AAU-3014-2020; Horning, Markus/I-3019-2015; Huckstadt, Luis/A-5838-2018; Lea, Mary-Anne/E-9054-2013</t>
  </si>
  <si>
    <t>McMahon, Clive R/0000-0001-5241-8917; Holser, Rachel Rose/0000-0002-8668-3839; Andrews, Russel/0000-0002-4545-137X; Shuert, Courtney/0000-0002-3202-4897; Hindell, Mark/0000-0002-7823-7185; Horning, Markus/0000-0001-6178-4935; Huckstadt, Luis/0000-0002-2453-7350; Thompson, David/0000-0003-1546-2876; Bishop, Amanda/0000-0002-0568-454X; Lea, Mary-Anne/0000-0001-8318-9299; Womble, Jamie/0000-0002-6635-1490; McDonald, Birgitte/0000-0001-5028-066X; Hooker, Sascha/0000-0002-7518-3548</t>
  </si>
  <si>
    <t>Alaska SeaLife Center; Durham Doctoral Studentship</t>
  </si>
  <si>
    <t>Authors were supported as follows: MHo by the Alaska SeaLife Center, CS by the Durham Doctoral Studentship.</t>
  </si>
  <si>
    <t>2050-3385</t>
  </si>
  <si>
    <t>ANIM BIOTELEM</t>
  </si>
  <si>
    <t>Anim. Biotelem.</t>
  </si>
  <si>
    <t>10.1186/s40317-019-0182-6</t>
  </si>
  <si>
    <t>Biodiversity Conservation; Ecology; Marine &amp; Freshwater Biology</t>
  </si>
  <si>
    <t>Biodiversity &amp; Conservation; Environmental Sciences &amp; Ecology; Marine &amp; Freshwater Biology</t>
  </si>
  <si>
    <t>VK4IK</t>
  </si>
  <si>
    <t>WOS:000696384500001</t>
  </si>
  <si>
    <t>Hicks, CC; Cohen, PJ; Graham, NAJ; Nash, KL; Allison, EH; D'Lima, C; Mills, DJ; Roscher, M; Thilsted, SH; Thorne-Lyman, AL; MacNeil, MA</t>
  </si>
  <si>
    <t>Hicks, Christina C.; Cohen, Philippa J.; Graham, Nicholas A. J.; Nash, Kirsty L.; Allison, Edward H.; D'Lima, Coralie; Mills, David J.; Roscher, Matthew; Thilsted, Shakuntala H.; Thorne-Lyman, Andrew L.; MacNeil, M. Aaron</t>
  </si>
  <si>
    <t>Harnessing global fisheries to tackle micronutrient deficiencies</t>
  </si>
  <si>
    <t>FOOD COMPOSITION DATA; FISH; WATER</t>
  </si>
  <si>
    <t>Micronutrient deficiencies account for an estimated one million premature deaths annually, and for some nations can reduce gross domestic product(1,2) by up to 11%, highlighting the need for food policies that focus on improving nutrition rather than simply increasing the volume of food produced(3). People gain nutrients from a varied diet, although fish-which are a rich source of bioavailable micronutrients that are essential to human health(4)-are often overlooked. A lack of understanding of the nutrient composition of most fish(5) and how nutrient yields vary among fisheries has hindered the policy shifts that are needed to effectively harness the potential of fisheries for food and nutrition security(6). Here, using the concentration of 7 nutrients in more than 350 species of marine fish, we estimate how environmental and ecological traits predict nutrient content of marine finfish species. We use this predictive model to quantify the global spatial patterns of the concentrations of nutrients in marine fisheries and compare nutrient yields to the prevalence of micronutrient deficiencies in human populations. We find that species from tropical thermal regimes contain higher concentrations of calcium, iron and zinc; smaller species contain higher concentrations of calcium, iron and omega-3 fatty acids; and species from cold thermal regimes or those with a pelagic feeding pathway contain higher concentrations of omega-3 fatty acids. There is no relationship between nutrient concentrations and total fishery yield, highlighting that the nutrient quality of a fishery is determined by the species composition. For a number of countries in which nutrient intakes are inadequate, nutrients available in marine finfish catches exceed the dietary requirements for populations that live within 100 km of the coast, and a fraction of current landings could be particularly impactful for children under 5 years of age. Our analyses suggest that fish-based food strategies have the potential to substantially contribute to global food and nutrition security.</t>
  </si>
  <si>
    <t>[Hicks, Christina C.; Graham, Nicholas A. J.] Univ Lancaster, Lancaster Environm Ctr, Lancaster, England; [Hicks, Christina C.; Cohen, Philippa J.; Graham, Nicholas A. J.; Mills, David J.] James Cook Univ, Ctr Excellence Coral Reef Studies, Australian Res Council, Townsville, Qld, Australia; [Cohen, Philippa J.; Allison, Edward H.; D'Lima, Coralie; Mills, David J.; Roscher, Matthew; Thilsted, Shakuntala H.] WorldFish, Bayan Lepas, Malaysia; [Nash, Kirsty L.] Univ Tasmania, Inst Marine &amp; Antarctic Studies, Hobart, Tas, Australia; [Nash, Kirsty L.] Univ Tasmania, Ctr Marine Socioecol, Hobart, Tas, Australia; [Allison, Edward H.] Univ Washington, Sch Marine &amp; Environm Affairs, Seattle, WA 98195 USA; [Thorne-Lyman, Andrew L.] Johns Hopkins Bloomberg Sch Publ Hlth, Dept Int Hlth, Ctr Human Nutr, Baltimore, MD USA; [MacNeil, M. Aaron] Dalhousie Univ, Dept Biol, Ocean Frontier Inst, Halifax, NS, Canada</t>
  </si>
  <si>
    <t>Lancaster University; James Cook University; CGIAR; Worldfish; University of Tasmania; University of Tasmania; University of Washington; University of Washington Seattle; Johns Hopkins University; Johns Hopkins Bloomberg School of Public Health; Dalhousie University</t>
  </si>
  <si>
    <t>Hicks, CC (corresponding author), Univ Lancaster, Lancaster Environm Ctr, Lancaster, England.;Hicks, CC (corresponding author), James Cook Univ, Ctr Excellence Coral Reef Studies, Australian Res Council, Townsville, Qld, Australia.</t>
  </si>
  <si>
    <t>christina.hicks@lancaster.ac.uk</t>
  </si>
  <si>
    <t>Allison, Edward Hugh/JAC-5655-2023; MacNeil, M. Aaron/ABD-6444-2021; Hicks, Christina/M-6182-2015; Allison, Edward Hugh/B-8615-2009; Mills, D/KFT-3273-2024; Nash, Kirsty L/B-5456-2015; Thilsted, Shakuntala Haraksingh/JPU-9977-2023; Graham, Nicholas/C-8360-2014</t>
  </si>
  <si>
    <t>MacNeil, M. Aaron/0000-0001-8406-325X; Hicks, Christina/0000-0002-7399-4603; Nash, Kirsty L/0000-0003-0976-3197; Thilsted, Shakuntala Haraksingh/0000-0002-4041-1651; Graham, Nicholas/0000-0002-0304-7467; Roscher, Matthew/0000-0002-3408-8763; Cohen, Philippa/0000-0002-9987-1943; Mills, David/0000-0003-0181-843X</t>
  </si>
  <si>
    <t>European Research Council (ERC) [759457]; Lancaster University; ARC Centre of Excellence for Coral Reef Studies; Royal Society [UF140691]; NSERC; Australian Centre for International Agricultural Research [FIS/2017/003, FIS/2015/031]; USAID Feed the Future Innovation Lab for Nutrition - Asia [AIDOAA-1-10-00005]; FishBase database team; FAO/INFOODS database team</t>
  </si>
  <si>
    <t>European Research Council (ERC)(European Research Council (ERC)Spanish Government); Lancaster University; ARC Centre of Excellence for Coral Reef Studies(Australian Research Council); Royal Society(Royal Society); NSERC(Natural Sciences and Engineering Research Council of Canada (NSERC)); Australian Centre for International Agricultural Research; USAID Feed the Future Innovation Lab for Nutrition - Asia(United States Agency for International Development (USAID)); FishBase database team; FAO/INFOODS database team</t>
  </si>
  <si>
    <t>This research was supported by a European Research Council Starting Grant awarded to C.C.H. (ERC grant number: 759457), Lancaster University, the ARC Centre of Excellence for Coral Reef Studies, a Royal Society University Research Fellowship to N.A.J.G. (UF140691), a NSERC Tier II Canada Research Chair awarded to M.A.M, the Australian Centre for International Agricultural Research through projects FIS/2017/003 and FIS/2015/031, and a USAID Feed the Future Innovation Lab for Nutrition - Asia (award number AIDOAA-1-10-00005) to A.L.T.-L. This work was undertaken as part of the CGIAR Research Program (CPR) on Fish Agri-Food Systems (FISH) led by WorldFish, supported by contributors to the CGIAR Trust Fund. We are grateful for the support provided by the FishBase and FAO/INFOODS database teams, J. Robinson for help with Fig. 3, and N. Swan, J. Silveira and E. Maire for help sourcing data.</t>
  </si>
  <si>
    <t>10.1038/s41586-019-1592-6</t>
  </si>
  <si>
    <t>JB8OZ</t>
  </si>
  <si>
    <t>WOS:000488832500037</t>
  </si>
  <si>
    <t>Risi, C; Galewsky, J; Reverdin, G; Brient, F</t>
  </si>
  <si>
    <t>Risi, Camille; Galewsky, Joseph; Reverdin, Gilles; Brient, Florent</t>
  </si>
  <si>
    <t>Controls on the water vapor isotopic composition near the surface of tropical oceans and role of boundary layer mixing processes</t>
  </si>
  <si>
    <t>LARGE-EDDY SIMULATIONS; CLOUD-TOP ENTRAINMENT; COHERENT STRUCTURES; STABLE-ISOTOPES; ANTARCTIC PRECIPITATION; SUBSIDING SHELLS; DEUTERIUM EXCESS; CLIMATE-CHANGE; DELTA-D; MODEL</t>
  </si>
  <si>
    <t>Understanding what controls the water vapor isotopic composition of the sub-cloud layer (SCL) over tropical oceans (delta D-0) is a first step towards understanding the water vapor isotopic composition everywhere in the troposphere. We propose an analytical model to predict delta D-0 motivated by the hypothesis that the altitude from which the free tropospheric air originates (z(orig)) is an important factor: when the air mixing into the SCL is lower in altitude, it is generally moister, and thus it depletes the SCL more efficiently. We extend previous simple box models of the SCL by prescribing the shape of delta D vertical profiles as a function of humidity profiles and by accounting for rain evaporation and horizontal advection effects. The model relies on the assumption that delta D profiles are steeper than mixing lines, and that the SCL is at steady state, restricting its applications to timescales longer than daily. In the model, delta D-0 is expressed as a function of z ong , humidity and temperature profiles, surface conditions, a parameter describing the steepness of the delta D vertical gradient, and a few parameters describing rain evaporation and horizontal advection effects. We show that delta D-0 does not depend on the intensity of entrainment, in contrast to several previous studies that had hoped that delta D-0 measurements could help estimate this quantity. Based on an isotope-enabled general circulation model simulation, we show that delta D-0 variations are mainly controlled by mid-tropospheric depletion and rain evaporation in ascending regions and by sea surface temperature and z(orig) in subsiding regions. In turn, could SDo measurements help estimate z ong and thus discriminate between different mixing processes? For such isotope-based estimates of z(ori)(g) to be useful, we would need a precision of a few hundred meters in deep convective regions and smaller than 20 m in stratocumulus regions. To reach this target, we would need daily measurements of delta D in the mid-troposphere and accurate measurements of delta D-0 (accuracy down to 0.1 parts per thousand in the case of stratocumulus clouds, which is currently difficult to obtain). We would also need information on the horizontal distribution of delta D to account for horizontal advection effects, and full delta D profiles to quantify the uncertainty associated with the assumed shape for delta D profiles. Finally, rain evaporation is an issue in all regimes, even in stratocumulus clouds. Innovative techniques would need to be developed to quantify this effect from observations.</t>
  </si>
  <si>
    <t>[Risi, Camille] Sorbonne Univ, Lab Meteorol Dynam, CNRS, IPSL, Paris, France; [Galewsky, Joseph] Univ New Mexico, Dept Earth &amp; Planetary Sci, Albuquerque, NM 87131 USA; [Reverdin, Gilles] Sorbonne Univ, IPSL, LOCEAN, CNRD,IRD,MNHN, Paris, France; [Brient, Florent] Univ Toulouse, CNRS, CNRM, Meteo France, Toulouse, France</t>
  </si>
  <si>
    <t>Centre National de la Recherche Scientifique (CNRS); Sorbonne Universite; Universite Paris Cite; University of New Mexico; Museum National d'Histoire Naturelle (MNHN); Sorbonne Universite; Universite Paris Cite; Institut de Recherche pour le Developpement (IRD); Centre National de la Recherche Scientifique (CNRS)</t>
  </si>
  <si>
    <t>Risi, C (corresponding author), Sorbonne Univ, Lab Meteorol Dynam, CNRS, IPSL, Paris, France.</t>
  </si>
  <si>
    <t>camille.risi@lmd.jussieu.fr</t>
  </si>
  <si>
    <t>Reverdin, Gilles/0000-0002-5583-8236; Brient, Florent/0000-0001-8485-4705; Galewsky, Joseph/0000-0001-8236-6839</t>
  </si>
  <si>
    <t>LABEX-IPSL visitor program; Franco-American Fulbright Foundation; NSF AGS grant [1738075]; Div Atmospheric &amp; Geospace Sciences; Directorate For Geosciences [1738075] Funding Source: National Science Foundation</t>
  </si>
  <si>
    <t>LABEX-IPSL visitor program; Franco-American Fulbright Foundation; NSF AGS grant(National Science Foundation (NSF)NSF - Directorate for Geosciences (GEO)); Div Atmospheric &amp; Geospace Sciences; Directorate For Geosciences(National Science Foundation (NSF)NSF - Directorate for Geosciences (GEO))</t>
  </si>
  <si>
    <t>This work was granted access to the HPC resources of IDRIS under the allocation 2092 made by GENCI. Joseph Galewsky was supported by the LABEX-IPSL visitor program, the Franco-American Fulbright Foundation, and NSF AGS grant 1738075. We thank Marion Benetti and Sandrine Bony for her previous studies on this subject and useful discussions. We thank the two anonymous reviewers for their comments.</t>
  </si>
  <si>
    <t>OCT 2</t>
  </si>
  <si>
    <t>10.5194/acp-19-12235-2019</t>
  </si>
  <si>
    <t>JC0OW</t>
  </si>
  <si>
    <t>WOS:000488979300004</t>
  </si>
  <si>
    <t>Lindbäck, K; Moholdt, G; Nicholls, KW; Hattermann, T; Pratap, B; Thamban, M; Matsuoka, K</t>
  </si>
  <si>
    <t>Lindback, Katrin; Moholdt, Geir; Nicholls, Keith W.; Hattermann, Tore; Pratap, Bhanu; Thamban, Meloth; Matsuoka, Kenichi</t>
  </si>
  <si>
    <t>Spatial and temporal variations in basal melting at Nivlisen ice shelf, East Antarctica, derived from phase-sensitive radars</t>
  </si>
  <si>
    <t>PINE ISLAND GLACIER; SURFACE-WATER BENEATH; DRONNING MAUD LAND; SOUTHERN-OCEAN; MASS-BALANCE; WEDDELL SEA; CONTINENTAL-SHELF; GROUNDING LINE; THICKNESS; RATES</t>
  </si>
  <si>
    <t>Thinning rates of ice shelves vary widely around Antarctica, and basal melting is a major component of ice shelf mass loss. In this study, we present records of basal melting at a unique spatial and temporal resolution for East Antarctica, derived from autonomous phase-sensitive radars. These records show spatial and temporal variations of basal melting in 2017 and 2018 at Nivlisen, an ice shelf in central Dronning Maud Land. The annually averaged basal melt rates are in general moderate (similar to 0.8 m yr(-1)). Radar profiling of the ice shelf shows variable ice thickness from smooth beds to basal crevasses and channels. The highest basal melt rates (3.9 m yr(-1)) were observed close to a grounded feature near the ice shelf front. Daily time-varying measurements reveal a seasonal melt signal 4 km from the ice shelf front, at an ice draft of 130 m, where the highest daily basal melt rates occurred in summer (up to 5.6 m yr(-1)). In comparison with wind, air temperatures, and sea ice cover from reanalysis and satellite data, the seasonality in basal melt rates indicates that summer-warmed ocean surface water was pushed by wind beneath the ice shelf front. We observed a different melt regime 35 km into the ice shelf cavity, at an ice draft of 280 m, with considerably lower basal melt rates (annual average of 0.4 m yr(-1)) and no seasonality. We conclude that warm deep-ocean water at present has a limited effect on the basal melting of Nivlisen. On the other hand, a warming in surface waters, as a result of diminishing sea ice cover, has the potential to increase basal melting near the ice shelf front. Continuous in situ monitoring of Antarctic ice shelves is needed to understand the complex mechanisms involved in ice shelf-ocean interactions.</t>
  </si>
  <si>
    <t>[Lindback, Katrin; Moholdt, Geir; Hattermann, Tore; Matsuoka, Kenichi] Norwegian Polar Res Inst, Framsenteret, Postboks 6606, N-9296 Tromso, Norway; [Nicholls, Keith W.] NERC, British Antarctic Survey, High Cross,Madingley Rd, Cambridge CB3 0ET, England; [Pratap, Bhanu; Thamban, Meloth] Govt India, Minist Earth Sci, Natl Ctr Polar &amp; Ocean Res, Vasco Da Gama 403804, Goa, India</t>
  </si>
  <si>
    <t>Norwegian Polar Institute; UK Research &amp; Innovation (UKRI); Natural Environment Research Council (NERC); NERC British Antarctic Survey; Ministry of Earth Sciences (MoES) - India; National Centre for Polar and Ocean Research (NCPOR)</t>
  </si>
  <si>
    <t>Lindbäck, K (corresponding author), Norwegian Polar Res Inst, Framsenteret, Postboks 6606, N-9296 Tromso, Norway.</t>
  </si>
  <si>
    <t>katrin.lindback@npolar.no</t>
  </si>
  <si>
    <t>Pratap, Bhanu/G-5509-2014; Matsuoka, Kenichi/B-7298-2017</t>
  </si>
  <si>
    <t>Pratap, Bhanu/0000-0001-9454-7274; Matsuoka, Kenichi/0000-0002-3587-3405; Thamban, Meloth/0000-0003-3379-8189; Lindback, Katrin/0000-0002-5941-6743</t>
  </si>
  <si>
    <t>Research Council of Norway [248780]; Ministry of Earth Sciences, India [MoES/Indo-Nor/PS-3/2015]; NERC [bas0100033] Funding Source: UKRI</t>
  </si>
  <si>
    <t>Research Council of Norway(Research Council of Norway); Ministry of Earth Sciences, India; NERC(UK Research &amp; Innovation (UKRI)Natural Environment Research Council (NERC))</t>
  </si>
  <si>
    <t>This research has been supported by the Research Council of Norway (grant no. 248780) and the Ministry of Earth Sciences, India (grant no. MoES/Indo-Nor/PS-3/2015).</t>
  </si>
  <si>
    <t>10.5194/tc-13-2579-2019</t>
  </si>
  <si>
    <t>JC0PH</t>
  </si>
  <si>
    <t>WOS:000488980600001</t>
  </si>
  <si>
    <t>Esposito, M; Achterberg, EP; Bach, LT; Connelly, DP; Riebesell, U; Toucher, J</t>
  </si>
  <si>
    <t>Esposito, Mario; Achterberg, Eric P.; Bach, Lennart T.; Connelly, Douglas P.; Riebesell, Ulf; Toucher, Jan</t>
  </si>
  <si>
    <t>Application of Stable Carbon Isotopes in a Subtropical North Atlantic MesocosmStudy: A New Approach to Assess CO2 Effects on the Marine Carbon Cycle</t>
  </si>
  <si>
    <t>ocean acidification; mesocosm experiment; stable carbon isotopes; marine biogeochemistry; carbon cycle</t>
  </si>
  <si>
    <t>SEA GAS-EXCHANGE; ORGANIC-CARBON; TECHNICAL NOTE; GROWTH-RATE; FRACTIONATION; PHYTOPLANKTON; C-13; DELTA-C-13; SYSTEM; FRESH</t>
  </si>
  <si>
    <t>Stable isotope ratio analysis offers a unique opportunity to obtain information on ecosystem processes. The increase in atmospheric CO2 as a consequence of fossil fuel combustion and land-use change is altering the stable carbon isotope composition (delta C-13) of the atmosphere and ocean. This work investigates the application of using delta C-13 measurements of seawater samples to explore the biogeochemical responses of marine ecosystems to anthropogenic CO2 perturbations. The combination of isotopic and non-isotopic measurements from a subtropical North-Atlantic mesocosm experiment provided a holistic view of the biogeochemical mechanisms that affect carbon dynamics under a gradient of pCO(2) ranging from similar to 350 up to similar to 1,000 mu atm during a phytoplankton succession. A clear CO2 response was detected in the isotopic datasets with C-13 shifts of up to similar to 5 parts per thousand, but increased CO2 levels only had a subtle effect on the concentrations of the dissolved and particulate organic carbon pools. Distinctive delta C-13 signatures of the particulate organic carbon pools in the water column and sediment traps were detectable for the different CO2 treatments after a nutrient stimulated phytoplankton bloom. These signatures were strongly correlated (p &lt; 0.05) with the delta C-13 signatures of the inorganic carbon but not with the delta C-13 of the dissolved organic carbon pools (p &gt; 0.05). Fractionation of carbon isotopes in phytoplankton was positively affected (9.6 &lt; epsilon &lt; 16.5 parts per thousand) by high CO2 levels either because of the higher CO2 availability or because of a shift in phytoplankton community composition. Nevertheless, phytoplankton bloom intensity and development was independent of CO2 concentrations, and higher CO2 levels had no significant effect on inorganic nutrient uptake. Results from this mesocosm experiment showed that variations in the carbon isotopic signature of the carbon pools depend on both physical (air-sea exchange) and biological (community composition) drivers opening the door to new approaches for investigations of carbon cycling in marine ecosystems.</t>
  </si>
  <si>
    <t>[Esposito, Mario; Achterberg, Eric P.; Bach, Lennart T.; Riebesell, Ulf; Toucher, Jan] GEOMAR Helmholtz Ctr Ocean Res Kiel, Biol Oceanog, Marine Biogeochem, Kiel, Germany; [Esposito, Mario; Achterberg, Eric P.; Connelly, Douglas P.] Natl Oceanog Ctr Southampton, Southampton, Hants, England; [Bach, Lennart T.] Univ Tasmania, Inst Marine &amp; Antarctic Studies, Hobart, Tas, Australia</t>
  </si>
  <si>
    <t>Helmholtz Association; GEOMAR Helmholtz Center for Ocean Research Kiel; University of Southampton; NERC National Oceanography Centre; University of Tasmania</t>
  </si>
  <si>
    <t>Esposito, M (corresponding author), GEOMAR Helmholtz Ctr Ocean Res Kiel, Biol Oceanog, Marine Biogeochem, Kiel, Germany.;Esposito, M (corresponding author), Natl Oceanog Ctr Southampton, Southampton, Hants, England.</t>
  </si>
  <si>
    <t>mesposito@geomar.de</t>
  </si>
  <si>
    <t>Achterberg, Eric P/C-5820-2009; Riebesell, Ulf/AAC-9717-2020</t>
  </si>
  <si>
    <t>Bach, Lennart/0000-0003-0202-3671; Taucher, Jan/0000-0001-9944-0775</t>
  </si>
  <si>
    <t>German Federal Ministry of Education and Research (BMBF) [FKZ 03F06550]; Leibniz Award 2012 by the German Research Foundation (DFG); Natural Environment Research Council as part of the UK Ocean Acidification Programme [NE/H017348/1]; NERC [noc010011] Funding Source: UKRI</t>
  </si>
  <si>
    <t>German Federal Ministry of Education and Research (BMBF)(Federal Ministry of Education &amp; Research (BMBF)); Leibniz Award 2012 by the German Research Foundation (DFG)(German Research Foundation (DFG)); Natural Environment Research Council as part of the UK Ocean Acidification Programme; NERC(UK Research &amp; Innovation (UKRI)Natural Environment Research Council (NERC))</t>
  </si>
  <si>
    <t>The mesocosm project was funded by the German Federal Ministry of Education and Research (BMBF) in the framework of the coordinated project BIOACID-Biological Impacts of Ocean Acidification, phase 2 (FKZ 03F06550). UR received additional funding from the Leibniz Award 2012 by the German Research Foundation (DFG). Financial support for the stable carbon isotope study was provided by the Natural Environment Research Council as part of the UK Ocean Acidification Programme (NE/H017348/1).</t>
  </si>
  <si>
    <t>10.3389/fmars.2019.00616</t>
  </si>
  <si>
    <t>JB4SN</t>
  </si>
  <si>
    <t>WOS:000488549400001</t>
  </si>
  <si>
    <t>Testor, P; de Young, B; Rudnick, DL; Glenn, S; Hayes, D; Lee, CM; Pattiaratchi, C; Hill, K; Heslop, E; Turpin, V; Alenius, P; Barrera, C; Barth, JA; Beaird, N; Bécu, G; Bosse, A; Bourrin, F; Brearley, JA; Chao, Y; Chen, S; Chiggiato, J; Coppola, L; Crout, R; Cummings, J; Curry, B; Curry, R; Davis, R; Desai, K; DiMarco, S; Edwards, C; Fielding, S; Fer, I; Frajka-Williams, E; Gildor, H; Goni, G; Gutierrez, D; Haugan, P; Hebert, D; Heiderich, J; Henson, S; Heywood, K; Hogan, P; Houpert, L; Huh, S; Inall, ME; Ishii, M; Ito, S; Itoh, S; Jan, S; Kaiser, J; Karstensen, J; Kirkpatrick, B; Klymak, J; Kohut, J; Krahmann, G; Krug, M; McClatchie, S; Marin, F; Mauri, E; Mehra, A; Meredith, MP; Meunier, T; Miles, T; Morell, JM; Mortier, L; Nicholson, S; O'Callaghan, J; O'Conchubhair, D; Oke, P; Pallàs-Sanz, E; Palmer, M; Park, J; Perivoliotis, L; Poulain, PM; Perry, R; Queste, B; Rainville, L; Rehm, E; Roughan, M; Rome, N; Ross, T; Ruiz, S; Saba, G; Schaeffer, A; Schönau, M; Schroeder, K; Shimizu, Y; Sloyan, BM; Smeed, D; Snowden, D; Song, YM; Swart, S; Tenreiro, M; Thompson, A; Tintore, J; Todd, RE; Toro, C; Venables, H; Wagawa, T; Waterman, S; Watlington, RA; Wilson, D</t>
  </si>
  <si>
    <t>Testor, Pierre; de Young, Brad; Rudnick, Daniel L.; Glenn, Scott; Hayes, Daniel; Lee, Craig M.; Pattiaratchi, Charitha; Hill, Katherine; Heslop, Emma; Turpin, Victor; Alenius, Pekka; Barrera, Carlos; Barth, John A.; Beaird, Nicholas; Becu, Guislain; Bosse, Anthony; Bourrin, Francois; Brearley, J. Alexander; Chao, Yi; Chen, Sue; Chiggiato, Jacopo; Coppola, Laurent; Crout, Richard; Cummings, James; Curry, Beth; Curry, Ruth; Davis, Richard; Desai, Kruti; DiMarco, Steve; Edwards, Catherine; Fielding, Sophie; Fer, Ilker; Frajka-Williams, Eleanor; Gildor, Hezi; Goni, Gustavo; Gutierrez, Dimitri; Haugan, Peter; Hebert, David; Heiderich, Joleen; Henson, Stephanie; Heywood, Karen; Hogan, Patrick; Houpert, Loic; Huh, Sik; Inall, Mark E.; Ishii, Masso; Ito, Shin-ichi; Itoh, Sachihiko; Jan, Sen; Kaiser, Jan; Karstensen, Johannes; Kirkpatrick, Barbara; Klymak, Jody; Kohut, Josh; Krahmann, Gerd; Krug, Marjolaine; McClatchie, Sam; Marin, Frederic; Mauri, Elena; Mehra, Avichal; Meredith, Michael P.; Meunier, Thomas; Miles, Travis; Morell, Julio M.; Mortier, Laurent; Nicholson, Sarah; O'Callaghan, Joanne; O'Conchubhair, Diarmuid; Oke, Peter; Pallas-Sanz, Enric; Palmer, Matthew; Park, JongJin; Perivoliotis, Leonidas; Poulain, Pierre-Marie; Perry, Ruth; Queste, Bastien; Rainville, Luc; Rehm, Eric; Roughan, Moninya; Rome, Nicholas; Ross, Tetjana; Ruiz, Simon; Saba, Grace; Schaeffer, Amandine; Schonau, Martha; Schroeder, Katrin; Shimizu, Yugo; Sloyan, Bernadette M.; Smeed, David; Snowden, Derrick; Song, Yumi; Swart, Sebastian; Tenreiro, Miguel; Thompson, Andrew; Tintore, Joaquin; Todd, Robert E.; Toro, Cesar; Venables, Hugh; Wagawa, Taku; Waterman, Stephanie; Watlington, Roy A.; Wilson, Doug</t>
  </si>
  <si>
    <t>OceanGliders: A Component of the Integrated GOOS</t>
  </si>
  <si>
    <t>in situ ocean observing systems; gliders; boundary currents; storms; water transformation; ocean data management; autonomous oceanic platforms; GOOS</t>
  </si>
  <si>
    <t>CALIFORNIA CURRENT SYSTEM; STRATIFIED COASTAL OCEAN; WATER-MASS PROPERTIES; MIXED-LAYER DEPTH; NORTHWESTERN MEDITERRANEAN SEA; TURBULENT KINETIC-ENERGY; WESTERN BOUNDARY CURRENT; NET COMMUNITY PRODUCTION; GLIDER DATA ASSIMILATION; OXYGEN MINIMUM ZONE</t>
  </si>
  <si>
    <t>The OceanGliders program started in 2016 to support active coordination and enhancement of global glider activity. OceanGliders contributes to the international efforts of the Global Ocean Observation System (GOOS) for Climate, Ocean Health, and Operational Services. It brings together marine scientists and engineers operating gliders around the world: (1) to observe the long-term physical, biogeochemical, and biological ocean processes and phenomena that are relevant for societal applications; and, (2) to contribute to the GOOS through real-time and delayed mode data dissemination. The OceanGliders program is distributed across national and regional observing systems and significantly contributes to integrated, multi-scale and multi-platform sampling strategies. OceanGliders shares best practices, requirements, and scientific knowledge needed for glider operations, data collection and analysis. It also monitors global glider activity and supports the dissemination of glider data through regional and global databases, in real-time and delayed modes, facilitating data access to the wider community. OceanGliders currently supports national, regional and global initiatives to maintain and expand the capabilities and application of gliders to meet key global challenges such as improved measurement of ocean boundary currents, water transformation and storm forecast.</t>
  </si>
  <si>
    <t>[Testor, Pierre; Turpin, Victor] Univ Paris 06, IPSL, UMR 7159,CNRS IRD MNHN,Paris 06,Observ Ecce Terra, CNRS,Sorbonne Univ,Lab Oceanog &amp; Climatol LOCEAN, Paris, France; [de Young, Brad] Mem Univ Newfoundland, Mem Univ, Dept Phys &amp; Phys Oceanog, St John, NF, Canada; [Rudnick, Daniel L.] Scripps Inst Oceanog, San Diego, CA USA; [Glenn, Scott; Beaird, Nicholas; Kohut, Josh; Miles, Travis; Saba, Grace] Rutgers State Univ, Dept Marine &amp; Coastal Sci, New Brunswick, NJ USA; [Hayes, Daniel] Univ Cyprus OC UCY, Oceanog Ctr, Nicosia, Cyprus; [Lee, Craig M.; Curry, Beth; Rainville, Luc] Univ Washington, Appl Phys Lab, Seattle, WA 98105 USA; [Pattiaratchi, Charitha] Univ Western Australia, Oceans Grad Sch, Perth, WA, Australia; [Hill, Katherine] World Meteorol Org, Geneva, Switzerland; [Heslop, Emma] UNESCO, Paris, France; [Alenius, Pekka] Finnish Meteorol Inst, Helsinki, Finland; [Barrera, Carlos] Ocean Platform Canary Isl, Telde, Spain; [Barth, John A.] Oregon State Univ, Coll Earth Ocean &amp; Atmospher Sci, Corvallis, OR 97331 USA; [Becu, Guislain; Rehm, Eric] Takuvik, Quebec City, PQ, Canada; [Bosse, Anthony; Fer, Ilker; Haugan, Peter] Univ Bergen, Geophys Inst, Bergen, Norway; [Bourrin, Francois] CEFREM, Perpignan, France; [Brearley, J. Alexander; Fielding, Sophie; Meredith, Michael P.; Venables, Hugh] British Antarctic Survey, Cambridge, England; [Chao, Yi] Seatrec, Monrovia, CA USA; [Chen, Sue; Cummings, James] Naval Res Lab, Monterey, CA USA; [Chiggiato, Jacopo; Schroeder, Katrin] CNR, Inst Marine Sci ISMAR, Venice, Italy; [Coppola, Laurent] Sorbonne Univ, LOV, Inst Mer Villefranche IMEV, UMR7093,CNRS, Villefranche Sur Mer, France; [Crout, Richard] Naval Res Lab, Stennis, MS USA; [Curry, Ruth] Bermuda Inst Ocean Sci, St George, Bermuda; [Davis, Richard] Dalhousie Univ, Dept Oceanog, Halifax, NS, Canada; [Desai, Kruti; Rome, Nicholas] OceanLeadership, Washington, DC USA; [DiMarco, Steve] Texas A&amp;M Univ, Dept Oceanog, College Stn, TX 77843 USA; [Edwards, Catherine] Univ Georgia, Skidaway Inst Oceanog, Athens, GA 30602 USA; [Frajka-Williams, Eleanor; Henson, Stephanie; Houpert, Loic; Palmer, Matthew; Smeed, David] Natl Oceanog Ctr, Southampton, Hants, England; [Gildor, Hezi] Hebrew Univ Jerusalem, Inst Earth Sci, Jerusalem, Israel; [Goni, Gustavo] NOAA, Atlantic Oceanog &amp; Meteorol Lab, Miami, FL 33149 USA; [Gutierrez, Dimitri] Inst Sea Peru, Callao, Peru; [Haugan, Peter] Inst Marine Res, Bergen, Norway; [Hebert, David] Bedford Inst Oceanog, Dept Fisheries &amp; Oceans, Dartmouth, NS, Canada; [Heiderich, Joleen] MIT, 77 Massachusetts Ave, Cambridge, MA 02139 USA; [Heiderich, Joleen; Todd, Robert E.] Woods Hole Oceanog Inst, Woods Hole, MA 02543 USA; [Heywood, Karen; Kaiser, Jan; Queste, Bastien] Univ East Anglia, Ctr Ocean &amp; Atmospher Sci, Sch Environm Sci, Norwich, Norfolk, England; [Hogan, Patrick] US Naval Res Lab, Washington, DC USA; [Houpert, Loic; Inall, Mark E.] Scottish Assoc Marine Sci, Oban, Argyll, Scotland; [Huh, Sik] Korea Inst Ocean Sci &amp; Technol, Ansan, South Korea; [Ishii, Masso] Meteorol Res Inst, Tsukuba, Ibaraki, Japan; [Ito, Shin-ichi; Itoh, Sachihiko] Univ Tokyo, Atmosphere &amp; Ocean Res Inst, Chiba, Japan; [Jan, Sen] Natl Taiwan Univ, Inst Oceanog, Taipei, Taiwan; [Karstensen, Johannes; Krahmann, Gerd] GEOMAR Helmholtz Ctr Ocean Res Kiel, Kiel, Germany; [Kirkpatrick, Barbara] Gulf Mexico Coastal Ocean Observing Syst, College Stn, TX USA; [Klymak, Jody] Univ Victoria, Ocean Phys Grp, Victoria, BC, Canada; [Krug, Marjolaine; Nicholson, Sarah] CSIR, Cape Town, South Africa; [McClatchie, Sam] FishOcean Enterprises, Auckland, New Zealand; [Marin, Frederic] LEGOS IRD, Toulouse, France; [Mauri, Elena] Ist Nazl Oceanog &amp; Geofis Sperimentale, Trieste, Italy; [Mehra, Avichal] NOAA, Natl Ctr Environm Predict, College Pk, MD USA; [Meunier, Thomas; Pallas-Sanz, Enric; Tenreiro, Miguel] Ensenada Ctr Sci Res &amp; Higher Educ, Ensenada, Baja California, Mexico; [Morell, Julio M.] Univ Puerto Rico, Dept Marine Sci, Mayaguez, PR 00709 USA; [Mortier, Laurent] ENSTA LOCEAN, Palaiseau, France; [O'Callaghan, Joanne] Natl Inst Water &amp; Atmospher Res, Wellington, New Zealand; [O'Conchubhair, Diarmuid] Marine Inst, Galway, Ireland; [Oke, Peter; Sloyan, Bernadette M.] CSIRO, Oceans &amp; Atmosphere, Hobart, Tas, Australia; [Park, JongJin; Song, Yumi] KUGON, Kyungpook, South Korea; [Perivoliotis, Leonidas] Hellen Ctr Marine Res, Iraklion, Greece; [Poulain, Pierre-Marie] Ctr Maritime Res &amp; Expt, La Spezia, Italy; [Perry, Ruth] Shell, Houston, TX USA; [Roughan, Moninya; Schaeffer, Amandine] Univ New South Wales, Sch Math &amp; Stat, Sydney, NSW, Australia; [Ross, Tetjana] Inst Ocean Sci, Dept Fisheries &amp; Oceans, Sidney, BC, Canada; [Ruiz, Simon] CSIC UIB, Inst Mediterraneo Estudios Avanzados, Esporles, Spain; [Schonau, Martha; Shimizu, Yugo] Appl Ocean Sci, Fairfax Stn, VA USA; [Snowden, Derrick] NOAA, Washington, DC USA; [Swart, Sebastian] Univ Gothenburg, Dept Marine Sci, Gothenburg, Sweden; [Swart, Sebastian] Univ Cape Town, Dept Oceanog, Cape Town, South Africa; [Thompson, Andrew] CALTECH, Pasadena, CA 91125 USA; [Tintore, Joaquin] SOCIB, Palma De Mallorca, Spain; [Tintore, Joaquin] IMEDEA CSIC UIB, Palma De Mallorca, Spain; [Toro, Cesar] IOCARIBE, IOC UNESCO, Paris, France; [Wagawa, Taku] Japan Fisheries Res &amp; Educ Agcy, Yokohama, Kanagawa, Japan; [Waterman, Stephanie] Univ British Columbia, Dept Earth Ocean &amp; Atmospher Sci, Vancouver, BC, Canada; [Watlington, Roy A.; Wilson, Doug] Caribbean Coastal Ocean Observing Syst, Mayaguez, PR USA</t>
  </si>
  <si>
    <t>Sorbonne Universite; Centre National de la Recherche Scientifique (CNRS); CNRS - National Institute for Earth Sciences &amp; Astronomy (INSU); Universite Paris Cite; Institut de Recherche pour le Developpement (IRD); Museum National d'Histoire Naturelle (MNHN); Memorial University Newfoundland; University of California System; University of California San Diego; Scripps Institution of Oceanography; Rutgers University System; Rutgers University New Brunswick; University of Washington; University of Washington Seattle; University of Western Australia; Finnish Meteorological Institute; Oregon State University; University of Bergen; Centre National de la Recherche Scientifique (CNRS); Universite Perpignan Via Domitia; UK Research &amp; Innovation (UKRI); Natural Environment Research Council (NERC); NERC British Antarctic Survey; United States Department of Defense; United States Navy; Naval Research Laboratory; Consiglio Nazionale delle Ricerche (CNR); Istituto di Scienze Marine (ISMAR-CNR); Centre National de la Recherche Scientifique (CNRS); CNRS - National Institute for Earth Sciences &amp; Astronomy (INSU); Sorbonne Universite; United States Department of Defense; United States Navy; Naval Research Laboratory; Bermuda Institute of Ocean Sciences; Dalhousie University; Texas A&amp;M University System; Texas A&amp;M University College Station; University System of Georgia; University of Georgia; Skidaway Institute of Oceanography; NERC National Oceanography Centre; Hebrew University of Jerusalem; National Oceanic Atmospheric Admin (NOAA) - USA; Atlantic Oceanographic &amp; Meteorological Laboratory (AOML); Instituto del Mar del Peru; Institute of Marine Research - Norway; Bedford Institute of Oceanography; Fisheries &amp; Oceans Canada; Massachusetts Institute of Technology (MIT); Woods Hole Oceanographic Institution; University of East Anglia; United States Department of Defense; United States Navy; Naval Research Laboratory; UHI Millennium Institute; Korea Institute of Ocean Science &amp; Technology (KIOST); Meteorological Research Institute - Japan; University of Tokyo; National Taiwan University; Helmholtz Association; GEOMAR Helmholtz Center for Ocean Research Kiel; University of Victoria; Council for Scientific &amp; Industrial Research (CSIR) - South Africa; Universite de Toulouse; Universite Toulouse III - Paul Sabatier; Centre National de la Recherche Scientifique (CNRS); Institut de Recherche pour le Developpement (IRD); Laboratoire d'Etudes en Geophysique et oceanographie spatiales; Istituto Nazionale di Oceanografia e di Geofisica Sperimentale; National Oceanic Atmospheric Admin (NOAA) - USA; University of Puerto Rico; University of Puerto Rico Mayaguez; National Institute of Water &amp; Atmospheric Research (NIWA) - New Zealand; Marine Institute Ireland; Commonwealth Scientific &amp; Industrial Research Organisation (CSIRO); Hellenic Centre for Marine Research; Royal Dutch Shell; University of New South Wales Sydney; Fisheries &amp; Oceans Canada; University of Barcelona; Consejo Superior de Investigaciones Cientificas (CSIC); Universitat de les Illes Balears; National Oceanic Atmospheric Admin (NOAA) - USA; University of Gothenburg; University of Cape Town; California Institute of Technology; Consejo Superior de Investigaciones Cientificas (CSIC); ATTITUS Educacao; Universitat de les Illes Balears; Japan Fisheries Research &amp; Education Agency (FRA); University of British Columbia</t>
  </si>
  <si>
    <t>Testor, P (corresponding author), Univ Paris 06, IPSL, UMR 7159,CNRS IRD MNHN,Paris 06,Observ Ecce Terra, CNRS,Sorbonne Univ,Lab Oceanog &amp; Climatol LOCEAN, Paris, France.</t>
  </si>
  <si>
    <t>testor@locean-ipsl.upmc.fr</t>
  </si>
  <si>
    <t>Goni, Gustavo J/D-2017-2012; Coppola, Laurent/F-7880-2017; Ruiz, Simon/N-9164-2019; Todd, Robert/GWM-4486-2022; Smeed, David/B-4726-2012; Klymak, Jody M/A-3041-2008; Karstensen, Johannes/A-8534-2013; Henson, Stephanie/AAC-9709-2019; Fielding, Sophie/E-5137-2012; Ross, Tetjana/E-4073-2010; Houpert, Loïc/A-4841-2012; Waterman, Stephanie/AAY-6033-2020; Kaiser, Jan/D-3327-2009; Sanz, Enric Pallàs/I-1451-2015; Frajka-Williams, Eleanor/H-2415-2011; Schaeffer, Amandine/AAW-5476-2021; Mauri, Elena/AAL-7962-2020; Nicholson, Sarah-Anne/AAN-2655-2021; Oke, Peter R/C-5127-2011; Ito, Shin-ichi/E-2981-2012; Bosse, Anthony/P-1835-2016; François, Bourrin/F-4909-2010; Rudnick, Daniel L/J-8948-2016; Park, JongJin/CAF-2397-2022; Park, JongJin/CAE-9286-2022; Fer, Ilker/C-7820-2012; Chiggiato, Jacopo/AAW-5399-2020; Sloyan, Bernadette/N-8989-2014; Todd, Robert E/T-3536-2018; Schroeder, Katrin/C-7490-2009; Gildor, Hezi/AAZ-6602-2021; Inall, Mark E/I-4835-2014; Miles, Travis/L-7918-2013; Pattiaratchi, Charitha/E-6916-2011; Roughan, Moninya/B-5563-2009; Tenreiro, M./F-4453-2018</t>
  </si>
  <si>
    <t>Coppola, Laurent/0000-0003-0473-1129; Ruiz, Simon/0000-0002-9395-9370; Smeed, David/0000-0003-1740-1778; Klymak, Jody M/0000-0003-4612-8600; Karstensen, Johannes/0000-0001-5044-7079; Houpert, Loïc/0000-0001-8750-5631; Waterman, Stephanie/0000-0001-5797-1092; Kaiser, Jan/0000-0002-1553-4043; Frajka-Williams, Eleanor/0000-0001-8773-7838; Schaeffer, Amandine/0000-0002-8320-4951; Mauri, Elena/0000-0001-9602-0628; Nicholson, Sarah-Anne/0000-0002-1226-1828; Ito, Shin-ichi/0000-0002-3635-2580; Bosse, Anthony/0000-0001-6968-3805; Rudnick, Daniel L/0000-0002-2624-7074; Park, JongJin/0000-0002-5756-9498; Park, JongJin/0000-0002-5756-9498; Fer, Ilker/0000-0002-2427-2532; Chiggiato, Jacopo/0000-0002-0998-6473; Sloyan, Bernadette/0000-0003-0250-0167; Todd, Robert E/0000-0002-6854-7729; Schroeder, Katrin/0000-0001-7991-9121; Gildor, Hezi/0000-0003-0898-6292; Miles, Travis/0000-0003-1992-0248; Meredith, Michael/0000-0002-7342-7756; Edwards, Catherine/0000-0001-6486-0948; Krug, Marjolaine/0000-0002-5719-3240; Snowden, Derrick/0000-0002-2540-8630; Wilson, William Douglas/0000-0003-1969-7517; Itoh, Sachihiko/0000-0001-5995-1925; Pattiaratchi, Charitha/0000-0003-2229-6183; Hayes, Daniel/0000-0003-0141-9973; Roughan, Moninya/0000-0003-3825-7533; Tenreiro, M./0000-0002-2228-2753; /0000-0002-5347-8329; Rehm, Eric/0000-0002-8417-538X; Tintore, Joaquin/0000-0002-6311-0093</t>
  </si>
  <si>
    <t>EU Horizon 2020 AtlantOS project [633211]; WMO/IOC JCOMM-OCG; JCOMMOPS; AlterEco; ANR; CFI; CIGOM; CLASS Ellet Array; CNES; CNRS/INSU; CONACyT; CSIRO; DEFRA; DFO; DGA; DSTL; ERC; FCO; FP7; H2020 Europen Commission; HIMIOFoTS; Ifremer; IMOS; IMS; IOOS; IPEV; IRD; Israel MOST; JSPS; MEOPAR; NASA; NAVOCEANO (Navy); NERC; NFR; NJDEP; NOAA; NRC; NSF; NSERC; ONR; OSNAP; Taiwan MOST; SANAP-NRF; SENER; SIMS; Shell Exploration and Production Company; Sorbonne Universite; SSB; UKRI; UNSW; Vettleson; Wallenberg Academy Fellowship; WWF; NRL; [DFG/SFB754]; NERC [bas0100033, NE/K010875/1, NE/R015953/1, NE/L011166/1, NE/N001745/1, noc010009, NE/N001745/3, NE/N001745/2] Funding Source: UKRI</t>
  </si>
  <si>
    <t>EU Horizon 2020 AtlantOS project(Horizon 2020); WMO/IOC JCOMM-OCG; JCOMMOPS; AlterEco; ANR(Agence Nationale de la Recherche (ANR)); CFI(Canada Foundation for Innovation); CIGOM; CLASS Ellet Array; CNES(Centre National D'etudes Spatiales); CNRS/INSU(Centre National de la Recherche Scientifique (CNRS)); CONACyT(Consejo Nacional de Ciencia y Tecnologia (CONACyT)); CSIRO(Commonwealth Scientific &amp; Industrial Research Organisation (CSIRO)); DEFRA(Department for Environment, Food &amp; Rural Affairs (DEFRA)); DFO; DGA; DSTL; ERC(European Research Council (ERC)); FCO; FP7; H2020 Europen Commission(Horizon 2020); HIMIOFoTS; Ifremer; IMOS; IMS; IOOS; IPEV; IRD; Israel MOST; JSPS(Ministry of Education, Culture, Sports, Science and Technology, Japan (MEXT)Japan Society for the Promotion of Science); MEOPAR; NASA(National Aeronautics &amp; Space Administration (NASA)); NAVOCEANO (Navy); NERC(UK Research &amp; Innovation (UKRI)Natural Environment Research Council (NERC)); NFR(Research Council of Norway); NJDEP; NOAA(National Oceanic Atmospheric Admin (NOAA) - USA); NRC(National Research Centre (NRC)); NSF(National Science Foundation (NSF)); NSERC(Natural Sciences and Engineering Research Council of Canada (NSERC)); ONR(Office of Naval Research); OSNAP; Taiwan MOST; SANAP-NRF; SENER; SIMS; Shell Exploration and Production Company; Sorbonne Universite; SSB; UKRI(UK Research &amp; Innovation (UKRI)); UNSW; Vettleson; Wallenberg Academy Fellowship; WWF; NRL; ; NERC(UK Research &amp; Innovation (UKRI)Natural Environment Research Council (NERC))</t>
  </si>
  <si>
    <t>The editorial team would like to recognize the support of the global glider community to this paper. Our requests for data and information were met with enthusiasm and welcome contributions from around the globe, clearly demonstrating to us a point made in this paper that there are many active and dedicated teams of glider operators and users. We should also acknowledge the support that OceanGliders has received from the WMO/IOC JCOMM-OCG and JCOMMOPS that have allowed this program to develop, encouraging us to articulate a vision for the role of gliders in the GOOS. We acknowledge support from the EU Horizon 2020 AtlantOS project funded under grant agreement No. 633211 and gratefully acknowledge themany agencies and programs that have supported underwater gliders: AlterEco, ANR, CFI, CIGOM, CLASS Ellet Array, CNES, CNRS/INSU, CONACyT, CSIRO, DEFRA, DFG/SFB754, DFO, DGA, DSTL, ERC, FCO, FP7, and H2020 Europen Commission, HIMIOFoTS, Ifremer, IMOS, IMS, IOOS, IPEV, IRD, Israel MOST, JSPS, MEOPAR, NASA, NAVOCEANO (Navy), NERC, NFR, NJDEP, NOAA, NRC, NRL, NSF, NSERC, ONR, OSNAP, Taiwan MOST, SANAP-NRF, SENER, SIMS, Shell Exploration and Production Company, Sorbonne Universite, SSB, UKRI, UNSW, Vettleson, Wallenberg Academy Fellowship, and WWF.</t>
  </si>
  <si>
    <t>10.3389/fmars.2019.00422</t>
  </si>
  <si>
    <t>JB4RL</t>
  </si>
  <si>
    <t>Green Published, Green Accepted, gold, Green Submitted</t>
  </si>
  <si>
    <t>WOS:000488546400001</t>
  </si>
  <si>
    <t>Bessa, F; Ratcliffe, N; Otero, V; Sobral, P; Marques, JC; Waluda, CM; Trathan, PN; Xavier, JC</t>
  </si>
  <si>
    <t>Bessa, Filipa; Ratcliffe, Norman; Otero, Vanessa; Sobral, Paula; Marques, Joao C.; Waluda, Claire M.; Trathan, Phil N.; Xavier, Jose C.</t>
  </si>
  <si>
    <t>Microplastics in gentoo penguins from the Antarctic region</t>
  </si>
  <si>
    <t>FUR SEALS; ROSS SEA; MARINE; CONTAMINATION; ACCUMULATION; ORGANISMS; DISPERSAL; INGESTION; SEDIMENTS; POLLUTION</t>
  </si>
  <si>
    <t>There is growing evidence that microplastic pollution (&lt;5 mm in size) is now present in virtually all marine ecosystems, even in remote areas, such as the Arctic and the Antarctic. Microplastics have been found in water and sediments of the Antarctic but little is known of their ingestion by higher predators and mechanisms of their entry into Antarctic marine food webs. The goal of this study was to assess the occurrence of microplastics in a top predator, the gentoo penguin Pygoscelis papua from the Antarctic region (Bird Island, South Georgia and Signy Island, South Orkney Islands) and hence assess the potential for microplastic transfer through Antarctic marine food webs. To achieve this, the presence of microplastics in scats (as a proof of ingestion) was investigated to assess the viability of a non-invasive approach for microplastic analyses in Antarctic penguins. A total of 80 penguin scats were collected and any microplastics they contained were extracted. A total of 20% of penguin scats from both islands contained microplastics, consisting mainly of fibers and fragments with different sizes and polymer composition (mean abundance of microplastics: 0.23 +/- 0.53 items individual(-1) scat, comprising seven different polymers), which were lower values than those found for seabirds in other regions worldwide. No significant differences in microplastic numbers in penguin scats between the two regions were detected. These data highlight the need for further assessment of the levels of microplastics in this sensitive region of the planet, specifically studies on temporal trends and potential effects on penguins and other organisms in the Antarctic marine food web.</t>
  </si>
  <si>
    <t>[Bessa, Filipa; Ratcliffe, Norman; Marques, Joao C.; Xavier, Jose C.] Univ Coimbra, Fac Ciencias &amp; Tecnol, Dept Ciencias Vida, MARE Marine &amp; Environm Sci Ctr, P-3000456 Coimbra, Portugal; [Ratcliffe, Norman; Waluda, Claire M.; Trathan, Phil N.; Xavier, Jose C.] British Antarctic Survey, Nat Environm Res Council, High Cross,Madingley Rd, Cambridge CB3 0ET, England; [Otero, Vanessa] Univ Nova Lisboa, Fac Ciencias &amp; Tecnol, Dept Conservat &amp; Restorat, P-2829516 Monte De Caparica, Portugal; [Otero, Vanessa] Univ Nova Lisboa, Fac Ciencias &amp; Tecnol, LAQV REQUIMTE, P-2829516 Monte De Caparica, Portugal; [Sobral, Paula] Univ Nova Lisboa, Fac Ciencias &amp; Tecnol, MARE NOVA, Campus Caparica, P-2829516 Caparica, Portugal</t>
  </si>
  <si>
    <t>Universidade de Coimbra; UK Research &amp; Innovation (UKRI); Natural Environment Research Council (NERC); NERC British Antarctic Survey; Universidade Nova de Lisboa; Universidade Nova de Lisboa; Universidade Nova de Lisboa</t>
  </si>
  <si>
    <t>Bessa, F (corresponding author), Univ Coimbra, Fac Ciencias &amp; Tecnol, Dept Ciencias Vida, MARE Marine &amp; Environm Sci Ctr, P-3000456 Coimbra, Portugal.</t>
  </si>
  <si>
    <t>afbessa@uc.pt</t>
  </si>
  <si>
    <t>Bessa, Filipa/E-4941-2014; Sobral, Paula/ABD-9206-2020; Otero, Vanessa/M-1934-2017; Xavier, José/KFB-6739-2024</t>
  </si>
  <si>
    <t>Bessa, Filipa/0000-0002-6602-3710; Sobral, Paula/0000-0003-0834-6789; Otero, Vanessa/0000-0003-2336-0773; /0000-0002-9621-6660</t>
  </si>
  <si>
    <t>Fundacao para a Ciencia e Tecnologia (FCT, Portugal) [UID/MAR/04292/2019, SFRH/BPD/99747/2014]; University of Coimbra [IT057-18-7252]; NERC [bas0100035] Funding Source: UKRI</t>
  </si>
  <si>
    <t>Fundacao para a Ciencia e Tecnologia (FCT, Portugal)(Fundacao para a Ciencia e a Tecnologia (FCT)); University of Coimbra; NERC(UK Research &amp; Innovation (UKRI)Natural Environment Research Council (NERC))</t>
  </si>
  <si>
    <t>FB acknowledges the financial support received from Fundacao para a Ciencia e Tecnologia (FCT, Portugal) through the strategic project UID/MAR/04292/2019, granted to MARE and through a post-doc scholarship grant (SFRH/BPD/99747/2014) and the contract with the University of Coimbra (IT057-18-7252). This work is part of the monitoring long-term project BAS-CEPH and SCAR Ant-ERA, SCAR EGBAMM and ICED research programs. The authors also acknowledge Derren Fox for the collection of samples in Signy Island and Laura Gerrish of the BAS Mapping And Geographic Information Centre (MAGIC) for producing Figure 1.</t>
  </si>
  <si>
    <t>10.1038/s41598-019-50621-2</t>
  </si>
  <si>
    <t>JB3UF</t>
  </si>
  <si>
    <t>WOS:000488481500054</t>
  </si>
  <si>
    <t>Ford, MP; Lai, HK; Samaee, M; Santhanakrishnan, A</t>
  </si>
  <si>
    <t>Ford, Mitchell P.; Lai, Hong Kuan; Samaee, Milad; Santhanakrishnan, Arvind</t>
  </si>
  <si>
    <t>Hydrodynamics of metachronal paddling: effects of varying Reynolds number and phase lag</t>
  </si>
  <si>
    <t>metachronal paddling; rowing; crustacean swimming; drag-based propulsion; aquatic locomotion</t>
  </si>
  <si>
    <t>ANTARCTIC KRILL; FLOW-FIELD; KINEMATICS; COORDINATION; LOCOMOTION</t>
  </si>
  <si>
    <t>Negatively buoyant freely swimming crustaceans such as krill must generate downward momentum in order to maintain their position in the water column. These animals use a drag-based propulsion strategy, where pairs of closely spaced swimming limbs are oscillated rhythmically from the tail to head. Each pair is oscillated with a phase delay relative to the neighbouring pair, resulting in a metachronal wave travelling in the direction of animal motion. It remains unclear how oscillations of limbs in the horizontal plane can generate vertical momentum. Using particle image velocimetry measurements on a robotic model, we observed that metachronal paddling with non-zero phase lag created geometries of adjacent paddles that promote the formation of counter-rotating vortices. The interaction of these vortices resulted in generating large-scale angled downward jets. Increasing phase lag resulted in more vertical orientation of the jet, and phase lags in the range used by Antarctic krill produced the most total momentum. Synchronous paddling produced lower total momentum when compared with metachronal paddling. Lowering Reynolds number by an order of magnitude below the range of adult krill (250-1000) showed diminished downward propagation of the jet and lower vertical momentum. Our findings show that metachronal paddling is capable of producing flows that can generate both lift (vertical) and thrust (horizontal) forces needed for fast forward swimming and hovering.</t>
  </si>
  <si>
    <t>[Ford, Mitchell P.; Lai, Hong Kuan; Samaee, Milad; Santhanakrishnan, Arvind] Oklahoma State Univ, Sch Mech &amp; Aerosp Engn, Stillwater, OK 74078 USA</t>
  </si>
  <si>
    <t>Oklahoma State University System; Oklahoma State University - Stillwater</t>
  </si>
  <si>
    <t>Santhanakrishnan, A (corresponding author), Oklahoma State Univ, Sch Mech &amp; Aerosp Engn, Stillwater, OK 74078 USA.</t>
  </si>
  <si>
    <t>askrish@okstate.edu</t>
  </si>
  <si>
    <t>Samaee, Milad/AAU-5522-2021</t>
  </si>
  <si>
    <t>Ford, Mitchell/0000-0001-9746-0238; Santhanakrishnan, Arvind/0000-0003-1800-8361</t>
  </si>
  <si>
    <t>National Science Foundation [CBET 1706762, CBET 1512071]</t>
  </si>
  <si>
    <t>This work was supported by the National Science Foundation (grant nos. CBET 1706762 and CBET 1512071 to A.S.).</t>
  </si>
  <si>
    <t>10.1098/rsos.191387</t>
  </si>
  <si>
    <t>KH1UG</t>
  </si>
  <si>
    <t>WOS:000510431100060</t>
  </si>
  <si>
    <t>Mays, HL; Oehler, DA; Morrison, KW; Morales, AE; Lycans, A; Perdue, J; Battley, PF; Cherel, Y; Chilvers, BL; Crofts, S; Demongin, L; Fry, WR; Hiscock, J; Kusch, A; Marin, M; Poisbleau, M; Quillfeldt, P; Rey, AR; Steinfurth, A; Thompson, DR; Weakley, LA</t>
  </si>
  <si>
    <t>Mays, Herman L., Jr.; Oehler, David A.; Morrison, Kyle W.; Morales, Ariadna E.; Lycans, Alyssa; Perdue, Justin; Battley, Phil F.; Cherel, Yves; Chilvers, B. Louise; Crofts, Sarah; Demongin, Laurent; Fry, W. Roger; Hiscock, Jo; Kusch, Alejandro; Marin, Manuel; Poisbleau, Maud; Quillfeldt, Petra; Raya Rey, Andrea; Steinfurth, Antje; Thompson, David R.; Weakley, Leonard A.</t>
  </si>
  <si>
    <t>Phylogeography, Population Structure, and Species Delimitation in Rockhopper Penguins (Eudyptes chrysocome and Eudyptes moseleyi)</t>
  </si>
  <si>
    <t>JOURNAL OF HEREDITY</t>
  </si>
  <si>
    <t>Antarctic Circumpolar Current; conservation genetics; migration; Southern Ocean; speciation; subtropical front</t>
  </si>
  <si>
    <t>GENE FLOW; NUCLEOTIDE SUBSTITUTION; MOLECULAR EVOLUTION; STATISTICAL-METHOD; MITOCHONDRIAL; NUCLEAR; RATES; INFERENCE; PHYLOGENY; BIRDS</t>
  </si>
  <si>
    <t>Rockhopper penguins are delimited as 2 species, the northern rockhopper (Eudyptes moseleyi) and the southern rockhopper (Eudyptes chrysocome), with the latter comprising 2 subspecies, the western rockhopper (Eudyptes chrysocome chrysocome) and the eastern rockhopper (Eudyptes chrysocome filholi). We conducted a phylogeographic study using multilocus data from 114 individuals sampled across 12 colonies from the entire range of the northern/southern rockhopper complex to assess potential population structure, gene flow, and species limits. Bayesian and likelihood methods with nuclear and mitochondrial DNA, including model testing and heuristic approaches, support E. moseleyi and E. chrysocome as distinct species lineages with a divergence time of 0.97 Ma. However, these analyses also indicated the presence of gene flow between these species. Among southern rockhopper subspecies, we found evidence of significant gene flow and heuristic approaches to species delimitation based on the genealogical diversity index failed to delimit them as species. The best-supported population models for the southern rockhoppers were those where E. c. chrysocome and E. c. filholi were combined into a single lineage or 2 lineages with bidirectional gene flow. Additionally, we found that E. c. filholi has the highest effective population size while E. c. chrysocome showed similar effective population size to that of the endangered E. moseleyi. We suggest that the current taxonomic definitions within rockhopper penguins be upheld and that E. chrysocome populations, all found south of the subtropical front, should be treated as a single taxon with distinct management units for E. c. chrysocome and E. c. filholi.</t>
  </si>
  <si>
    <t>[Mays, Herman L., Jr.; Lycans, Alyssa; Perdue, Justin] Marshall Univ, Dept Biol Sci, Huntington, WV 25755 USA; [Oehler, David A.; Kusch, Alejandro] Wildlife Conservat Soc, Bronx, NY 10460 USA; [Oehler, David A.; Fry, W. Roger; Kusch, Alejandro; Marin, Manuel; Weakley, Leonard A.] Feather Link Inc, Cincinnati, OH 45244 USA; [Morrison, Kyle W.] 964 Oriole Dr, Peterborough, ON K9H 6K7, Canada; [Morales, Ariadna E.] Amer Museum Nat Hist, Div Vertebrate Zool, New York, NY 10024 USA; [Battley, Phil F.] Massey Univ, Sch Agr &amp; Environm, Palmerston North, New Zealand; [Cherel, Yves] La Rochelle Univ, Ctr Etud Biol Chize, UMR 7372, CNRS, F-79360 Villiers En Bois, France; [Chilvers, B. Louise] Massey Univ, Sch Vet Sci, Palmerston North, New Zealand; [Crofts, Sarah] Falklands Conservat, Stanley, Falkland Island; [Demongin, Laurent] ZI Varenne, CREXECO, F-63200 Riom, France; [Hiscock, Jo] Dept Conservat, Invercargill, New Zealand; [Marin, Manuel] Nat Hist Museum Los Angeles Cty, Sect Ornithol, Los Angeles, CA 90007 USA; [Poisbleau, Maud] Univ Antwerp, Dept Biol, Behav Ecol &amp; Ecophysiol Grp, Antwerp, Belgium; [Quillfeldt, Petra] Justus Liebig Univ Giessen, Dept Anim Ecol &amp; Systemat, D-35392 Giessen, Germany; [Raya Rey, Andrea] Austral Ctr Sci Invest, Natl Sci &amp; Tech Res Council, RA-9410 Ushuaia, Argentina; [Raya Rey, Andrea] Natl Univ Tierra del Fuego, Inst Polar Sci, Ushuaia, Argentina; [Raya Rey, Andrea] Wildlife Conservat Soc, Buenos Aires, DF, Argentina; [Steinfurth, Antje] Univ Cape Town, FitzPatrick Inst African Ornithol, DST NRF Ctr Excellence, ZA-7701 Rondebosch, South Africa; [Steinfurth, Antje] Royal Soc Protect Birds, RSPB Ctr Conservat Sci, Cambridge CB2 3QZ, England; [Thompson, David R.] Natl Inst Water &amp; Atmospher Res, Wellington, New Zealand; [Oehler, David A.] Nashville Zoo, 3777 Nolensville Pike, Nashville, TN 37211 USA; [Marin, Manuel] Casilla 15, Melipilla, Chile</t>
  </si>
  <si>
    <t>Marshall University; Wildlife Conservation Society; American Museum of Natural History (AMNH); Massey University; Centre National de la Recherche Scientifique (CNRS); CNRS - Institute of Ecology &amp; Environment (INEE); Massey University; University of Antwerp; Justus Liebig University Giessen; National Research Foundation - South Africa; University of Cape Town; Royal Society for Protection of Birds; National Institute of Water &amp; Atmospheric Research (NIWA) - New Zealand</t>
  </si>
  <si>
    <t>Mays, HL (corresponding author), Marshall Univ, Dept Biol Sci, Huntington, WV 25755 USA.</t>
  </si>
  <si>
    <t>maysh@marshall.edu</t>
  </si>
  <si>
    <t>Battley, Philip/AAI-1443-2021; Poisbleau, Maud/B-9968-2014; Chilvers, B. Louise/AAV-1965-2021; Kusch, Alejandro/JXW-5866-2024; Morales, Ariadna/KHD-8975-2024; Morales, Ariadna/G-4061-2012; Quillfeldt, Petra/A-9549-2009</t>
  </si>
  <si>
    <t>Battley, Philip/0000-0002-8590-8098; Chilvers, B. Louise/0000-0002-7657-4217; Morales, Ariadna/0000-0002-0637-7349; Raya Rey, Andrea/0000-0003-0127-6650; Quillfeldt, Petra/0000-0002-4450-8688; Mays, Herman/0000-0003-1104-5100</t>
  </si>
  <si>
    <t>National Institute of General Medical Sciences at the National Institutes of Health [P20GM103434]; National Science Foundation [DBI-0821703]; New Zealand Ministry of Business, Innovation, and Employment [C01X0905]; New Zealand Department of Conservation, Southland Conservancy; New Island Conservation Trust; Deutsche Forschungsgemeinschaft, Germany [Qu148/1]; Agencia Nacional de Promocion Cientifica y Tecnologica [PICT 2014 NRO.1870]; Research Fund-Flanders FWO; Institut Polaire Francais Paul Emile Victor (IPEV programme) [109]; Terres Australes et Antarctiques Francaises; Tristan da Cunha government; Tristan da Cunha Conservation Department; South African National Research Foundation; BirdLife South Africa; Feather Link, Inc.; Angel Fund; African Safari Wildlife Park; Wildlife Conservation Society; New Zealand Ministry of Business, Innovation &amp; Employment (MBIE) [C01X0905] Funding Source: New Zealand Ministry of Business, Innovation &amp; Employment (MBIE)</t>
  </si>
  <si>
    <t>National Institute of General Medical Sciences at the National Institutes of Health(United States Department of Health &amp; Human ServicesNational Institutes of Health (NIH) - USANIH National Institute of General Medical Sciences (NIGMS)); National Science Foundation(National Science Foundation (NSF)); New Zealand Ministry of Business, Innovation, and Employment(New Zealand Ministry of Business, Innovation and Employment (MBIE)); New Zealand Department of Conservation, Southland Conservancy; New Island Conservation Trust; Deutsche Forschungsgemeinschaft, Germany(German Research Foundation (DFG)); Agencia Nacional de Promocion Cientifica y Tecnologica(ANPCyTSpanish Government); Research Fund-Flanders FWO(FWO); Institut Polaire Francais Paul Emile Victor (IPEV programme); Terres Australes et Antarctiques Francaises; Tristan da Cunha government; Tristan da Cunha Conservation Department; South African National Research Foundation(National Research Foundation - South Africa); BirdLife South Africa; Feather Link, Inc.; Angel Fund; African Safari Wildlife Park; Wildlife Conservation Society; New Zealand Ministry of Business, Innovation &amp; Employment (MBIE)(New Zealand Ministry of Business, Innovation and Employment (MBIE))</t>
  </si>
  <si>
    <t>This work was supported by the National Institute of General Medical Sciences at the National Institutes of Health (P20GM103434); the National Science Foundation (DBI-0821703); the New Zealand Ministry of Business, Innovation, and Employment (contract C01X0905 to the National Institute for Water and Atmospheric Research); the New Zealand Department of Conservation, Southland Conservancy; the New Island Conservation Trust; Deutsche Forschungsgemeinschaft, Germany (Qu148/1); Agencia Nacional de Promocion Cientifica y Tecnologica (PICT 2014 NRO.1870); the Research Fund-Flanders FWO; the Institut Polaire Francais Paul Emile Victor (IPEV programme no. 109, H. Weimerskirch) and the Terres Australes et Antarctiques Francaises; the Tristan da Cunha government and Tristan da Cunha Conservation Department; South African National Research Foundation; BirdLife South Africa; Feather Link, Inc.; The Angel Fund; African Safari Wildlife Park; and the Wildlife Conservation Society.</t>
  </si>
  <si>
    <t>OXFORD UNIV PRESS INC</t>
  </si>
  <si>
    <t>CARY</t>
  </si>
  <si>
    <t>JOURNALS DEPT, 2001 EVANS RD, CARY, NC 27513 USA</t>
  </si>
  <si>
    <t>0022-1503</t>
  </si>
  <si>
    <t>1465-7333</t>
  </si>
  <si>
    <t>J HERED</t>
  </si>
  <si>
    <t>J. Hered.</t>
  </si>
  <si>
    <t>10.1093/jhered/esz051</t>
  </si>
  <si>
    <t>KF9EV</t>
  </si>
  <si>
    <t>WOS:000509541600005</t>
  </si>
  <si>
    <t>Dilley, B; Hedding, DW; Henry, DAW; Rexer-Huber, K; Parker, GC; Schoombie, S; Osborne, A; Ryan, PG</t>
  </si>
  <si>
    <t>Dilley, Ben J.; Hedding, David W.; Henry, Dominic A. W.; Rexer-Huber, Kalinka; Parker, Graham C.; Schoombie, Stefan; Osborne, Alexis; Ryan, Peter G.</t>
  </si>
  <si>
    <t>Clustered or dispersed: testing the effect of sampling strategy to census burrow-nesting petrels with varied distributions at sub-Antarctic Marion Island</t>
  </si>
  <si>
    <t>burrow surveys; GIS; habitats; monitoring; random; systematic</t>
  </si>
  <si>
    <t>HALOBAENA-CAERULEA; POPULATION CENSUS; SEABIRD; ABUNDANCE</t>
  </si>
  <si>
    <t>We compared systematic and random survey techniques to estimate breeding population sizes of burrow-nesting petrel species on Marion Island. White-chinned (Procellaria aequinoctialis) and blue (Halobaena caerulea) petrel population sizes were estimated in systematic surveys (which attempt to count every colony) in 2009 and 2012, respectively. In 2015, we counted burrows of white-chinned, blue and great-winged (Pterodroma macroptera) petrels within 52 randomized strip transects (25 m wide, total 144 km). Burrow densities were extrapolated by Geographic Information System-derived habitat attributes (geology, vegetation, slope, elevation, aspect) to generate island-wide burrow estimates. Great-winged petrel burrows were found singly or in small groups at low densities (2 burrows ha(-1)); white-chinned petrel burrows were in loose clusters at moderate densities (3 burrows ha-1); and blue petrel burrows were in tight clusters at high densities (13 burrows ha(-1)). The random survey estimated 58% more white-chinned petrels but 42% fewer blue petrels than the systematic surveys. The results suggest that random transects are best suited for species that are widely distributed at low densities, but become increasingly poor for estimating population sizes of species with clustered distributions. Repeated fixed transects provide a robust way to monitor changes in colony density and area, but might fail to detect the formation/disappearance of new colonies.</t>
  </si>
  <si>
    <t>[Dilley, Ben J.; Schoombie, Stefan; Osborne, Alexis; Ryan, Peter G.] Univ Cape Town, DST NRF Ctr Excellence, FitzPatrick Inst African Ornithol, ZA-7701 Rondebosch, South Africa; [Hedding, David W.] Univ South Africa, Dept Geog, ZA-1710 Florida, South Africa; [Henry, Dominic A. W.] Endangered Wildlife Trust, ZA-1645 Johannesburg, South Africa; [Henry, Dominic A. W.] Univ Cape Town, Dept Stat Sci, Stat Ecol Environm &amp; Conservat, ZA-7700 Rondebosch, South Africa; [Rexer-Huber, Kalinka; Parker, Graham C.] Parker Conservat, 126 Maryhill Terrace, Dunedin, New Zealand</t>
  </si>
  <si>
    <t>National Research Foundation - South Africa; University of Cape Town; University of South Africa; University of Cape Town</t>
  </si>
  <si>
    <t>Dilley, B (corresponding author), Univ Cape Town, DST NRF Ctr Excellence, FitzPatrick Inst African Ornithol, ZA-7701 Rondebosch, South Africa.</t>
  </si>
  <si>
    <t>dilleyben@gmail.com</t>
  </si>
  <si>
    <t>Hedding, David William/F-3044-2011</t>
  </si>
  <si>
    <t>Hedding, David William/0000-0002-9748-4499</t>
  </si>
  <si>
    <t>University of Cape Town; National Research Foundation</t>
  </si>
  <si>
    <t>The Department of Environmental Affairs provided logistical support through the South African National Antarctic Programme. Financial support was received from the University of Cape Town and the National Research Foundation. Thanks to Vonica Perold for help with the 2015 field survey. We thank two anonymous reviewers for extensive edits and helpful suggestions.</t>
  </si>
  <si>
    <t>10.1017/S0954102019000300</t>
  </si>
  <si>
    <t>KE1YO</t>
  </si>
  <si>
    <t>WOS:000508355900002</t>
  </si>
  <si>
    <t>Parker, SJ; Stevens, DW; Ghigliotti, L; La Mesa, M; Di Blasi, D; Vacchi, M</t>
  </si>
  <si>
    <t>Parker, Steven J.; Stevens, Darren W.; Ghigliotti, Laura; La Mesa, Mario; Di Blasi, Davide; Vacchi, Marino</t>
  </si>
  <si>
    <t>Winter spawning of Antarctic toothfish Dissostichus mawsoni in the Ross Sea region</t>
  </si>
  <si>
    <t>gonadosomatic index; migration; sex ratio; spawn timing</t>
  </si>
  <si>
    <t>LIFE-HISTORY; MIGRATION; GROWTH; WATERS; LENGTH; AGE</t>
  </si>
  <si>
    <t>A survey of Antarctic toothfish (Dissostichus mawsoni) was conducted in the northern Ross Sea region during the winter of 2016 to document the timing and location of spawning activity, to collect biological information about reproductive status during the spawning season and to look for temporal signals in biological data from D. mawsoni that may indicate a spawning migration of mature toothfish from the continental slope region to the northern Ross Sea region. The 58 day survey showed that spawning of D. mawsoni began on some seamounts by early July. No changes were detected between winter and summer in length, age, sex ratio or condition factor distributions for D. mawsoni in the northern Ross Sea as hypothesized following a spawning migration from the slope to the northern Ross Sea region. These results suggest that the distribution of D. mawsoni in the Ross Sea is mainly accomplished through ontogenetic migration and not annual return spawning migrations.</t>
  </si>
  <si>
    <t>[Parker, Steven J.] Natl Inst Water &amp; Atmospher Res, POB 893, Nelson, New Zealand; [Stevens, Darren W.] Natl Inst Water &amp; Atmospher Res, Private Bag 14901, Wellington, New Zealand; [Ghigliotti, Laura; Di Blasi, Davide; Vacchi, Marino] Natl Res Council Italy, IAS, Via Marini 6, I-16149 Genoa, Italy; [La Mesa, Mario] Inst Polar Sci, Area Ric Bologna, Via P Gobetti 101, I-40129 Bologna, Italy</t>
  </si>
  <si>
    <t>National Institute of Water &amp; Atmospheric Research (NIWA) - New Zealand; National Institute of Water &amp; Atmospheric Research (NIWA) - New Zealand; Consiglio Nazionale delle Ricerche (CNR); Consiglio Nazionale delle Ricerche (CNR); Istituto di Scienze Polari (ISP-CNR)</t>
  </si>
  <si>
    <t>Parker, SJ (corresponding author), Natl Inst Water &amp; Atmospher Res, POB 893, Nelson, New Zealand.</t>
  </si>
  <si>
    <t>Di Blasi, Davide/AAV-5937-2021; Ghigliotti, Laura/AAN-6843-2021</t>
  </si>
  <si>
    <t>Ghigliotti, Laura/0000-0003-2139-1381</t>
  </si>
  <si>
    <t>Italian National Programme of Antarctic Research (PNRA) [2015/B1.02]; MPI project [ANT201501]</t>
  </si>
  <si>
    <t>Italian National Programme of Antarctic Research (PNRA); MPI project</t>
  </si>
  <si>
    <t>We thank the Italian National Programme of Antarctic Research (PNRA) for providing Davide Di Blasi with the opportunity to participate in the survey under the project DISMAS (PNRA project 2015/B1.02). We thank the on-board scientific observers Mike Prasad (MPI observer) and Dawie Potgieter (CCAMLR international observer) for carrying out sample collection at the high sampling rates required for the survey, Colin Sutton for determination of ages from sampled fish and Simon Hoyle and Jennifer Devine for advice on statistical analysis. We also thank Talley's Ltd and the crew of the FV Janas for their safety focus, cooperation and assistance throughout the survey. Funding for the survey was provided by MPI project ANT201501. We thank the members of the New Zealand Ministry for Primary Industries Antarctic Working Group for their comments on this report.</t>
  </si>
  <si>
    <t>10.1017/S0954102019000282</t>
  </si>
  <si>
    <t>WOS:000508355900003</t>
  </si>
  <si>
    <t>Badaró, VCS; Petri, S</t>
  </si>
  <si>
    <t>Badaro, Victor C. S.; Petri, Setembrino</t>
  </si>
  <si>
    <t>Miocene and Plio-Pleistocene foraminiferal assemblages from Seymour Island, Antarctica</t>
  </si>
  <si>
    <t>foraminifers; Hobbs Glacier Formation; microfossils; Neogene; Quaternary; Weddell Sea Formation</t>
  </si>
  <si>
    <t>LA MESETA FORMATION; WEDDELL SEA; SEDIMENTOLOGY; DIVERSITY; DEPOSITS; ECOLOGY</t>
  </si>
  <si>
    <t>Here we describe new microfossil assemblages for the Miocene Hobbs Glacier Formation and the first possibly indigenous assemblages for the Plio-Pleistocene Weddell Sea Formation on Seymour Island, West Antarctica. The assemblages are composed mainly of foraminifers, but radiolarians, calcitarchs and poriferan sclerites are also present. For the Hobbs Glacier Formation, we report the foraminifers Bolivina sp., Oolina globosa and Rosalina cf. globularis; and for the Weddell Sea Formation, we report Favulina hexagona, Globigerinita uvula, Globocassidulina cf. subglobosa and Psammosphaera fusca. The low abundance and diversity of microfossils, allied with the complex taphonomical processes that prevailed in Antarctic glacial-marine palaeoenvironments, make it impossible to define whether the assemblages are composed of a mixture of indigenous and re-elaborated specimens or exclusively of re-elaborated remains. Nevertheless, the indigenous nature of some specimens is suggested by their inherent fragility, excellent preservation and/or taxonomic association with indigenous assemblages from correlated strata. The taxonomic compositions are not directly comparable with other Antarctic assemblages, although most of the species were previously reported from pre-Quaternary or modern deposits of both West and East Antarctica. This lack of correspondence is probably due to preservation biases, but any further significance is hidden by the complex taphonomy of the deposits.</t>
  </si>
  <si>
    <t>[Badaro, Victor C. S.; Petri, Setembrino] Univ Sao Paulo, Inst Geociencias, Rua Lago 562, BR-05508080 Sao Paulo, Brazil</t>
  </si>
  <si>
    <t>Universidade de Sao Paulo</t>
  </si>
  <si>
    <t>Badaró, VCS (corresponding author), Univ Sao Paulo, Inst Geociencias, Rua Lago 562, BR-05508080 Sao Paulo, Brazil.</t>
  </si>
  <si>
    <t>vcsbadaro@usp.br</t>
  </si>
  <si>
    <t>Soficier Badaro, Victor Cezar/0000-0003-4200-0482</t>
  </si>
  <si>
    <t>Conselho Nacional de Desenvolvimento Cientifico e Tecnologico [5570362009-7]; Coordenacao de Aperfeicoamento de Pessoal de Nivel Superior [1267397]</t>
  </si>
  <si>
    <t>Conselho Nacional de Desenvolvimento Cientifico e Tecnologico(Conselho Nacional de Desenvolvimento Cientifico e Tecnologico (CNPQ)); Coordenacao de Aperfeicoamento de Pessoal de Nivel Superior(Coordenacao de Aperfeicoamento de Pessoal de Nivel Superior (CAPES))</t>
  </si>
  <si>
    <t>We thank Antonio C. Rocha Campos and Wania Duleba for making available to us the samples from Seymour Island. We also thank both anonymous reviewers for their thorough commentaries on an earlier draft of this paper. This work was supported by Conselho Nacional de Desenvolvimento Cientifico e Tecnologico (grant no. 5570362009-7) and Coordenacao de Aperfeicoamento de Pessoal de Nivel Superior (grant no. 1267397).</t>
  </si>
  <si>
    <t>10.1017/S0954102019000294</t>
  </si>
  <si>
    <t>WOS:000508355900004</t>
  </si>
  <si>
    <t>McKay, CP; Balaban, E; Abrahams, S; Lewis, N</t>
  </si>
  <si>
    <t>McKay, Christopher P.; Balaban, Edward; Abrahams, Simon; Lewis, Nick</t>
  </si>
  <si>
    <t>Dry permafrost over ice-cemented ground at Elephant Head, Ellsworth Land, Antarctica</t>
  </si>
  <si>
    <t>frost point; habitability; ice table; Mars; Mount Dolence</t>
  </si>
  <si>
    <t>MIOCENE GLACIER ICE; UNIVERSITY VALLEY; STABILITY; SUBLIMATION; MOUNTAINS; HUMIDITY; ISOTOPE; DEPTHS</t>
  </si>
  <si>
    <t>Dry permafrost - ground with temperature always below 0 degrees C and containing negligible ice overlying ice-cemented ground has been reported in the Dry Valleys of Antarctica and on Mars. Here we report on a new site (79 degrees 49.213'S, 83 degrees 18.860'W, 718m elevation) located on the side of Mount Dolence in Ellsworth Land, Antarctica. Year-round temperature and humidity measurements indicate that dry permafrost is present between depths of 13.5 and 49.0 cm - the location of ice-cemented ground. The mean annual frost point of the ice-cemented ground is -17.0 +/- 0.2 degrees C and the mean annual frost point of the atmosphere is -22.7 +/- 1 degrees C. The corresponding mean annual temperatures are -19.2 degrees C and -20.3 degrees C. Neither the temperature of the ice-cemented ground nor the air rise above freezing. Both the dry permafrost and the ice table may be habitable. In the dry soil at 3 cm depth there are 80 hours in the summer when temperature exceeds -5 degrees C and water activity exceeds 0.8. At the ice table, temperature exceeds -10 degrees C and water activity exceeds 0.8 for 35 hours in the year. The ice table and the dry permafrost above it would be considered a 'Special Region' on Mars. Further microbial investigation of this site is indicated.</t>
  </si>
  <si>
    <t>[McKay, Christopher P.; Balaban, Edward] NASA, Ames Res Ctr, Moffett Field, CA 94035 USA; [Abrahams, Simon; Lewis, Nick] Antarct Logist &amp; Expedit, Salt Lake City, UT 84115 USA</t>
  </si>
  <si>
    <t>National Aeronautics &amp; Space Administration (NASA); NASA Ames Research Center</t>
  </si>
  <si>
    <t>McKay, CP (corresponding author), NASA, Ames Res Ctr, Moffett Field, CA 94035 USA.</t>
  </si>
  <si>
    <t>chris.mckay@nasa.gov</t>
  </si>
  <si>
    <t>McKay, Christopher/0000-0002-6243-1362</t>
  </si>
  <si>
    <t>Intelligent Systems Division, Exploration Systems Directorate, NASA Ames Research Center; 2041 Foundation; Antarctic Logistics and Expeditions; NASA Ames Research Center</t>
  </si>
  <si>
    <t>Intelligent Systems Division, Exploration Systems Directorate, NASA Ames Research Center; 2041 Foundation; Antarctic Logistics and Expeditions; NASA Ames Research Center(National Aeronautics &amp; Space Administration (NASA))</t>
  </si>
  <si>
    <t>We thank the two anonymous reviewers for extensive comments that greatly improved the paper. We acknowledge ongoing support for astrobiology research in Antarctica from the NASA Astrobiology Program. Funding for the data collection activities was also provided by the Intelligent Systems Division, Exploration Systems Directorate, NASA Ames Research Center. We also express our gratitude to the following individuals and organizations for the logistical, institutional and financial support of this research: Robert Swan (2041 Foundation); David Rootes, Martin Barnett and Sebastian Grau (Antarctic Logistics and Expeditions); David Alfano, Scott Poll, Sonie Lau, Rupak Biswas, William Van Dalsem, Jacob Cohen, Steven Zornetzer and Thomas Berndt (NASA Ames Research Center).</t>
  </si>
  <si>
    <t>10.1017/S0954102019000269</t>
  </si>
  <si>
    <t>WOS:000508355900005</t>
  </si>
  <si>
    <t>Faucher, B; Lacelle, D; Fisher, DA; Andersen, DT; McKay, CP</t>
  </si>
  <si>
    <t>Faucher, Benoit; Lacelle, Denis; Fisher, David A.; Andersen, Dale T.; McKay, Christopher P.</t>
  </si>
  <si>
    <t>Energy and water mass balance of Lake Untersee and its perennial ice cover, East Antarctica</t>
  </si>
  <si>
    <t>hydrology; ice-covered lake; sublimation</t>
  </si>
  <si>
    <t>DRONNING MAUD LAND; GASES; VANDA</t>
  </si>
  <si>
    <t>Lake Untersee is one of the largest perennially ice-covered lakes in DronningMaud Land. We investigated the energy and water mass balance of Lake Untersee to understand its state of equilibrium. The thickness of the ice cover is strongly correlated with sublimation rates; variations in sublimation rates across the ice cover are largely determined by wind-driven turbulent heat fluxes and the number of snow-covered days. Lake extent and water level have remained stable for the past 20 years, indicating that the water mass balance is in equilibrium. The lake is damned by the Anuchin Glacier and mass balance calculation suggest that subaqueous melting of terminus ice contributes 40-45% of the annual water budget; since there is no evidence of streams flowing into the lake, the lake must be connected to a groundwater system that contributes 55-60% in order to maintain the lake budget in balance. The groundwater likely flows at a rate of similar to 8.8 x 10(-2) m(3) s(-1), a reasonable estimate given the range of subglacial water flux in the region. The fate of its well-sealed ice cover is likely tied to changes in wind regime, whereas changes in water budget are more closely linked to the response of surrounding glaciers to climate change.</t>
  </si>
  <si>
    <t>[Faucher, Benoit; Lacelle, Denis] Univ Ottawa, Dept Geog Environm &amp; Geomat, Ottawa, ON, Canada; [Fisher, David A.] Univ Ottawa, Dept Earth &amp; Environm Sci, Ottawa, ON, Canada; [Andersen, Dale T.] SETI Inst, Carl Sagan Ctr, Mountain View, CA USA; [McKay, Christopher P.] NASA, Ames Res Ctr, Mountain View, CA USA</t>
  </si>
  <si>
    <t>University of Ottawa; University of Ottawa; National Aeronautics &amp; Space Administration (NASA); NASA Ames Research Center</t>
  </si>
  <si>
    <t>Faucher, B (corresponding author), Univ Ottawa, Dept Geog Environm &amp; Geomat, Ottawa, ON, Canada.</t>
  </si>
  <si>
    <t>bfauc073@uottawa.ca</t>
  </si>
  <si>
    <t>Andersen, Dale T/B-4816-2013</t>
  </si>
  <si>
    <t>Andersen, Dale T/0000-0001-8827-1259; Faucher, Benoit/0000-0002-3954-8386; McKay, Christopher/0000-0002-6243-1362; Lacelle, Denis/0000-0002-6691-8717</t>
  </si>
  <si>
    <t>TAWANI Foundation of Chicago; Trottier Family Foundation; Natural Sciences and Engineering Research Council of Canada (NSERC); Polar Knowledge Canada; Arctic and Antarctic Research Institute/Russian Antarctic Expedition; NSERC Alexander Graham Bell Canada Graduate Scholarship (doctoral)</t>
  </si>
  <si>
    <t>TAWANI Foundation of Chicago; Trottier Family Foundation; Natural Sciences and Engineering Research Council of Canada (NSERC)(Natural Sciences and Engineering Research Council of Canada (NSERC)); Polar Knowledge Canada; Arctic and Antarctic Research Institute/Russian Antarctic Expedition; NSERC Alexander Graham Bell Canada Graduate Scholarship (doctoral)</t>
  </si>
  <si>
    <t>This work was supported by the TAWANI Foundation of Chicago, the Trottier Family Foundation, the Natural Sciences and Engineering Research Council of Canada (NSERC) Discovery Grant, Polar Knowledge Canada, NASA's Astrobiology Program and the Arctic and Antarctic Research Institute/Russian Antarctic Expedition. A NSERC Alexander Graham Bell Canada Graduate Scholarship (doctoral) provided financial support to B. Faucher. Logistical support was provided by the Antarctic Logistics Centre International (ALCI), Cape Town, South Africa. We are grateful to Colonel (IL) J.N. Pritzker, IL ARNG (retired), of the TAWANI Foundation, Lorne Trottier of the Trottier Family Foundation and fellow field team members for their support during the expedition. We thank the two reviewers for their constructive comments.</t>
  </si>
  <si>
    <t>10.1017/S0954102019000270</t>
  </si>
  <si>
    <t>WOS:000508355900006</t>
  </si>
  <si>
    <t>Martin, CI; Quirchmayr, R</t>
  </si>
  <si>
    <t>Martin, Calin Iulian; Quirchmayr, Ronald</t>
  </si>
  <si>
    <t>Explicit and exact solutions concerning the Antarctic Circumpolar Current with variable density in spherical coordinates</t>
  </si>
  <si>
    <t>JOURNAL OF MATHEMATICAL PHYSICS</t>
  </si>
  <si>
    <t>PURELY AZIMUTHAL FLOW; WATER-WAVES; GEOPHYSICAL WAVES; EQUATORIAL FLOWS; CRITICAL LAYERS; FREE-SURFACE; STEADY; MODEL; STRATIFICATION; CIRCULATION</t>
  </si>
  <si>
    <t>We use spherical coordinates to devise a new exact solution to the governing equations of geophysical fluid dynamics for an inviscid and incompressible fluid with a general density distribution and subjected to forcing terms. The latter are of paramount importance for the modeling of realistic flows, that is, flows that are observed in some averaged sense in the ocean. Owing to the employment of spherical coordinates we do not need to resort to approximations (e.g., of f- and beta-plane type) that simplify the geometry in the governing equations. Our explicit solution represents a steady purely azimuthal stratified flow with a free surface that-thanks to the inclusion of forcing terms and the consideration of the Earth's geometry via spherical coordinates-makes it suitable for describing the Antarctic Circumpolar Current and enables an in-depth analysis of the structure of this flow. In line with the latter aspect, we employ functional analytical techniques to prove that the free surface distortion is defined in a unique and implicit way by means of the pressure applied at the free surface. We conclude our discussion by setting out relations between the monotonicity of the surface pressure and the monotonicity of the surface distortion that concur with the physical expectations. Published under license by AIP Publishing.</t>
  </si>
  <si>
    <t>[Martin, Calin Iulian] Univ Vienna, Fac Math, Oskar Morgenstern Pl 1, A-1090 Vienna, Austria; [Quirchmayr, Ronald] KTH Royal Inst Technol, Dept Math, Lindstedtsvagen 25, S-10044 Stockholm, Sweden</t>
  </si>
  <si>
    <t>University of Vienna; Royal Institute of Technology</t>
  </si>
  <si>
    <t>Martin, CI (corresponding author), Univ Vienna, Fac Math, Oskar Morgenstern Pl 1, A-1090 Vienna, Austria.</t>
  </si>
  <si>
    <t>calin.martin@univie.ac.at; ronaldq@kth.se</t>
  </si>
  <si>
    <t>Martin, Calin/D-3284-2013</t>
  </si>
  <si>
    <t>Martin, Calin/0000-0002-5800-9265; Quirchmayr, Ronald/0000-0002-2240-1812</t>
  </si>
  <si>
    <t>Austrian Science Fund (FWF) [P 30878-N32]; Austrian Science Fund (FWF) under Erwin Schrodinger Fellowship Grant [J 4339-N32]; Austrian Science Fund (FWF) [P30878] Funding Source: Austrian Science Fund (FWF)</t>
  </si>
  <si>
    <t>Austrian Science Fund (FWF)(Austrian Science Fund (FWF)); Austrian Science Fund (FWF) under Erwin Schrodinger Fellowship Grant(Austrian Science Fund (FWF)); Austrian Science Fund (FWF)(Austrian Science Fund (FWF))</t>
  </si>
  <si>
    <t>The authors are indebted to an anonymous referee whose comments and remarks improved the presentation. C. I. Martin would like to acknowledge the support of the Austrian Science Fund (FWF) under Research Grant No. P 30878-N32. R. Quirchmayr acknowledges the support of the Austrian Science Fund (FWF) under Erwin Schrodinger Fellowship Grant No. J 4339-N32 and thanks his host institution-the Department of Mathematics at the KTH Royal Institute of Technology.</t>
  </si>
  <si>
    <t>AMER INST PHYSICS</t>
  </si>
  <si>
    <t>1305 WALT WHITMAN RD, STE 300, MELVILLE, NY 11747-4501 USA</t>
  </si>
  <si>
    <t>0022-2488</t>
  </si>
  <si>
    <t>1089-7658</t>
  </si>
  <si>
    <t>J MATH PHYS</t>
  </si>
  <si>
    <t>J. Math. Phys.</t>
  </si>
  <si>
    <t>10.1063/1.5120627</t>
  </si>
  <si>
    <t>Physics, Mathematical</t>
  </si>
  <si>
    <t>KA7ZU</t>
  </si>
  <si>
    <t>WOS:000506019500005</t>
  </si>
  <si>
    <t>Mödinger, Y; Schön, C; Wilhelm, M; Hals, PA</t>
  </si>
  <si>
    <t>Moedinger, Yvonne; Schoen, Christiane; Wilhelm, Manfred; Hals, Petter-Arnt</t>
  </si>
  <si>
    <t>Plasma Kinetics of Choline and Choline Metabolites After A Single Dose of SuperbaBoostTM Krill Oil or Choline Bitartrate in Healthy Volunteers</t>
  </si>
  <si>
    <t>NUTRIENTS</t>
  </si>
  <si>
    <t>choline; pharmacokinetics; Antarctic krill; phosphatidylcholine; SuperbaBoost; choline bitartrate; betaine; dimethylglycine; trimethylamine N-oxide</t>
  </si>
  <si>
    <t>TRIMETHYLAMINE-N-OXIDE; FATTY LIVER-DISEASE; ESSENTIAL NUTRIENT; BETAINE; PHOSPHATIDYLCHOLINE; FOLATE; DYSFUNCTION; RISK; DIET; INFLAMMATION</t>
  </si>
  <si>
    <t>As an essential nutrient, the organic water-soluble compound choline is important for human health. Choline is required for numerous biological processes, including the synthesis of neurotransmitters, and it is an important prerequisite for structural integrity and the functioning of cells. A choline-rich diet provides crucial choline sources, yet additional choline dietary supplements might be needed to fully meet the body's requirements. Dependent on the structure of choline in different sources, absorption and metabolism may differ and strongly impact the bioavailability of circulating choline. This study in healthy volunteers aimed to compare the pharmacokinetics of free choline and of selected choline metabolites between the single dose intake of phosphatidylcholine, present in SuperbaBoost(TM) krill oil, and choline bitartrate salt. Results demonstrate that albeit free choline levels in plasma were comparable between both choline sources, peak choline concentration was reached significantly later upon intake of SuperbaBoost(TM). Moreover, the occurrence of choline metabolites differed between the study products. Levels of the biologically important metabolites betaine and dimethylglycine (DMG) were higher, while levels of trimethylamine N-oxide (TMAO) were substantially lower upon intake of SuperbaBoost(TM) compared to choline bitartrate.</t>
  </si>
  <si>
    <t>[Moedinger, Yvonne; Schoen, Christiane] BioTeSys GmbH, Schelztorstr 54-56, D-73728 Esslingen, Germany; [Wilhelm, Manfred] Ulm Univ Appl Sci, Dept Math Nat &amp; Econ Sci, Albert Einstein Allee 55, D-89081 Ulm, Germany; [Hals, Petter-Arnt] Aker BioMarine Antarctic AS, Oksenoyveien 10, N-1327 Lysaker, Norway</t>
  </si>
  <si>
    <t>Ulm University</t>
  </si>
  <si>
    <t>Hals, PA (corresponding author), Aker BioMarine Antarctic AS, Oksenoyveien 10, N-1327 Lysaker, Norway.</t>
  </si>
  <si>
    <t>y.moedinger@biotesys.de; c.schoen@biotesys.de; manfred.wilhelm@thu.de; petter-arnt.hals@akerbiomarine.com</t>
  </si>
  <si>
    <t>Schon, Christiane/0000-0003-3787-5268; Modinger, Dr. Yvonne/0000-0001-9789-6189</t>
  </si>
  <si>
    <t>2072-6643</t>
  </si>
  <si>
    <t>Nutrients</t>
  </si>
  <si>
    <t>10.3390/nu11102548</t>
  </si>
  <si>
    <t>Nutrition &amp; Dietetics</t>
  </si>
  <si>
    <t>JP4HG</t>
  </si>
  <si>
    <t>WOS:000498227300287</t>
  </si>
  <si>
    <t>Turner, DJ; Malenovsky, Z; Lucieer, A; Turnbull, JD; Robinson, SA</t>
  </si>
  <si>
    <t>Turner, Darren J.; Malenovsky, Zbynek; Lucieer, Arko; Turnbull, Johanna D.; Robinson, Sharon A.</t>
  </si>
  <si>
    <t>Optimizing Spectral and Spatial Resolutions of Unmanned Aerial System Imaging Sensors for Monitoring Antarctic Vegetation</t>
  </si>
  <si>
    <t>IEEE JOURNAL OF SELECTED TOPICS IN APPLIED EARTH OBSERVATIONS AND REMOTE SENSING</t>
  </si>
  <si>
    <t>Antarctic; chlorophyll content; hyperspectral; leaf density; moss; optical remote sensing; resampling; resolution; spectra; unmanned aerial systems (UAS)</t>
  </si>
  <si>
    <t>RANDOM FOREST CLASSIFICATION; HYPERSPECTRAL IMAGERY; PIGMENT COMPOSITION; VEHICLE UAV; MOSS; SPECTROSCOPY; HEALTH</t>
  </si>
  <si>
    <t>Antarctic moss communities, found in the spatially fragmented and fragile moss beds, can serve as indicators of the regional impacts of climate change. Unmanned aerial systems (UAS) carrying visible and near infrared (VNIR) sensors are a suitable nonintrusive mapping platform. UAS deployments in Antarctica are, due to weather and logistical restrictions, infrequent and short, thus it is essential that field time is optimized. This article identified the optimal spectral and spatial resolution of the UAS-based sensors to facilitate efficient data acquisition without jeopardizing the accuracy of remotely sensed moss health indicators. A hyperspectral line scanner was used to collect imagery of two moss study sites near the Casey Australian Antarctic base. The spectral and spatial data degradation simulated two lightweight sensors that could be used for more efficient spectral image acquisition in the future. These simulations revealed that the spectral quality deteriorated more definitively at the spatial resolution where moss spectra started to mix with spectra of surrounding rocks. Subsequently, random forest models (RFMs) were trained with lab measurements for predicting chlorophyll content and effective leaf density. The RFMs were applied to the UAS imagery of the reduced spectral and spatial resolutions to quantify decline in accuracy of both indicators. We identified the optimal UAS sensor capable of mapping a relatively large moss bed (similar to 5 ha) with the prediction accuracy similar to the hyperspectral system. This sensor would be a frame camera acquiring 25 VNIR spectral bands at a spatial resolution of 8 cm. This developed methodology has the potential to be adopted for other similar vegetation biophysical/chemical plant traits.</t>
  </si>
  <si>
    <t>[Turner, Darren J.; Malenovsky, Zbynek; Lucieer, Arko] Univ Tasmania, Coll Sci &amp; Engn, Sch Technol Environm &amp; Design, Discipline Geog &amp; Spatial Sci, Hobart, Tas 7001, Australia; [Turnbull, Johanna D.; Robinson, Sharon A.] Univ Wollongong, Sch Earth Atmospher &amp; Life Sci, Ctr Sustainable Ecosyst Solut, Wollongong, NSW 2522, Australia</t>
  </si>
  <si>
    <t>University of Tasmania; University of Wollongong</t>
  </si>
  <si>
    <t>Turner, DJ (corresponding author), Univ Tasmania, Coll Sci &amp; Engn, Sch Technol Environm &amp; Design, Discipline Geog &amp; Spatial Sci, Hobart, Tas 7001, Australia.</t>
  </si>
  <si>
    <t>darren.turner@utas.edu.au; zbynek.malenovsky@gmail.com; arko.lucieer@utas.edu.au; johannat@uow.edu.au; sharonr@uow.edu.au</t>
  </si>
  <si>
    <t>Malenovský, Zbyněk/A-7819-2011; Robinson, Sharon/B-2683-2008; Lucieer, Arko/F-1247-2013; Turner, Darren/O-4839-2017</t>
  </si>
  <si>
    <t>Malenovský, Zbyněk/0000-0002-1271-8103; Robinson, Sharon/0000-0002-7130-9617; Lucieer, Arko/0000-0002-9468-4516; Turnbull, Johanna/0000-0002-4214-1675; Turner, Darren/0000-0002-3029-6717</t>
  </si>
  <si>
    <t>Australian Research Council [DP110101714]; Australian Antarctic Division; Australian Antarctic Science [3130, 1313, 4046, 4361]</t>
  </si>
  <si>
    <t>Australian Research Council(Australian Research Council); Australian Antarctic Division; Australian Antarctic Science</t>
  </si>
  <si>
    <t>This work was supported in part by Australian Research Council under Grant DP110101714, in part by Australian Antarctic Division, and in part by Australian Antarctic Science under Grants 3130, 1313, 4046, and 4361.</t>
  </si>
  <si>
    <t>1939-1404</t>
  </si>
  <si>
    <t>2151-1535</t>
  </si>
  <si>
    <t>IEEE J-STARS</t>
  </si>
  <si>
    <t>IEEE J. Sel. Top. Appl. Earth Observ. Remote Sens.</t>
  </si>
  <si>
    <t>10.1109/JSTARS.2019.2938544</t>
  </si>
  <si>
    <t>Engineering, Electrical &amp; Electronic; Geography, Physical; Remote Sensing; Imaging Science &amp; Photographic Technology</t>
  </si>
  <si>
    <t>Engineering; Physical Geography; Remote Sensing; Imaging Science &amp; Photographic Technology</t>
  </si>
  <si>
    <t>JW6TN</t>
  </si>
  <si>
    <t>WOS:000503182000011</t>
  </si>
  <si>
    <t>Rogers, F; Xiao, M; Perez, KM; Boggs, S; Erjavec, T; Fabris, L; Fuke, H; Hailey, CJ; Kozai, M; Lowell, A; Madden, N; Manghisoni, M; McBride, S; Re, V; Riceputi, E; Saffold, N; Shimizu, Y</t>
  </si>
  <si>
    <t>Rogers, F.; Xiao, M.; Perez, K. M.; Boggs, S.; Erjavec, T.; Fabris, L.; Fuke, H.; Hailey, C. J.; Kozai, M.; Lowell, A.; Madden, N.; Manghisoni, M.; McBride, S.; Re, V.; Riceputi, E.; Saffold, N.; Shimizu, Y.</t>
  </si>
  <si>
    <t>Large-area Si(Li) detectors for X-ray spectrometry and particle tracking in the GAPS experiment</t>
  </si>
  <si>
    <t>JOURNAL OF INSTRUMENTATION</t>
  </si>
  <si>
    <t>Particle tracking detectors (Solid-state detectors); X-ray detectors; Balloon instrumentation; Dark Matter detectors (WIMPs, axions, etc.)</t>
  </si>
  <si>
    <t>SIGNAL</t>
  </si>
  <si>
    <t>The first lithium-drifted silicon (Si(Li)) detectors to satisfy the unique geometric, performance, and cost requirements of the General Antiparticle Spectrometer (GAPS) experiment have been produced by Shimadzu Corporation. The GAPS Si(Li) detectors will form the first large-area, relatively high-temperature Si(Li) detector system with sensitivity to X-rays to operate at high altitude. These 10 cm-diameter, 2.5 mm-thick, 4- or 8-strip detectors provide the active area, X-ray absorption efficiency, energy resolution, and particle tracking capability necessary for the GAPS exotic-atom particle identification technique. In this paper, the detector performance is validated on the bases of X-ray energy resolution and reconstruction of cosmic minimum ionizing particle (MIP) signals. We use the established noise model for semiconductor detectors to distinguish sources of noise due to the detector from those due to signal processing electronics. We demonstrate that detectors with either 4 strips or 8 strips can provide the required less than or similar to 4 keV (FWHM) X-ray energy resolution at flight temperatures of -35 to -45 degrees C, given the proper choice of signal processing electronics. Approximately 1000 8-strip detectors will be used for the first GAPS Antarctic balloon flight, scheduled for late 2021.</t>
  </si>
  <si>
    <t>[Rogers, F.; Xiao, M.; Perez, K. M.; Erjavec, T.] MIT, Dept Phys, 77 Massachusetts Ave, Cambridge, MA 02139 USA; [Boggs, S.] Univ Calif San Diego, Dept Phys, 9500 Gilman Dr, La Jolla, CA 92093 USA; [Fabris, L.] Oak Ridge Natl Lab, POB 2008, Oak Ridge, TN 37831 USA; [Fuke, H.; Kozai, M.] Japan Aerosp Explorat Agcy JAXA, ISAS, Chuo Ku, 3-1-1 Yoshinodai, Sagamihara, Kanagawa 2525210, Japan; [Hailey, C. J.; Madden, N.; Saffold, N.] Columbia Univ, Columbia Astrophys Lab, 550 West 120th St, New York, NY 10027 USA; [Lowell, A.] Univ Calif San Diego, Ctr Astrophys &amp; Space Sci, 9500 Gilman Dr, La Jolla, CA 92093 USA; [Manghisoni, M.; Re, V.; Riceputi, E.] Univ Bergamo, Dept Engn &amp; Appl Sci, Viale Marconi 5, I-24044 Bergamo, Italy; [Manghisoni, M.; Re, V.; Riceputi, E.] INFN, Sez Pavia, Via Bassi 6, I-27100 Pavia, Italy; [McBride, S.] Univ Calif Berkeley, Space Sci Lab, 7 Gauss Way, Berkeley, CA 94720 USA; [Shimizu, Y.] Kanagawa Univ, Fac Technol, Dept Phys, Kanagawa Ku, 3-27-1 Rokkakubashi, Yokohama, Kanagawa 2218686, Japan</t>
  </si>
  <si>
    <t>Massachusetts Institute of Technology (MIT); University of California System; University of California San Diego; United States Department of Energy (DOE); Oak Ridge National Laboratory; Japan Aerospace Exploration Agency (JAXA); Institute of Space &amp; Astronautical Science (ISAS); Columbia University; University of California System; University of California San Diego; University of Bergamo; Istituto Nazionale di Fisica Nucleare (INFN); University of California System; University of California Berkeley; Kanagawa University</t>
  </si>
  <si>
    <t>Rogers, F (corresponding author), MIT, Dept Phys, 77 Massachusetts Ave, Cambridge, MA 02139 USA.</t>
  </si>
  <si>
    <t>frrogers@mit.edu</t>
  </si>
  <si>
    <t>Boggs, Steven E/E-4170-2015; RICEPUTI, Elisa/JED-9502-2023</t>
  </si>
  <si>
    <t>RICEPUTI, Elisa/0000-0002-0542-553X; Re, Valerio/0000-0003-0697-3420; Erjavec, Tyler/0000-0002-9524-5101; Rogers, Field/0000-0003-3791-0107; Xiao, Mengjiao/0000-0002-6397-617X</t>
  </si>
  <si>
    <t>Heising-Simons Foundation; Alfred P. Sloan Foundation; National Science Foundation Graduate Research Fellowship [1122374]; JSPS KAKENHI [JP17K14313, JP2670715, JP17H01136]; Agenzia Spaziale Italiana (ASI); NASA APRA program [NNX17AB44G, NNX17AB46G]; NASA [NNX17AB44G, 1003295, NNX17AB46G, 1003608] Funding Source: Federal RePORTER</t>
  </si>
  <si>
    <t>Heising-Simons Foundation; Alfred P. Sloan Foundation(Alfred P. Sloan Foundation); National Science Foundation Graduate Research Fellowship(National Science Foundation (NSF)); JSPS KAKENHI(Ministry of Education, Culture, Sports, Science and Technology, Japan (MEXT)Japan Society for the Promotion of ScienceGrants-in-Aid for Scientific Research (KAKENHI)); Agenzia Spaziale Italiana (ASI)(Agenzia Spaziale Italiana (ASI)); NASA APRA program; NASA(National Aeronautics &amp; Space Administration (NASA))</t>
  </si>
  <si>
    <t>We thank SUMCO Corporation and Shimadzu Corporation for their cooperation in detector development. We also thank the GAPS collaboration for their consultation and support. K. Perez receives support from the Heising-Simons Foundation and the Alfred P. Sloan Foundation. F. Rogers is supported through the National Science Foundation Graduate Research Fellowship under Grant No. 1122374. M. Kozai is supported by the JSPS KAKENHI under Grant No. JP17K14313. H. Fuke is supported by the JSPS KAKENHI under Grant Nos. JP2670715 and JP17H01136. M. Manghisoni, V. Re, and E. Riceputi are supported by the Agenzia Spaziale Italiana (ASI). This work was partially supported by the NASA APRA program through Grant Nos. NNX17AB44G and NNX17AB46G.</t>
  </si>
  <si>
    <t>1748-0221</t>
  </si>
  <si>
    <t>J INSTRUM</t>
  </si>
  <si>
    <t>J. Instrum.</t>
  </si>
  <si>
    <t>P10009</t>
  </si>
  <si>
    <t>10.1088/1748-0221/14/10/P10009</t>
  </si>
  <si>
    <t>Instruments &amp; Instrumentation</t>
  </si>
  <si>
    <t>JU6QD</t>
  </si>
  <si>
    <t>WOS:000501798100009</t>
  </si>
  <si>
    <t>Garland, J; Jones, TR; Neuder, M; White, JWC; Bradley, E</t>
  </si>
  <si>
    <t>Garland, Joshua; Jones, Tyler R.; Neuder, Michael; White, James W. C.; Bradley, Elizabeth</t>
  </si>
  <si>
    <t>An information-theoretic approach to extracting climate signals from deep polar ice cores</t>
  </si>
  <si>
    <t>CHAOS</t>
  </si>
  <si>
    <t>WD2014 CHRONOLOGY; TEMPERATURE; RECORDS</t>
  </si>
  <si>
    <t>Paleoclimate records are rich sources of information about the past history of the Earth system. Information theory provides a new means for studying these records. We demonstrate that weighted permutation entropy of water-isotope data from the West Antarctica Ice Sheet (WAIS) Divide ice core reveals meaningful climate signals in this record. We find that this measure correlates with accumulation (meters of ice equivalent per year) and may record the influence of geothermal heating effects in the deepest parts of the core. Dansgaard-Oeschger and Antarctic Isotope Maxima events, however, do not appear to leave strong signatures in the information record, suggesting that these abrupt warming events may actually be predictable features of the climate's dynamics. While the potential power of information theory in paleoclimatology is significant, the associated methods require well-dated and high-resolution data. The WAIS Divide core is the first paleoclimate record that can support this kind of analysis. As more high-resolution records become available, information theory could become a powerful forensic tool in paleoclimate science. (C) 2019 Author(s).</t>
  </si>
  <si>
    <t>[Garland, Joshua; Bradley, Elizabeth] Santa Fe Inst, Santa Fe, NM 87501 USA; [Jones, Tyler R.; White, James W. C.] Univ Colorado, Inst Arctic &amp; Alpine Res, Boulder, CO 80309 USA; [Neuder, Michael; Bradley, Elizabeth] Univ Colorado, Dept Comp Sci, Boulder, CO 80309 USA</t>
  </si>
  <si>
    <t>The Santa Fe Institute; University of Colorado System; University of Colorado Boulder; University of Colorado System; University of Colorado Boulder</t>
  </si>
  <si>
    <t>Garland, J (corresponding author), Santa Fe Inst, Santa Fe, NM 87501 USA.</t>
  </si>
  <si>
    <t>White, James W.C./A-7845-2009</t>
  </si>
  <si>
    <t>Garland, Joshua/0000-0002-6724-2755; JONES, TYLER/0000-0003-1871-2105; BRADLEY, ELIZABETH/0000-0002-4567-2543</t>
  </si>
  <si>
    <t>National Science Foundation (NSF) [1245947, 1807478]; anOmidyar Fellowship at the Santa Fe Institute; U.S. National Science Foundation (NSF) [0537593, 0537661, 0537930, 0539232, 1043092, 1043167, 1043518, 1142166]; NSF [0230396, 0440817, 0944266, 0944348]; NSF Division of Polar Programs; Direct For Computer &amp; Info Scie &amp; Enginr; Div Of Information &amp; Intelligent Systems [1245947] Funding Source: National Science Foundation; Directorate For Geosciences; Office of Polar Programs (OPP) [0537593] Funding Source: National Science Foundation; Directorate For Geosciences; Office of Polar Programs (OPP) [0537930] Funding Source: National Science Foundation</t>
  </si>
  <si>
    <t>National Science Foundation (NSF)(National Science Foundation (NSF)); anOmidyar Fellowship at the Santa Fe Institute; U.S. National Science Foundation (NSF)(National Science Foundation (NSF)); NSF(National Science Foundation (NSF)); NSF Division of Polar Programs(National Science Foundation (NSF)NSF - Directorate for Geosciences (GEO)); Direct For Computer &amp; Info Scie &amp; Enginr; Div Of Information &amp; Intelligent Systems(National Science Foundation (NSF)NSF - Directorate for Computer &amp; Information Science &amp; Engineering (CISE)); Directorate For Geosciences; Office of Polar Programs (OPP)(National Science Foundation (NSF)NSF - Directorate for Geosciences (GEO)); Directorate For Geosciences; Office of Polar Programs (OPP)(National Science Foundation (NSF)NSF - Directorate for Geosciences (GEO))</t>
  </si>
  <si>
    <t>The authors would like to thank Jakob Runge, Nihat Ay, Holger Kantz, and Stephan Bialonski for valuable discussions, as well as Bruce Vaughn and Valerie Morris for their efforts in designing the laser-based, continuous flow measurement system for water isotopes. This material is based upon work sponsored by the National Science Foundation (NSF) (Grant Nos. 1245947 and 1807478). J.G. was supported by anOmidyar Fellowship at the Santa Fe Institute. TheWDC ice core was supported by the U.S. National Science Foundation (NSF) (Grant Nos. 0537593, 0537661, 0537930, 0539232, 1043092, 1043167, 1043518, and 1142166). Associated field and logistical activities were managed by the WAIS Divide Science Coordination Office at the Desert Research Institute, USA, and the University of New Hampshire, USA (NSF Grant Nos. 0230396, 0440817, 0944266, and 0944348). The NSF Division of Polar Programs funded the Ice Drilling Program Office, the Ice Drilling Design and Operations group, the NSF Ice Core Facility (formerly known as the National Ice Core Lab), theAntarctic SupportContractor, and the 109thNewYork AirNational Guard.Water-isotopemeasurements were performed at the Stable Isotope Lab at the Institute of Arctic and Alpine Research, University of Colorado. These data are archived on the website of the U.S. Antarctic Program Data Center.19 Any opinions, findings, and conclusions or recommendations expressed in thismaterial are those of the author(s) and do not necessarily reect the views of the NSF.</t>
  </si>
  <si>
    <t>AIP Publishing</t>
  </si>
  <si>
    <t>1054-1500</t>
  </si>
  <si>
    <t>1089-7682</t>
  </si>
  <si>
    <t>Chaos</t>
  </si>
  <si>
    <t>10.1063/1.5127211</t>
  </si>
  <si>
    <t>Mathematics, Applied; Physics, Mathematical</t>
  </si>
  <si>
    <t>Mathematics; Physics</t>
  </si>
  <si>
    <t>JT2JI</t>
  </si>
  <si>
    <t>WOS:000500821700005</t>
  </si>
  <si>
    <t>Moon, W; Nandan, V; Scharien, RK; Wilkinson, J; Yackel, JJ; Barrett, A; Lawrence, I; Segal, RA; Stroeve, J; Mahmud, M; Duke, PJ; Else, B</t>
  </si>
  <si>
    <t>Moon, Woosok; Nandan, Vishnu; Scharien, Randall K.; Wilkinson, Jeremy; Yackel, John J.; Barrett, Andrew; Lawrence, Isobel; Segal, Rebecca A.; Stroeve, Julienne; Mahmud, Mallik; Duke, Patrick J.; Else, Brent</t>
  </si>
  <si>
    <t>Physical length scales of wind-blown snow redistribution and accumulation on relatively smooth Arctic first-year sea ice</t>
  </si>
  <si>
    <t>snow thickness; first-year sea ice; multi-fractal analysis; snow dune; self-organized criticality; MF-TWDFA; cellular automata</t>
  </si>
  <si>
    <t>COVER; VARIABILITY; BUDGET</t>
  </si>
  <si>
    <t>Snow thickness measurements over relatively smooth Arctic first-year sea ice, obtained near Cambridge Bay in the Canadian Arctic (2014, 2016 and 2017) and near Elson Lagoon in the Alaskan Arctic (2003 and 2006), are analyzed to quantify physical length-scales and their relevant scaling behaviors. We use the multi-fractal temporally weighted detrended fluctuation analysis method to detect two major physical length-scales from the two independent study locations. Our results suggest that physical processes underlying the formation of snow dunes are consistent and that the wind is the main process shaping the snow thickness variability and redistribution. One scale, around 10 m, appears to be related to the formation of the snow 'dunes', while the other scale, between 30 and 100 m, is likely associated with the various interactions of the snow dunes such as merging, calving and lateral linking. Results imply that snow on level sea ice shows self-organized characteristics.</t>
  </si>
  <si>
    <t>[Moon, Woosok] Nord Inst Theoret Phys, Stockholm, Sweden; [Moon, Woosok] Stockholm Univ, Dept Math, Stockholm, Sweden; [Nandan, Vishnu; Scharien, Randall K.; Segal, Rebecca A.] Univ Victoria, Dept Geog, Ice Climate Ecosyst Remote Sensing Lab, Victoria, BC, Canada; [Nandan, Vishnu; Yackel, John J.; Mahmud, Mallik; Duke, Patrick J.; Else, Brent] Univ Calgary, Dept Geog, Cryosphere Climate Res Grp, Calgary, AB, Canada; [Wilkinson, Jeremy] British Antarctic Survey, Cambridge, England; [Barrett, Andrew] Univ Colorado, CIRES, Natl Snow &amp; Ice Data Ctr, Boulder, CO 80309 USA; [Lawrence, Isobel; Stroeve, Julienne] UCL, Inst Earth &amp; Planetary Sci, London, England</t>
  </si>
  <si>
    <t>Nordic Institute for Theoretical Physics; Stockholm University; University of Victoria; University of Calgary; UK Research &amp; Innovation (UKRI); Natural Environment Research Council (NERC); NERC British Antarctic Survey; University of Colorado System; University of Colorado Boulder; University of London; University College London</t>
  </si>
  <si>
    <t>Moon, W (corresponding author), Nord Inst Theoret Phys, Stockholm, Sweden.;Moon, W (corresponding author), Stockholm Univ, Dept Math, Stockholm, Sweden.</t>
  </si>
  <si>
    <t>woosok.moon@su.se</t>
  </si>
  <si>
    <t>Stroeve, Julienne/ABE-7227-2020; Else, Brent G/D-5267-2012; Nandan, Vishnu/IUP-4703-2023; Nandan, Vishnu/W-5164-2017</t>
  </si>
  <si>
    <t>Nandan, Vishnu/0000-0001-9643-6658; Duke, Patrick J./0000-0001-9189-5134; Nandan, Vishnu/0000-0002-5133-2676; Stroeve, Julienne/0000-0001-7316-8320; Mahmud, Mallik/0000-0002-6874-9048</t>
  </si>
  <si>
    <t>Natural Sciences and Engineering Research Council of Canada (NSERC); Polar Continental Shelf Project (PCSP); Northern Scientific Training Program (NSTP); ICE-ARC programme from the European Union 7th Framework Programme [603887]; NERC [bas0100032] Funding Source: UKRI</t>
  </si>
  <si>
    <t>Natural Sciences and Engineering Research Council of Canada (NSERC)(Natural Sciences and Engineering Research Council of Canada (NSERC)); Polar Continental Shelf Project (PCSP)(Natural Resources Canada); Northern Scientific Training Program (NSTP); ICE-ARC programme from the European Union 7th Framework Programme(European Union (EU)); NERC(UK Research &amp; Innovation (UKRI)Natural Environment Research Council (NERC))</t>
  </si>
  <si>
    <t>The authors thank Natural Sciences and Engineering Research Council of Canada (NSERC) Discovery and Tools and Infrastructure grants to John Yackel and Randall Scharien and Brent Else; Polar Continental Shelf Project (PCSP) and the Northern Scientific Training Program (NSTP) for financial and logistic support; POLAR Knowledge Canada, Cambridge Bay (Dwayne Beattie and Angulalik Pedersen) is also acknowledged for logistical support for field data collection. This work was supported by funding from the ICE-ARC programme from the European Union 7th Framework Programme, grant number 603887, ICE-ARC contribution number 065. The authors the Alaska Satellite Facility (ASF) and the Canadian Space Agency for providing RADARSAT-2 data. RADARSAT-2 Data and Products (c) MacDonald, Detwiller and Associates Ltd 2017-All Rights Reserved. RADARSAT is an official mark of the Canadian Space Agency.</t>
  </si>
  <si>
    <t>10.1088/1748-9326/ab3b8d</t>
  </si>
  <si>
    <t>JT2HR</t>
  </si>
  <si>
    <t>WOS:000500817400001</t>
  </si>
  <si>
    <t>Kawasaki, T; Adachi, T; Ohfuji, H; Osanai, Y</t>
  </si>
  <si>
    <t>Kawasaki, Toshisuke; Adachi, Tatsuro; Ohfuji, Hiroaki; Osanai, Yasuhito</t>
  </si>
  <si>
    <t>FeAlO3 under ultrahigh-temperature metamorphic conditions: Experimental evidence from the sillimanite-Fe2O3 and sillimanite-Fe3O4 systems</t>
  </si>
  <si>
    <t>FeAlO3; Fe- and Al-rich ultrahigh-temperature granulites; Oxidizing environment; Partial melting; Sillimanite</t>
  </si>
  <si>
    <t>CRYSTAL-STRUCTURE; MICROSTRUCTURE; MOSSBAUER; HEMATITE; AL2O3</t>
  </si>
  <si>
    <t>FeAlO3a) was synthesized under ultrahigh-temperature metamorphic conditions. The assemblage of FeAlO3, SiO2 rich melt and vapor was obtained from a mixture of Rundvagshetta sillimanite and reagent-grade Fe2O3 (weight ratio of 95:5) in Pt capsules at pressures of 5 and 9 kbar and a temperature of 1050 degrees C under hydrous conditions. No hematite was found in these runs. Corundum was a rare crystallization product in the 9 kbar experiment. We also produced FeAlO3, SiO2 -rich melt and vapor in the sillimanite-Fe3O4 (weight ratio of 86:14) system in a AuPd capsule at 9 kbar and 1050 degrees C under hydrous condition. A crystal domain comprising FeAlO3, corundum, magnetite-hercynite spinel and ulvospinel formed at the bottom part of the charge due to contamination by Ti from titanium oxide, probably rutile, included within the sillimanite. This domain was in contact with melt among sillimanite crystals. Our results suggest that FeAlO3 would be an index mineral for ultrahigh-temperature metamorphism of partially melted Fe- and Al-rich granulites generated under hydrous and oxidizing conditions.</t>
  </si>
  <si>
    <t>[Kawasaki, Toshisuke] Ehime Univ, Dept Earth Sci, Fac Sci, Matsuyama, Ehime 7908577, Japan; [Adachi, Tatsuro; Osanai, Yasuhito] Kyushu Univ, Div Earth Sci, Fac Social &amp; Cultural Studies, Fukuoka, Fukuoka 8190395, Japan; [Ohfuji, Hiroaki] Ehime Univ, Geodynam Res Ctr, Matsuyama, Ehime 7908577, Japan</t>
  </si>
  <si>
    <t>Ehime University; Kyushu University; Ehime University</t>
  </si>
  <si>
    <t>Kawasaki, T (corresponding author), Ehime Univ, Dept Earth Sci, Fac Sci, Matsuyama, Ehime 7908577, Japan.</t>
  </si>
  <si>
    <t>toshkawa@sci.ehime-u.ac.jp</t>
  </si>
  <si>
    <t>Ohfuji, Hiroaki/A-3923-2016</t>
  </si>
  <si>
    <t>Ohfuji, Hiroaki/0000-0002-0475-3515</t>
  </si>
  <si>
    <t>Japan Society for the Promotion of Science (JSPS) [JP25400516, JP15H03748, JP17K05709, JP18K03790]</t>
  </si>
  <si>
    <t>Japan Society for the Promotion of Science (JSPS)(Ministry of Education, Culture, Sports, Science and Technology, Japan (MEXT)Japan Society for the Promotion of Science)</t>
  </si>
  <si>
    <t>We express our sincere thanks to members of the 33rd and 44th Japanese Antarctic Research Expeditions for logistical support. We benefited from discussions on ultrahigh-temperature metamorphism and anatexis of lower crustal materials with Kaushik Das, Yoshikuni Hiroi, Tomokazu Hokada, Hideo Ishizuka, Tetsumaru Itaya, Yuki Mori, Mariko Nagashima, Nobuhiko Nakano, Tadao Nishiyama, Masaaki Owada and Toshiaki Tunogae. We also express our gratitude to Yoji Morifuku for technical support with the electron microprobe analyses. This study evolved via discussions with all the above researchers. Eri Hirayama and two anonymous reviewers provided invaluable and constructive comments to improve the manuscript. Finally, we gratefully acknowledge the support of Grants-in-Aid for Scientific Research from the Japan Society for the Promotion of Science (JSPS) (Nos. JP25400516, JP15H03748, JP17K05709 and JP18K03790).</t>
  </si>
  <si>
    <t>10.2465/jmps.190509</t>
  </si>
  <si>
    <t>JT3WW</t>
  </si>
  <si>
    <t>WOS:000500924500004</t>
  </si>
  <si>
    <t>Zhang, HY; Cao, MX; Fodjo, EK; Kong, C; Cai, YQ; Shen, XS; Chen, XZ</t>
  </si>
  <si>
    <t>Zhang, Hai-Yan; Cao, Ming-Xiu; Fodjo, Essy Kouadio; Kong, Cong; Cai, You-Qiong; Shen, Xiao-Sheng; Chen, Xue-Zhong</t>
  </si>
  <si>
    <t>Safety of Antarctic krill (Euphausia superba) as food source: its initial fluoride toxicity study</t>
  </si>
  <si>
    <t>FOOD SCIENCE AND TECHNOLOGY</t>
  </si>
  <si>
    <t>fluoride; Antarctic krill; food safety; toxicity; polar research</t>
  </si>
  <si>
    <t>SALMON SALMO-SALAR; COD GADUS-MORHUA; FISH-MEAL; ATLANTIC; METABOLISM; FLUOROSIS; MYKISS; BONES</t>
  </si>
  <si>
    <t>Antarctic Krill, rich in many nutrients, is supposed to be one of the strategic food sources. However, it is not acceptable for direct consumption as traditional food, as its high content of fluoride is harmful to adults and children. Therefore, the safety of fluoride residue in Antarctic krill for food production should be investigated. In this research, the fluoride toxicity in Antarctic Krill was evaluated through mice feeding experiment. Their body weight was found not to be influenced by fluoride. However, dental fluorosis was observed in the krill group and the NaF group. Fluoride content in liver, kidney, urine, and bones are significantly different (P&lt;0.05) among these three groups, which amount to plateau during the first ten days of feeding, except the fluoride in bone which keeps increasing all through the experimental time. Furthermore, less amount of fluoride was determined in the krill group compared with the amount in NaF group, even if they have the same concentration of fluoride. Besides, lesions in livers, kidneys and bones of the two experimental groups were observed through histopathological studies.</t>
  </si>
  <si>
    <t>[Zhang, Hai-Yan; Cao, Ming-Xiu; Kong, Cong; Cai, You-Qiong; Shen, Xiao-Sheng; Chen, Xue-Zhong] Chinese Acad Fishery Sci, East China Sea Fisheries Res Inst, Shanghai, Peoples R China; [Cao, Ming-Xiu] Shanghai Ocean Univ, Coll Food Sci &amp; Technol, Shanghai, Peoples R China; [Fodjo, Essy Kouadio] Felix Houphouet Boigny Univ, Phys Chem Lab, Abidjan, Cote Ivoire; [Kong, Cong; Shen, Xiao-Sheng] Chinese Acad Fishery Sci, East China Sea Fisheries Res Inst, Minist Agr &amp; Rural Affairs, Key Lab East China Sea Fishery Resources Exploita, Shanghai, Peoples R China</t>
  </si>
  <si>
    <t>Chinese Academy of Fishery Sciences; East China Sea Fisheries Research Institute, CAFS; Shanghai Ocean University; Universite Felix Houphouet-Boigny; Ministry of Agriculture &amp; Rural Affairs; Chinese Academy of Fishery Sciences; East China Sea Fisheries Research Institute, CAFS</t>
  </si>
  <si>
    <t>Kong, C; Shen, XS (corresponding author), Chinese Acad Fishery Sci, East China Sea Fisheries Res Inst, Shanghai, Peoples R China.;Kong, C; Shen, XS (corresponding author), Chinese Acad Fishery Sci, East China Sea Fisheries Res Inst, Minist Agr &amp; Rural Affairs, Key Lab East China Sea Fishery Resources Exploita, Shanghai, Peoples R China.</t>
  </si>
  <si>
    <t>kongc@ecsf.ac.cn; shenxs@ecsf.ac.cn</t>
  </si>
  <si>
    <t>Zhang, Haiyan/GMW-7284-2022; Kong, Cong/AAH-5146-2021; Fodjo, Essy Kouadio/K-2948-2014</t>
  </si>
  <si>
    <t>Kong, Cong/0000-0001-8084-2133; Fodjo, Essy Kouadio/0000-0002-7915-7216</t>
  </si>
  <si>
    <t>National Natural Science Foundation of China [31471672]; Shanghai Municipal Natural Science Foundation [17ZR1439400, 2011M13]</t>
  </si>
  <si>
    <t>National Natural Science Foundation of China(National Natural Science Foundation of China (NSFC)); Shanghai Municipal Natural Science Foundation</t>
  </si>
  <si>
    <t>We thank the financial support from National Natural Science Foundation of China (31471672), Shanghai Municipal Natural Science Foundation (17ZR1439400) and special research fund for the national non-profit institutes (East China Sea Fisheries Research Institute, No. 2011M13).</t>
  </si>
  <si>
    <t>SOC BRASILEIRA CIENCIA TECNOLOGIA ALIMENTOS</t>
  </si>
  <si>
    <t>CAMPINAS</t>
  </si>
  <si>
    <t>AV BRASIL 2880, CAXIA POSTAL 271 CEP 13001-970, CAMPINAS, SAO PAULO 00000, BRAZIL</t>
  </si>
  <si>
    <t>0101-2061</t>
  </si>
  <si>
    <t>1678-457X</t>
  </si>
  <si>
    <t>FOOD SCI TECH-BRAZIL</t>
  </si>
  <si>
    <t>Food Sci. Technol.</t>
  </si>
  <si>
    <t>OCT-DEC</t>
  </si>
  <si>
    <t>10.1590/fst.11418</t>
  </si>
  <si>
    <t>Food Science &amp; Technology</t>
  </si>
  <si>
    <t>JR5IU</t>
  </si>
  <si>
    <t>WOS:000499659400017</t>
  </si>
  <si>
    <t>Clark, L; Fogt, RL</t>
  </si>
  <si>
    <t>Clark, Logan; Fogt, Ryan L.</t>
  </si>
  <si>
    <t>Southern Hemisphere Pressure Relationships during the 20th Century-Implications for Climate Reconstructions and Model Evaluation</t>
  </si>
  <si>
    <t>Antarctica; southern hemisphere; pressure; variability; model evaluation; climate change</t>
  </si>
  <si>
    <t>ANNULAR MODE; PART I; VARIABILITY; OSCILLATION; CIRCULATION; TRENDS; ENSO; DEFINITION; ANTARCTICA; IMPACT</t>
  </si>
  <si>
    <t>The relationship between Southern Hemisphere middle and high-latitude regions has made it possible to generate observationally-based Antarctic pressure reconstructions throughout the 20th century, even though routinely collected observations for this continent only began around 1957. While nearly all reconstructions inherently assume stability in these relationships through time and in the absence of direct observations, this stationarity constraint can be fully tested in a model setting. Seasonal pressure reconstructions based on the principal component regression (PCR) method spanning 1905-2013 are done entirely within the framework of the Community Atmospheric version 5 (CAM5) model in this study in order to evaluate this assumption, test the robustness of the PCR procedure for Antarctic pressure reconstructions and to evaluate the CAM5 model. Notably, the CAM5 reconstructions outperformed the observationally-based reconstruction in every season except the austral summer. Other tests indicate that relationships between Antarctic pressure and pressure across the Southern Hemisphere remain stable throughout the 20th century in CAM5. In contrast, 20th century reanalyses all display marked changes in mid-to-high latitude pressure relationships in the early 20th century. Overall, comparisons indicate both the CAM5 model and the pressure reconstructions evaluated here are reliable estimates of Antarctic pressure throughout the 20th century, with the largest differences between the two resulting from differences in the underlying reconstruction predictor networks and not from changes in the model experiments.</t>
  </si>
  <si>
    <t>[Clark, Logan; Fogt, Ryan L.] Ohio Univ, Dept Geog, Athens, OH 45701 USA</t>
  </si>
  <si>
    <t>University System of Ohio; Ohio University</t>
  </si>
  <si>
    <t>Clark, L (corresponding author), Ohio Univ, Dept Geog, Athens, OH 45701 USA.</t>
  </si>
  <si>
    <t>lc491313@ohio.edu; fogtr@ohio.edu</t>
  </si>
  <si>
    <t>Fogt, Ryan L/B-6989-2008</t>
  </si>
  <si>
    <t>Fogt, Ryan L/0000-0002-5398-3990</t>
  </si>
  <si>
    <t>National Science Foundation [PLR-1341621, PLR-1744998]</t>
  </si>
  <si>
    <t>This research was funded by National Science Foundation, grant numbers PLR-1341621 and PLR-1744998.</t>
  </si>
  <si>
    <t>10.3390/geosciences9100413</t>
  </si>
  <si>
    <t>JP4YB</t>
  </si>
  <si>
    <t>WOS:000498271100009</t>
  </si>
  <si>
    <t>Groh, A; Horwath, M; Horvath, A; Meister, R; Sorensen, LS; Barletta, VR; Forsberg, R; Wouters, B; Ditmar, P; Ran, JJ; Klees, R; Su, XL; Shang, K; Guo, JY; Shum, CK; Schrama, E; Shepherd, A</t>
  </si>
  <si>
    <t>Groh, Andreas; Horwath, Martin; Horvath, Alexander; Meister, Rakia; Sorensen, Louise Sandberg; Barletta, Valentina R.; Forsberg, Rene; Wouters, Bert; Ditmar, Pavel; Ran, Jiangjun; Klees, Roland; Su, Xiaoli; Shang, Kun; Guo, Junyi; Shum, C. K.; Schrama, Ernst; Shepherd, Andrew</t>
  </si>
  <si>
    <t>Evaluating GRACE Mass Change Time Series for the Antarctic and Greenland Ice Sheet-Methods and Results</t>
  </si>
  <si>
    <t>GRACE; ice mass change; Greenland; Antarctica; methods</t>
  </si>
  <si>
    <t>SATELLITE-GRAVIMETRY; INTERANNUAL VARIATION; CLIMATE EXPERIMENT; GRAVITY RECOVERY; SURFACE; MODEL; EARTH; ALTIMETRY; CONSISTENCY; ANOMALIES</t>
  </si>
  <si>
    <t>Satellite gravimetry data acquired by the Gravity Recovery and Climate Experiment (GRACE) allows to derive the temporal evolution in ice mass for both the Antarctic Ice Sheet (AIS) and the Greenland Ice Sheet (GIS). Various algorithms have been used in a wide range of studies to generate Gravimetric Mass Balance (GMB) products. Results from different studies may be affected by substantial differences in the processing, including the applied algorithm, the utilised background models and the time period under consideration. This study gives a detailed description of an assessment of the performance of GMB algorithms using actual GRACE monthly solutions for a prescribed period as well as synthetic data sets. The inter-comparison exercise was conducted in the scope of the European Space Agency's Climate Change Initiative (CCI) project for the AIS and GIS, and was, for the first time, open to everyone. GMB products generated by different groups could be evaluated and directly compared against each other. For the period from 2003-02 to 2013-12, estimated linear trends in ice mass vary between -99 Gt/yr and -108 Gt/yr for the AIS and between -252 Gt/yr and -274 Gt/yr for the GIS, respectively. The spread between the solutions is larger if smaller drainage basins or gridded GMB products are considered. Finally, findings from the exercise formed the basis to select the algorithms used for the GMB product generation within the AIS and GIS CCI project.</t>
  </si>
  <si>
    <t>[Groh, Andreas; Horwath, Martin] Tech Univ Dresden, Inst Planetare Geodasie, D-01062 Dresden, Germany; [Horvath, Alexander] Tech Univ Munich, Inst Astronom &amp; Phys Geodasie, D-80333 Munich, Germany; [Meister, Rakia; Sorensen, Louise Sandberg; Barletta, Valentina R.; Forsberg, Rene] Tech Univ Denmark, DTU Space, DK-2800 Lyngby, Denmark; [Wouters, Bert] Univ Bristol, Bristol Glaciol Ctr, Bristol BS8 1SS, Avon, England; [Wouters, Bert; Ditmar, Pavel; Ran, Jiangjun] Delft Univ Technol, Dept Geosci &amp; Remote Sensing, Stevinweg 1, NL-2628 CN Delft, Netherlands; [Su, Xiaoli; Shang, Kun; Guo, Junyi; Shum, C. K.] Ohio State Univ, Sch Earth Sci, Columbus, OH 43210 USA; [Shum, C. K.] Chinese Acad Sci, Inst Geodesy &amp; Geophys, Wuhan 430077, Hubei, Peoples R China; [Schrama, Ernst] Delft Univ Technol, Dept Space Engn, Kluyverweg 1, NL-2629 HS Delft, Netherlands; [Shepherd, Andrew] Univ Leeds, Ctr Polar Observat &amp; Modelling, Sch Earth &amp; Environm, Leeds LS2 9JT, W Yorkshire, England; [Wouters, Bert] Univ Utrecht, Inst Marine &amp; Atmospher Res, POB 80-005, NL-3508 TA Utrecht, Netherlands; [Ran, Jiangjun] Southern Univ Sci &amp; Technol, Dept Earth &amp; Space Sci, Shenzhen 518055, Guangdong, Peoples R China; [Su, Xiaoli] Huazhong Univ Sci &amp; Technol, Sch Phys, Inst Geophys, Wuhan 430074, Hubei, Peoples R China; [Su, Xiaoli] Huazhong Univ Sci &amp; Technol, Sch Phys, PGMF, Wuhan 430074, Hubei, Peoples R China</t>
  </si>
  <si>
    <t>Technische Universitat Dresden; Technical University of Munich; Technical University of Denmark; University of Bristol; Delft University of Technology; University System of Ohio; Ohio State University; Chinese Academy of Sciences; Innovation Academy for Precision Measurement Science &amp; Technology, CAS; Delft University of Technology; University of Leeds; Utrecht University; Southern University of Science &amp; Technology; Huazhong University of Science &amp; Technology; Huazhong University of Science &amp; Technology</t>
  </si>
  <si>
    <t>Groh, A (corresponding author), Tech Univ Dresden, Inst Planetare Geodasie, D-01062 Dresden, Germany.</t>
  </si>
  <si>
    <t>andreas.groh@tu-dresden.de</t>
  </si>
  <si>
    <t>Wouters, Bert/AAA-4254-2019; Shang, Kun/R-5050-2019; Barletta, Valentina R./E-9128-2012; Horwath, Martin/ABH-4320-2020; Sorensen, Louise Sandberg/E-5282-2014; Ran, Jiangjun/U-2143-2018; Klees, Roland/I-3574-2013</t>
  </si>
  <si>
    <t>Wouters, Bert/0000-0002-1086-2435; Shang, Kun/0000-0003-0137-0081; Sorensen, Louise Sandberg/0000-0002-3771-4061; Forsberg, Rene/0000-0002-7288-9545; Barletta, Valentina Roberta/0000-0003-4427-0830; Shum, C K/0000-0001-9378-4067; Su, Xiaoli/0000-0003-0817-1122; Horwath, Martin/0000-0001-5797-244X; Ran, Jiangjun/0000-0001-9245-3346; Horvath, Alexander/0000-0002-9549-4845; Klees, Roland/0000-0002-0670-2607; Ditmar, Pavel/0000-0002-8188-7680; Groh, Andreas/0000-0003-0106-5802</t>
  </si>
  <si>
    <t>European Space Agency through the Climate Change Initiative project on the Antarctic Ice Sheet [4000112227/15/I-NB, 4000112228/15/I-NB]; European Space Agency through the Climate Change Initiative project on the Greenland Ice Sheet [4000112227/15/I-NB, 4000112228/15/I-NB]; Marie Curie International Outgoing Fellowship within the 7th European Community Framework Programme [FP7-PEOPLE-2011-IOF-301260]; NWO VIDI grant [016.Vidi.171.063]; Strategic Priority Research Program of the Chinese Academy of Sciences [XDA19070302]; National Natural Science Foundation of China [41584016]; SLUB/TU Dresden; NERC [NE/J005657/1, cpom30001, NE/J005681/1] Funding Source: UKRI</t>
  </si>
  <si>
    <t>European Space Agency through the Climate Change Initiative project on the Antarctic Ice Sheet; European Space Agency through the Climate Change Initiative project on the Greenland Ice Sheet; Marie Curie International Outgoing Fellowship within the 7th European Community Framework Programme(Marie Curie Actions); NWO VIDI grant(Netherlands Organization for Scientific Research (NWO)); Strategic Priority Research Program of the Chinese Academy of Sciences(Chinese Academy of Sciences); National Natural Science Foundation of China(National Natural Science Foundation of China (NSFC)); SLUB/TU Dresden; NERC(UK Research &amp; Innovation (UKRI)Natural Environment Research Council (NERC))</t>
  </si>
  <si>
    <t>This study was supported by the European Space Agency through the Climate Change Initiative projects on the Antarctic Ice Sheet and the Greenland Ice Sheet (grant numbers 4000112227/15/I-NB and 4000112228/15/I-NB). B.W. was funded by the Marie Curie International Outgoing Fellowship within the 7th European Community Framework Programme (FP7-PEOPLE-2011-IOF-301260) and NWO VIDI grant 016.Vidi.171.063. C.K.S. and his colleagues are partially supported by the Strategic Priority Research Program of the Chinese Academy of Sciences (Grant No. XDA19070302), and by the National Natural Science Foundation of China (Grant No. 41584016). We acknowledge support by the Open Access Publication Funds of the SLUB/TU Dresden.</t>
  </si>
  <si>
    <t>10.3390/geosciences9100415</t>
  </si>
  <si>
    <t>WOS:000498271100011</t>
  </si>
  <si>
    <t>Kravchuk, AA</t>
  </si>
  <si>
    <t>Kravchuk, Aleksey A.</t>
  </si>
  <si>
    <t>A Mechanism for Ensuring National Security of the Russian Federation in the Arctic</t>
  </si>
  <si>
    <t>TOMSK STATE UNIVERSITY JOURNAL</t>
  </si>
  <si>
    <t>Russian</t>
  </si>
  <si>
    <t>Arctic; Russian Federation; national security system; socioeconomic development strategy</t>
  </si>
  <si>
    <t>The article is devoted to the research of the mechanism for ensuring Russia's national security in the Arctic. Within the framework of this article, this mechanism is defined as the internal arrangement and the order of the functioning of the system ensuring the country's security. The order of functioning of this system-that is the interaction of all its structural elements-is determined by the existing normative-legal base of the state in the national security sphere. In this connection, the author successively solves two research objectives: to consider Russia's national security system in the Arctic and to analyze the current normative-legal base in the designated area. The article is based on the principle of an inseparable interconnection and interdependence of national security and socioeconomic development of the country, which was set by Russia's National Security Strategy. The first part of the article shows the goals, tasks and functions of the main structural elements of Russia's national security system in the Arctic, which includes the President, the Security Council, the State Commission for Arctic Development within the Government, the Arctic and Antarctic Council within the Federation Council, competent federal ministries, agencies, services, etc. The author points out that Russia's national security system in the Arctic is very effective and capable of solving relevant tasks, but it is more focused on performing protective functions, rather than addressing the problems of socioeconomic development. In the second part of the article, the author analyses the normative-legal base regulating the issues of national security and socioeconomic development of Russia's Arctic Zone. He states that this normative-legal base is very fragmented, being based on a sectoral approach rather than an integrated one. So, it is necessary to pass the comprehensive federal law On the Development of the Arctic Zone of the Russian Federation, which would allow Russia to legally define its Arctic as a special object of state administration, not related to the administrative-territorial division of the country. Through passing this law Russian leadership could also strengthen the national security system in the Arctic by adding some new structural elements to it, e.g. the Arctic Support Zones, their applicants and participants, the management company, etc. These elements will doubtlessly further facilitate the socioeconomic development of the region.</t>
  </si>
  <si>
    <t>[Kravchuk, Aleksey A.] Far Eastern Fed Univ, Vladivostok, Russia</t>
  </si>
  <si>
    <t>Far Eastern Federal University</t>
  </si>
  <si>
    <t>Kravchuk, AA (corresponding author), Far Eastern Fed Univ, Vladivostok, Russia.</t>
  </si>
  <si>
    <t>zkv3krava@mail.ru</t>
  </si>
  <si>
    <t>Kravchuk, Aleksey/AAX-4607-2020</t>
  </si>
  <si>
    <t>Kravchuk, Aleksey/0000-0002-3241-5812</t>
  </si>
  <si>
    <t>TOMSK STATE UNIV</t>
  </si>
  <si>
    <t>TOMSK</t>
  </si>
  <si>
    <t>LENIN AVE, 36, TOMSK, 634050, RUSSIA</t>
  </si>
  <si>
    <t>1561-7793</t>
  </si>
  <si>
    <t>1561-803X</t>
  </si>
  <si>
    <t>TOMSK STATE UNIV J</t>
  </si>
  <si>
    <t>Tomsk State Univ. J.</t>
  </si>
  <si>
    <t>10.17223/15617793/447/12</t>
  </si>
  <si>
    <t>JQ3XN</t>
  </si>
  <si>
    <t>WOS:000498882000012</t>
  </si>
  <si>
    <t>Chen, JQ; Han, B; Yang, QH; Wei, LX; Zeng, YD; Wu, RH; Zhang, L; Ding, ZM</t>
  </si>
  <si>
    <t>Chen, Jianqiao; Han, Bo; Yang, Qinghua; Wei, Lixin; Zeng, Yindong; Wu, Renhao; Zhang, Lin; Ding, Zhuoming</t>
  </si>
  <si>
    <t>Analysis of a Sea Fog Episode at King George Island, Antarctica</t>
  </si>
  <si>
    <t>marine fog; air-sea temperature difference; air-sea interaction; backward trajectory</t>
  </si>
  <si>
    <t>DIFFERENT AIR-FLOW; MARINE FOG; YELLOW SEA; TEMPERATURE INVERSION; DISSIPATION; STRATUS; COAST; ADVECTION; SUMMER; MODEL</t>
  </si>
  <si>
    <t>In this study, a marine fog episode at King George Island off the Antarctic Peninsula from 26-30 January 2017 was investigated using surface observations, upper-air soundings, and re-analysis data as well as the air mass backward trajectory method. The marine fog episode resulted from an approaching low-pressure system, was maintained at high wind speeds, and quickly dissipated when the low-pressure system passed the observation site. During this episode, cloud lay existed above the fog and stratus, the atmosphere was stably stratified for 1600 m, and the air close to the surface was more mixed than air in the upper layer. The air-sea temperature difference (ASTD) of 1-2 degrees C and a strong surface wind parallel to the gradient of SST were two important factors in the formation and maintenance of the marine fog near the Antarctic region. The convergence of flux for both water vapor and heat during the fog episode was also discussed.</t>
  </si>
  <si>
    <t>[Chen, Jianqiao; Zeng, Yindong] Fujian Marine Forecasts, Fuzhou 350003, Fujian, Peoples R China; [Han, Bo; Yang, Qinghua; Wu, Renhao] Sun Yat Sen Univ, Sch Atmospher Sci, Zhuhai 519082, Peoples R China; [Han, Bo; Yang, Qinghua; Wu, Renhao] Sun Yat Sen Univ, Guangdong Prov Key Lab Climate Change &amp; Nat Disas, Zhuhai 519082, Peoples R China; [Han, Bo; Yang, Qinghua; Wu, Renhao] Southern Marine Sci &amp; Engn Guangdong Lab Zhuhai, Zhuhai 519082, Peoples R China; [Wei, Lixin; Zhang, Lin; Ding, Zhuoming] Natl Marine Environm Forecasting Ctr, Beijing 100081, Peoples R China</t>
  </si>
  <si>
    <t>Sun Yat Sen University; Sun Yat Sen University; Southern Marine Science &amp; Engineering Guangdong Laboratory; Southern Marine Science &amp; Engineering Guangdong Laboratory (Zhuhai); National Marine Environmental Forecasting Center</t>
  </si>
  <si>
    <t>Han, B; Yang, QH (corresponding author), Sun Yat Sen Univ, Sch Atmospher Sci, Zhuhai 519082, Peoples R China.;Han, B; Yang, QH (corresponding author), Sun Yat Sen Univ, Guangdong Prov Key Lab Climate Change &amp; Nat Disas, Zhuhai 519082, Peoples R China.;Han, B; Yang, QH (corresponding author), Southern Marine Sci &amp; Engn Guangdong Lab Zhuhai, Zhuhai 519082, Peoples R China.</t>
  </si>
  <si>
    <t>xiguli520@163.com; hanbo5@mail.sysu.edu.cn; yangqh25@mail.sysu.edu.cn; lxwei@nmefc.cn; zydzyd100@163.com; wurenhao@mail.sysu.edu.cn; linzh-60@nmefc.cn; alexdzm.polar@outlook.com</t>
  </si>
  <si>
    <t>Han, Bo/KBC-0855-2024</t>
  </si>
  <si>
    <t>Han, Bo/0000-0002-6137-7907; Yang, Qinghua/0000-0002-7114-2036</t>
  </si>
  <si>
    <t>National Natural Science Foundation of China [41675015]; Opening Fund of Key Laboratory of Land Surface Process and Climate Change in Cold and Arid Regions, CAS [LPCC2018001, LPCC2018005]; Opening fund of State Key Laboratory of Cryospheric Science [SKLCS-OP-2019-09]</t>
  </si>
  <si>
    <t>National Natural Science Foundation of China(National Natural Science Foundation of China (NSFC)); Opening Fund of Key Laboratory of Land Surface Process and Climate Change in Cold and Arid Regions, CAS; Opening fund of State Key Laboratory of Cryospheric Science</t>
  </si>
  <si>
    <t>This study was supported by the National Natural Science Foundation of China (No. 41675015). Opening Fund of Key Laboratory of Land Surface Process and Climate Change in Cold and Arid Regions, CAS (No. LPCC2018001, LPCC2018005), and the Opening fund of State Key Laboratory of Cryospheric Science (SKLCS-OP-2019-09).</t>
  </si>
  <si>
    <t>10.3390/atmos10100585</t>
  </si>
  <si>
    <t>JP4WR</t>
  </si>
  <si>
    <t>WOS:000498267500023</t>
  </si>
  <si>
    <t>Reboita, MS; Nieto, R; da Rocha, RP; Drumond, A; Vázquez, M; Gimeno, L</t>
  </si>
  <si>
    <t>Reboita, Michelle Simoes; Nieto, Raquel; da Rocha, Rosmeri P.; Drumond, Anita; Vazquez, Marta; Gimeno, Luis</t>
  </si>
  <si>
    <t>Characterization of Moisture Sources for Austral Seas and Relationship with Sea Ice Concentration</t>
  </si>
  <si>
    <t>moisture sources; moisture sink; Southern Ocean Sea; sea ice concentration; Lagrangian analysis</t>
  </si>
  <si>
    <t>GLOBAL WATER CYCLE; LAGRANGIAN ANALYSIS; ATMOSPHERIC BRANCH; SOUTHERN-OCEAN; EXTRATROPICAL CYCLONES; HYDROLOGICAL CYCLE; TRANSPORT; TRENDS; ANTARCTICA; CLIMATE</t>
  </si>
  <si>
    <t>In this study, the moisture sources acting over each sea (Weddell, King Haakon VII, East Antarctic, Amundsen-Bellingshausen, and Ross-Amundsen) of the Southern Ocean during 1980-2015 are identified with the FLEXPART Lagrangian model and by using two approaches: backward and forward analyses. Backward analysis provides the moisture sources (positive values of Evaporation minus Precipitation, E - P &gt; 0), while forward analysis identifies the moisture sinks (E - P &lt; 0). The most important moisture sources for the austral seas come from midlatitude storm tracks, reaching a maximum between austral winter and spring. The maximum in moisture sinks, in general, occurs in austral end-summer/autumn. There is a negative correlation (higher with 2-months lagged) between moisture sink and sea ice concentration (SIC), indicating that an increase in the moisture sink can be associated with the decrease in the SIC. This correlation is investigated by focusing on extremes (high and low) of the moisture sink over the Weddell Sea. Periods of high (low) moisture sinks show changes in the atmospheric circulation with a consequent positive (negative) temperature anomaly contributing to decreasing (increasing) the SIC over the Weddell Sea. This study also suggests possible relationships between the positive (negative) phase of the Southern Annular Mode with the increase (decrease) in the moisture that travels from the midlatitude sources to the Weddell Sea.</t>
  </si>
  <si>
    <t>[Reboita, Michelle Simoes] Univ Fed Itajuba, Inst Recursos Nat, BR-37500903 Itajuba, MG, Brazil; [Nieto, Raquel; Vazquez, Marta; Gimeno, Luis] Univ Vigo, Environm Phys Lab EPhysLab, CIM UVigo, Orense 32004, Spain; [da Rocha, Rosmeri P.] Univ Sao Paulo, Dept Ciencias Atmosfer, BR-05508090 Sao Paulo, SP, Brazil; [Drumond, Anita] Univ Fed Sao Paulo, Inst Ciencias Ambientais Quim &amp; Farmaceut, BR-09913030 Diadema, Brazil; [Vazquez, Marta] Univ Lisbon, Inst Dom Luiz, P-1749016 Lisbon, Portugal</t>
  </si>
  <si>
    <t>Universidade Federal de Itajuba; Universidade de Vigo; CIM UVIGO; Universidade de Sao Paulo; Universidade Federal de Sao Paulo (UNIFESP); Universidade de Lisboa</t>
  </si>
  <si>
    <t>Gimeno, L (corresponding author), Univ Vigo, Environm Phys Lab EPhysLab, CIM UVigo, Orense 32004, Spain.</t>
  </si>
  <si>
    <t>reboita@gmail.com; rnieto@uvigo.es; rosmerir.rocha@iag.usp.br; anita.drumond@unifesp.br; martavazquez@uvigo.es; l.gimeno@uvigo.es</t>
  </si>
  <si>
    <t>GIMENO, LUIS/B-8137-2008; Vazquez, Marta/AAA-6571-2019; da Rocha, Rosmeri P/L-6772-2018; Nieto, Raquel/AAT-8925-2020; Drumond, Anita/G-5767-2013</t>
  </si>
  <si>
    <t>Vazquez, Marta/0000-0003-0505-1918; da Rocha, Rosmeri P/0000-0003-3378-393X; Nieto, Raquel/0000-0002-8984-0959; Drumond, Anita/0000-0002-0432-8842; GIMENO, LUIS/0000-0002-0778-3605</t>
  </si>
  <si>
    <t>FAPESP [2017/03981-3]; CNPq [304949/2018-3]; Xunta de Galicia - European Regional Development Fund (FEDER) [ED413C 2017/64]; Xunta de Galicia [ED481B 2018/062]</t>
  </si>
  <si>
    <t>FAPESP(Fundacao de Amparo a Pesquisa do Estado de Sao Paulo (FAPESP)); CNPq(Conselho Nacional de Desenvolvimento Cientifico e Tecnologico (CNPQ)); Xunta de Galicia - European Regional Development Fund (FEDER); Xunta de Galicia(Xunta de Galicia)</t>
  </si>
  <si>
    <t>This research was funded by FAPESP grant number 2017/03981-3, CNPq grant number 304949/2018-3, Xunta de Galicia grant number ED413C 2017/64 Programa de Consolidacion e Estructuracion de Unidades de Investigacion Competitivas (Grupos de Referencia Competitiva) co-funded by the European Regional Development Fund (FEDER). M.V was supported by the Xunta de Galicia under grant ED481B 2018/062.</t>
  </si>
  <si>
    <t>10.3390/atmos10100627</t>
  </si>
  <si>
    <t>WOS:000498267500065</t>
  </si>
  <si>
    <t>Park, AK; Kim, IS; Do, H; Kim, H; Choi, W; Jo, SW; Shin, SC; Lee, JH; Yoon, HS; Kim, HW</t>
  </si>
  <si>
    <t>Park, Ae Kyung; Kim, Il-Sup; Do, Hackwon; Kim, Hyun; Choi, Woong; Jo, Seung-Woo; Shin, Seung Chul; Lee, Jun Hyuck; Yoon, Ho-Sung; Kim, Han-Woo</t>
  </si>
  <si>
    <t>Characterization and Structural Determination of Cold-Adapted Monodehydroascorbate Reductase, MDHAR, from the Antarctic Hairgrass Deschampsia Antarctica</t>
  </si>
  <si>
    <t>CRYSTALS</t>
  </si>
  <si>
    <t>monodehydroascorbate reductase; Antarctic hairgrass; cold adaptation</t>
  </si>
  <si>
    <t>ABIOTIC STRESS TOLERANCE; ENHANCED TOLERANCE; ASCORBIC-ACID; OVEREXPRESSION; OXYGEN; CHLOROPLASTS; ACCLIMATION; TEMPERATURE; DROUGHT; OZONE</t>
  </si>
  <si>
    <t>Ascorbic acid (AsA) is an abundant component of plants and acts as a strong and active antioxidant. In order to maintain the antioxidative capacity of AsA, the rapid regeneration of AsA is regulated by dehydroascorbate reductase (DHAR) and monodehydroascorbate reductase (MDHAR). To understand how MDHAR functions under extreme temperature conditions, this study characterized its biochemical properties and determined the crystal structure of MDHAR from the Antarctic hairgrass Deschampsia antarctica (DaMDHAR) at 2.2 angstrom resolution. This allowed for a structural comparison with the mesophilic MDHAR from Oryza sativa L. japonica (OsMDHAR). In the functional analysis, yeast cells expressing DaMDHAR were tolerant to freezing and thawing cycles. It is possible that the expression of DaMDHAR in yeast enhanced the tolerance for ROS-induced abiotic stress.</t>
  </si>
  <si>
    <t>[Park, Ae Kyung; Do, Hackwon; Kim, Hyun; Choi, Woong; Shin, Seung Chul; Lee, Jun Hyuck; Kim, Han-Woo] Korea Polar Res Inst, Unit Res Pract Applicat, Incheon 21990, South Korea; [Park, Ae Kyung] Korea Ctr Dis Control &amp; Prevent, Ctr Lab Control Infect Dis, Div Bacterial Dis, Chungcheongbuk Do 28159, South Korea; [Kim, Il-Sup; Yoon, Ho-Sung] Kyungpook Natl Univ, Adv Bioresource Res Ctr, Daegu 41566, South Korea; [Do, Hackwon] Houston Methodist Hosp Res Inst, Dept Pathol &amp; Genom Med, Houston, TX 77030 USA; [Jo, Seung-Woo; Yoon, Ho-Sung] Kyungpook Natl Univ, Dept Energy Sci, Daegu 41566, South Korea; [Lee, Jun Hyuck; Kim, Han-Woo] Univ Sci &amp; Technol, Dept Polar Sci, Incheon 21990, South Korea; [Yoon, Ho-Sung] Kyungpook Natl Univ, Sch Life Sci, Plus KNU Creat BioRes Grp BK21, Daegu 41566, South Korea</t>
  </si>
  <si>
    <t>Korea Polar Research Institute (KOPRI); Korea Disease Control &amp; Prevention Agency (KDCA); Korea CDC Center for Disease Prevention; Kyungpook National University; The Methodist Hospital System; The Methodist Hospital - Houston; Kyungpook National University; Kyungpook National University</t>
  </si>
  <si>
    <t>Kim, HW (corresponding author), Korea Polar Res Inst, Unit Res Pract Applicat, Incheon 21990, South Korea.;Kim, HW (corresponding author), Univ Sci &amp; Technol, Dept Polar Sci, Incheon 21990, South Korea.</t>
  </si>
  <si>
    <t>parkak1003@korea.kr; 92kis@hanmail.net; hdo@houstonmethodist.org; kh@kopri.re.kr; woong@kopri.re.kr; jsw8796@gmail.com; ssc@kopri.re.kr; junhyucklee@kopri.re.kr; hsy@knu.ac.kr; hwkim@kopri.re.kr</t>
  </si>
  <si>
    <t>kim, han-woo/0000-0002-3074-0363; , Hackwon/0000-0001-7663-2010</t>
  </si>
  <si>
    <t>National Research Foundation of Korea Grant from the Korean Government (MSIT; the Ministry of Science and ICT) [NRF-2017M1A5A1013568, KOPRI-PN19082]; Korea Polar Research Institute [KOPRI-PE19080]; Next-Generation BioGreen 21 Program, Rural Development Administration, Korea [PJ013240]</t>
  </si>
  <si>
    <t>National Research Foundation of Korea Grant from the Korean Government (MSIT; the Ministry of Science and ICT)(National Research Foundation of KoreaMinistry of Science &amp; ICT (MSIT), Republic of Korea); Korea Polar Research Institute(Korea Polar Research Institute of Marine Research Placement (KOPRI)); Next-Generation BioGreen 21 Program, Rural Development Administration, Korea(Rural Development Administration (RDA), Republic of Korea)</t>
  </si>
  <si>
    <t>This research was supported by a National Research Foundation of Korea Grant from the Korean Government (MSIT; the Ministry of Science and ICT) (NRF-2017M1A5A1013568) (KOPRI-PN19082) (Title: application study on the Arctic cold-active enzyme degrading organic carbon compounds), the Korea Polar Research Institute (KOPRI-PE19080) and a grant from the Next-Generation BioGreen 21 Program (No. PJ013240), Rural Development Administration, Korea.</t>
  </si>
  <si>
    <t>2073-4352</t>
  </si>
  <si>
    <t>Crystals</t>
  </si>
  <si>
    <t>10.3390/cryst9100537</t>
  </si>
  <si>
    <t>Crystallography; Materials Science, Multidisciplinary</t>
  </si>
  <si>
    <t>Crystallography; Materials Science</t>
  </si>
  <si>
    <t>JP4VE</t>
  </si>
  <si>
    <t>WOS:000498263500052</t>
  </si>
  <si>
    <t>Hong, B; Rabassa, J; Uchida, M; Hong, YT; Peng, HJ; Ding, HW; Guo, Q; Yao, H</t>
  </si>
  <si>
    <t>Hong, Bing; Rabassa, Jorge; Uchida, Masao; Hong, Yetang; Peng, Haijun; Ding, Hanwei; Guo, Qian; Yao, Hu</t>
  </si>
  <si>
    <t>Response and feedback of the Indian summer monsoon and the Southern Westerly Winds to a temperature contrast between the hemispheres during the last glacial-interglacial transitional period</t>
  </si>
  <si>
    <t>Earth system; Interhemispheric thermal gradient; Meridional overturning circulation; ENSO; ITCZ; Patagonia; Peat</t>
  </si>
  <si>
    <t>NORTH-ATLANTIC CLIMATE; HIGH-RESOLUTION; ASIAN MONSOON; POSTGLACIAL VEGETATION; FIRE HISTORY; HOLOCENE; RECORD; OCEAN; PACIFIC; PATAGONIA</t>
  </si>
  <si>
    <t>The hypothesis that an interhemispheric thermal gradient, or a temperature contrast between the hemispheres (TCBH), drives shifts in the latitudinal position of the Intertropical Convergence Zone (ITCZ) and the Southern Westerly Winds (SWW) is considered one of the most important climate change mechanisms proposed in the last few decades. However, the controversy over the shifting magnitude and direction of the ITCZ and the SWW brings uncertainty to the hypothesis. Here, we further examine the shifting characteristics of the ITCZ and its relationship with the intensity variation of the Indian summer monsoon (ISM) based on synthesis and summary of previously published literature data. In particular, we evaluate regional distribution patterns of the dry and wet climatic changes in southern South America during the last glacial-interglacial transitional period, including the Heinrich event 1, the Antarctic Cold Reversal, and the Younger Dryas. The results show that in response to the Northern Hemisphere-wide cooling and the Southern Hemisphere-wide warming (the Northern Hemisphere-wide warming and the Southern Hemisphere-wide cooling) during the period, the ITCZ over the Asian and northern South American continents and the SWW shift poleward (equatorward), while the intensity of the ISM decreases (increases). However, the shifting characteristics of the ITCZ over the vast Pacific Ocean remain unclear, which implies that the relationship between the TCBH and the El Nino-Southern Oscillation in the tropical Pacific Ocean needs to be studied. In addition, there may be a relatively stable core region in the SWW. This core region is located in Central Patagonia at approximately 47 degrees S, where the local climate is wetter during the all transition period, showing the continuous influence of the SWW on this region. The position shift of the SWW in response to the TCBH phase changes seems to behave as a swing process with an axis of approximately 47 degrees S. The poleward swing of the SWW may trigger the self-repairing process of the global climate system after the catastrophic impacts of the meltwater, including the pulling effect of the enhanced upwelling on the Atlantic meridional overturning circulation, the influence of CO2 released from the deep sea, and the impact of the gradual strengthening of the ISM. These results support and reinforce the hypothesis that the TCBH drives global climate change, highlight the global teleconnection characteristics of the key physical processes in the Earth's climate system and the important role of the SWW in this teleconnection, and provide a basis for further simulating the climate connections in the two hemispheres, especially the impact of the SWW on the global climate change.</t>
  </si>
  <si>
    <t>[Hong, Bing; Hong, Yetang; Peng, Haijun; Ding, Hanwei; Guo, Qian; Yao, Hu] Chinese Acad Sci, Inst Geochem, State Key Lab Environm Geochem, 99 Lincheng Rd West, Guiyang 550081, Guizhou, Peoples R China; [Hong, Bing] CAS Ctr Excellence Quaternary Sci &amp; Global Change, Xian 710061, Shaanxi, Peoples R China; [Rabassa, Jorge] Consejo Nacl Invest Cient &amp; Tecn, CADIC, Ctr Austral Invest Cientificas, CC 92, RA-9410 Ushuaia, Tierra Del Fueg, Argentina; [Uchida, Masao] Natl Inst Environm Studies, Ctr Environm Measurement &amp; Anal, Onogawa 16-2, Tsukuba, Ibaraki 3050053, Japan</t>
  </si>
  <si>
    <t>Chinese Academy of Sciences; Institute of Geochemistry, CAS; Consejo Nacional de Investigaciones Cientificas y Tecnicas (CONICET); National Institute for Environmental Studies - Japan</t>
  </si>
  <si>
    <t>Hong, B; Hong, YT (corresponding author), Chinese Acad Sci, Inst Geochem, State Key Lab Environm Geochem, 99 Lincheng Rd West, Guiyang 550081, Guizhou, Peoples R China.</t>
  </si>
  <si>
    <t>hongbing@vip.skleg.cn; hongyetang@vip.skleg.cn</t>
  </si>
  <si>
    <t>Hong, Yetang/C-6927-2013; Peng, Haijun/AAV-2687-2020; TERRA, NIES/AAW-3488-2020; Uchida, Masao/C-3673-2013</t>
  </si>
  <si>
    <t>Yao, Hu/0000-0003-3986-7958; Hong, Bing/0000-0002-5339-3579</t>
  </si>
  <si>
    <t>National Natural Science Foundation of China [41673119, 41773140, 41373134]</t>
  </si>
  <si>
    <t>This work was supported by the National Natural Science Foundation of China (Grant No. 41673119, 41773140, 41373134).</t>
  </si>
  <si>
    <t>10.1016/j.earscirev.2019.102917</t>
  </si>
  <si>
    <t>JO0BU</t>
  </si>
  <si>
    <t>WOS:000497253500011</t>
  </si>
  <si>
    <t>Mackensen, A; Schmiedl, G</t>
  </si>
  <si>
    <t>Mackensen, Andreas; Schmiedl, Gerhard</t>
  </si>
  <si>
    <t>Stable carbon isotopes in paleoceanography: atmosphere, oceans, and sediments</t>
  </si>
  <si>
    <t>DEEP-WATER CIRCULATION; ANTARCTIC ICE-SHEET; MIDDLE PLEISTOCENE TRANSITION; SEA BENTHIC FORAMINIFERA; MODERN METHANE SEEPS; FOSSIL-FUEL CO2; SOUTHERN-OCEAN; ORGANIC-CARBON; CLIMATE-CHANGE; BOTTOM-WATER</t>
  </si>
  <si>
    <t>Carbon is one of the key elements in organisms and non-living compounds on Earth. Carbon dioxide and methane are important greenhouse gases in the atmosphere, dissolved inorganic (DIC) and organic carbon (DOC) determine water biogeochemistry, and carbonates are major constituents of marine sediments. Stable carbon isotope ratios (C-13/C-12), expressed as delta C-13 values, are widely used in modem Earth sciences. delta C-13(CO2) values of atmospheric carbon dioxide reflect global climate evolution and change. Marine delta C-13(DIC) is used as water-mass tracer and helps quantifying the anthropogenic CO2 uptake of the ocean. The delta C-13 values of fossil planktic and benthic carbonates indicate changes in circulation pattern and deep-water ventilation of ancient oceans, as well as paleoproductivity at the sea surface and methane release at the sea floor. The delta C-13(OM) values of sedimentary organic matter (OM) and compound-specific delta C-13 values of molecular organic biomarkers indicate whether the organic carbon is of marine or terrestrial provenience. Secular delta C-13 variations and excursions in carbonates are important stratigraphic marker and tie points. Here we review the application of stable carbon isotope ratios in ocean water and biogenic carbonates as proxies in paleoceanography, including the atmospheric and sedimentary reservoirs oceanic carbon is in exchange with. Due to the wide use of delta C-13 values in Earth sciences, this overview necessarily does not claim to be complete; rather we focus on field-based stable carbon isotope research and its significance in paleoceanography. This may assist in evaluating general circulation model results and foster development of new innovative proxies.</t>
  </si>
  <si>
    <t>[Mackensen, Andreas] Alfred Wegener Inst Polar &amp; Marine Res, Alten Hafen 26, D-27568 Bremerhaven, Germany; [Schmiedl, Gerhard] Univ Hamburg, Inst Geol, Ctr Earth Syst Res &amp; Sustainabil, Bundesstr 55, D-20146 Hamburg, Germany</t>
  </si>
  <si>
    <t>Helmholtz Association; Alfred Wegener Institute, Helmholtz Centre for Polar &amp; Marine Research; University of Hamburg</t>
  </si>
  <si>
    <t>Mackensen, A (corresponding author), Alfred Wegener Inst Polar &amp; Marine Res, Alten Hafen 26, D-27568 Bremerhaven, Germany.</t>
  </si>
  <si>
    <t>andreas.mackensen@awi.de</t>
  </si>
  <si>
    <t>Schmiedl, Gerhard/E-6644-2017; Mackensen, Andreas/J-8600-2013</t>
  </si>
  <si>
    <t>Schmiedl, Gerhard/0000-0002-2177-6858; Mackensen, Andreas/0000-0002-5024-4455</t>
  </si>
  <si>
    <t>10.1016/j.earscirev.2019.102893</t>
  </si>
  <si>
    <t>WOS:000497253500001</t>
  </si>
  <si>
    <t>Nicolas, M; Martinent, G; Suedfeld, P; Gaudino, M</t>
  </si>
  <si>
    <t>Nicolas, Michel; Martinent, Guillaume; Suedfeld, Peter; Gaudino, Marvin</t>
  </si>
  <si>
    <t>Assessing psychological adaptation during polar winter-overs: The isolated and confined environments questionnaire (ICE-Q)</t>
  </si>
  <si>
    <t>JOURNAL OF ENVIRONMENTAL PSYCHOLOGY</t>
  </si>
  <si>
    <t>Psychological adaptation; ICE; Monitoring; Questionnaire; Factor analyses</t>
  </si>
  <si>
    <t>COVARIANCE STRUCTURE-ANALYSIS; DEFENSE-MECHANISMS; SPACE; INTEGRATION; VALIDATION; CHALLENGES; RESPONSES; OUTCOMES; BOREDOM; MARS</t>
  </si>
  <si>
    <t>Stressors in Isolated, Confined, Extreme environments (ICE environments) pose important challenges to psychological adaptation, whose assessment is therefore an important research issue. This article describes a standardized instrument, the ICE-Q, to help evaluate individual differences in adaptation to ICE environments. Several groups (n = 140), each spending one year in sub-Antarctic or Antarctic stations, completed a questionnaire. Factor analyses provided strong evidence for the construct validity of the ICE-Q. The most salient factors were (a) social (e.g., relationships, social support), (b) emotional (e.g., emotional changes, boredom) (c) occupational (e.g., level of investment in work and leisure activities), and (d) physical (e.g., fatigue, well-being). Complementing other methods, this short, quick, cost-effective and non-invasive measure could serve to (1) monitor psychological adaptation within the four key domains, and (2) assess methods used to facilitate adaptation to extreme situations and enhance the health and well-being of participants.</t>
  </si>
  <si>
    <t>[Nicolas, Michel; Gaudino, Marvin] Univ Bourgogne Franche Comte, Lab Psy DREPI, EA 7458, Dijon, France; [Martinent, Guillaume] Univ Lyon 1, Lab Vulnerabil &amp; Innovat Sport, EA 7428, Interdisciplinary Res Confederat Sport,FED 4272, Lyon, France; [Suedfeld, Peter] Univ British Columbia, Dept Psychol, Vancouver, BC, Canada</t>
  </si>
  <si>
    <t>Universite de Bourgogne; Universite Claude Bernard Lyon 1; University of British Columbia</t>
  </si>
  <si>
    <t>Nicolas, M (corresponding author), Univ Bourgogne Franche Comte, Lab Psy DREPI, EA 7458, Dijon, France.</t>
  </si>
  <si>
    <t>michel.nicolas@u-bourgogne.fr</t>
  </si>
  <si>
    <t>NICOLAS, Michel/AAZ-6390-2021</t>
  </si>
  <si>
    <t>NICOLAS, Michel/0000-0001-7206-671X</t>
  </si>
  <si>
    <t>university and the region of Bourgogne Franche-Comte; Centre National d'Etudes Spatiales (CNES), France</t>
  </si>
  <si>
    <t>university and the region of Bourgogne Franche-Comte; Centre National d'Etudes Spatiales (CNES), France(Centre National D'etudes Spatiales)</t>
  </si>
  <si>
    <t>We would like to thank the participants who completed, and the physicians who administered, this research protocol during several winterings, the French Polar Institute IPEV (Institut Paul Emile Victor), the European Space Agency (ESA) and the Canadian Space Agency (CSA). The work reported in this article was funded by research grants from the university and the region of Bourgogne Franche-Comte, and the Centre National d'Etudes Spatiales (CNES), France.</t>
  </si>
  <si>
    <t>0272-4944</t>
  </si>
  <si>
    <t>1522-9610</t>
  </si>
  <si>
    <t>J ENVIRON PSYCHOL</t>
  </si>
  <si>
    <t>J. Environ. Psychol.</t>
  </si>
  <si>
    <t>10.1016/j.jenvp.2019.101317</t>
  </si>
  <si>
    <t>JP5UB</t>
  </si>
  <si>
    <t>WOS:000498328300020</t>
  </si>
  <si>
    <t>Bruno, S; Coppola, D; di Prisco, G; Giordano, D; Verde, C</t>
  </si>
  <si>
    <t>Bruno, Stefano; Coppola, Daniela; di Prisco, Guido; Giordano, Daniela; Verde, Cinzia</t>
  </si>
  <si>
    <t>Enzymes from Marine Polar Regions and Their Biotechnological Applications</t>
  </si>
  <si>
    <t>Arctic/Antarctic environment; biocatalysis; cold-adaptation; marine biotechnology</t>
  </si>
  <si>
    <t>BACTERIUM COLWELLIA-PSYCHRERYTHRAEA; COLD-ADAPTED LIPASE; PSEUDOALTEROMONAS-HALOPLANKTIS TAC125; RECOMBINANT SUPEROXIDE-DISMUTASE; AROMATIC ACID DECARBOXYLASE; L-THREONINE DEHYDROGENASE; X-RAY-DIFFRACTION; PSYCHROPHILIC BACTERIUM; ANTARCTIC BACTERIUM; BETA-GALACTOSIDASE</t>
  </si>
  <si>
    <t>The microorganisms that evolved at low temperatures express cold-adapted enzymes endowed with unique catalytic properties in comparison to their mesophilic homologues, i.e., higher catalytic efficiency, improved flexibility, and lower thermal stability. Cold environments are therefore an attractive research area for the discovery of enzymes to be used for investigational and industrial applications in which such properties are desirable. In this work, we will review the literature on cold-adapted enzymes specifically focusing on those discovered in the bioprospecting of polar marine environments, so far largely neglected because of their limited accessibility. We will discuss their existing or proposed biotechnological applications within the framework of the more general applications of cold-adapted enzymes.</t>
  </si>
  <si>
    <t>[Bruno, Stefano] Univ Parma, Dept Food &amp; Drug, Parco Area Sci 23A, I-43124 Parma, Italy; [Coppola, Daniela; di Prisco, Guido; Giordano, Daniela; Verde, Cinzia] CNR, Inst Biosci &amp; BioResources IBBR, Via Pietro Castellino 111, I-80131 Naples, Italy; [Coppola, Daniela; Giordano, Daniela; Verde, Cinzia] Stn Zool Anton Dohrn, Dept Marine Biotechnol, I-80121 Naples, Italy</t>
  </si>
  <si>
    <t>University of Parma; Consiglio Nazionale delle Ricerche (CNR); Istituto di Bioscienze e Biorisorse (IBBR-CNR); Stazione Zoologica Anton Dohrn di Napoli</t>
  </si>
  <si>
    <t>Verde, C (corresponding author), CNR, Inst Biosci &amp; BioResources IBBR, Via Pietro Castellino 111, I-80131 Naples, Italy.;Verde, C (corresponding author), Stn Zool Anton Dohrn, Dept Marine Biotechnol, I-80121 Naples, Italy.</t>
  </si>
  <si>
    <t>stefano.bruno@unipr.it; daniela.coppola@ibbr.cnr.it; guido.diprisco@ibbr.cnr.it; daniela.giordano@ibbr.cnr.it; c.verde@ibp.cnr.it</t>
  </si>
  <si>
    <t>Coppola, Daniela/ABG-4430-2020; Giordano, Daniela/AFK-7772-2022; Bruno, Stefano/A-4582-2011</t>
  </si>
  <si>
    <t>Giordano, Daniela/0000-0002-8891-6245; Bruno, Stefano/0000-0002-7890-2472; Coppola, Daniela/0000-0001-6699-8967; VERDE, Cinzia/0000-0001-6185-282X</t>
  </si>
  <si>
    <t>Italian National Programme for Antarctic Research (PNRA) [2016/AZ1.06, PNRA16_00043, 2016/AZ1.20, PNRA16_00128]</t>
  </si>
  <si>
    <t>This study was financially supported by the Italian National Programme for Antarctic Research (PNRA) (2016/AZ1.06-Project PNRA16_00043 and 2016/AZ1.20-Project PNRA16_00128). It was carried out in the framework of the SCAR Programme Antarctic Thresholds-Ecosystem Resilience and Adaptation (AnT-ERA).</t>
  </si>
  <si>
    <t>10.3390/md17100544</t>
  </si>
  <si>
    <t>JP1XI</t>
  </si>
  <si>
    <t>WOS:000498064500004</t>
  </si>
  <si>
    <t>Gerdol, M; Greco, S; Pallavicini, A</t>
  </si>
  <si>
    <t>Gerdol, Marco; Greco, Samuele; Pallavicini, Alberto</t>
  </si>
  <si>
    <t>Extensive Tandem Duplication Events Drive the Expansion of the C1q-Domain-Containing Gene Family in Bivalves</t>
  </si>
  <si>
    <t>innate immunity; lectins; complement system; C1q; bivalve mollusks; tandem duplication; pattern recognition receptors</t>
  </si>
  <si>
    <t>PATTERN-RECOGNITION RECEPTOR; RHAMNOSE-BINDING LECTIN; AMINO-ACID-SEQUENCE; EASTERN OYSTER; C1QDC PROTEIN; WHOLE-GENOME; COMPLEMENT; REVEALS; TRANSCRIPTOME; ADAPTATION</t>
  </si>
  <si>
    <t>C1q-domain-containing (C1qDC) proteins are rapidly emerging as key players in the innate immune response of bivalve mollusks. Growing experimental evidence suggests that these highly abundant secretory proteins are involved in the recognition of microbe-associated molecular patterns, serving as lectin-like molecules in the bivalve proto-complement system. While a large amount of functional data concerning the binding specificity of the globular head C1q domain and on the regulation of these molecules in response to infection are quickly accumulating, the genetic mechanisms that have led to the extraordinary lineage-specific expansion of the C1qDC gene family in bivalves are still largely unknown. The analysis of the chromosome-scale genome assembly of the Eastern oyster Crassostrea virginica revealed that the 476 oyster C1qDC genes, far from being uniformly distributed along the genome, are located in large clusters of tandemly duplicated paralogs, mostly found on chromosomes 7 and 8. Our observations point out that the evolutionary process behind the development of a large arsenal of C1qDC lectin-like molecules in marine bivalves is still ongoing and likely based on an unequal crossing over.</t>
  </si>
  <si>
    <t>[Gerdol, Marco; Greco, Samuele; Pallavicini, Alberto] Univ Trieste, Dept Life Sci, I-34127 Trieste, Italy; [Pallavicini, Alberto] Natl Inst Oceanog &amp; Appl Geophys, I-34151 Trieste, Italy</t>
  </si>
  <si>
    <t>University of Trieste; Istituto Nazionale di Oceanografia e di Geofisica Sperimentale</t>
  </si>
  <si>
    <t>Gerdol, M (corresponding author), Univ Trieste, Dept Life Sci, I-34127 Trieste, Italy.</t>
  </si>
  <si>
    <t>mgerdol@units.it; SAMUELE.GRECO@phd.units.it; pallavic@units.it</t>
  </si>
  <si>
    <t>Pallavicini, Alberto/H-9281-2019; Gerdol, Marco/D-2115-2013; Pallavicini, Alberto/J-4158-2012</t>
  </si>
  <si>
    <t>Pallavicini, Alberto/0000-0001-7174-4603; Gerdol, Marco/0000-0001-6411-0813; Greco, Samuele/0000-0003-3435-2656</t>
  </si>
  <si>
    <t>European Union's Horizon 2020 research and innovation programme [678589]; Italian National Program for Antarctic Research [PNRA16_00099]; H2020 Societal Challenges Programme [678589] Funding Source: H2020 Societal Challenges Programme</t>
  </si>
  <si>
    <t>European Union's Horizon 2020 research and innovation programme; Italian National Program for Antarctic Research; H2020 Societal Challenges Programme(Horizon 2020European Union (EU)H2020 Societal Challenges Programme)</t>
  </si>
  <si>
    <t>This project has received funding from the European Union's Horizon 2020 research and innovation programme under grant agreement No. 678589. Samuele Greco is supported by a grant from the Italian National Program for Antarctic Research, project PNRA16_00099.</t>
  </si>
  <si>
    <t>10.3390/md17100583</t>
  </si>
  <si>
    <t>WOS:000498064500043</t>
  </si>
  <si>
    <t>Lorensi, GH; Oliveira, RS; Leal, AP; Zanatta, AP; de Almeida, CGM; Barreto, YC; Rosa, ME; Vieira, PD; Ramos, CJB; Victoria, FD; Pereira, AB; Teixeira, VL; Dal Belo, CA</t>
  </si>
  <si>
    <t>Lorensi, Graziela Holken; Oliveira, Raquel Soares; Leal, Allan P.; Zanatta, Ana Paula; Moreira de Almeida, Carlos Gabriel; Barreto, Yuri Correia; Rosa, Maria Eduarda; Vieira, Patricia de Brum; Brito Ramos, Carlos Jose; Victoria, Filipe de Carvalho; Pereira, Antonio Batista; Teixeira, Valeria Laneuville; Dal Belo, Chariston Andre</t>
  </si>
  <si>
    <t>Entomotoxic Activity of Prasiola crispa (Antarctic Algae) in Nauphoeta cinerea Cockroaches: Identification of Main Steroidal Compounds</t>
  </si>
  <si>
    <t>Antarctic algae; biological activity; insecticide; marine steroids; marine natural products</t>
  </si>
  <si>
    <t>CYANOBACTERIAL EXTRACT; OCTOPAMINE; TREBOUXIOPHYCEAE; ANATOXIN-A(S); METABOLITES; HEART</t>
  </si>
  <si>
    <t>Prasiola crispa is a macroscopic green algae found in abundance in Antarctica ice free areas. Prasiola crispan-hexaneextract (HPC) induced insecticidal activity in Nauphoeta cinerea cockroaches after 24 h of exposure. The chemical analysis of HPC revealed the presence of the followingphytosterols: beta-sitosterol, campesterol and stigmasterol. The incubation of cockroach semi-isolated heart preparations with HPC caused a significant negative chronotropic activity in the heartbeats. HPC affected the insect neuromuscular function by inducing a complete inhibition of the cockroach leg-muscle twitch tension. When the isolated phytosterols were injected at in vivo cockroach neuromuscular preparations, there was a progressive inhibition of muscle twitches on the following order of potency: beta-sitosterol &gt; campesterol &gt; stigmasterol. HPC also provoked significant behavioral alterations, characterized by the increase or decrease of cockroach grooming activity, depending on the dose assayed. Altogether, the results presented here corroborate the insecticide potential of Prasiola crispa Antarctic algae. They also revealed the presence of phytosterols and the involvement of these steroidal compounds in the entomotoxic activity of the algae, potentially by modulating octopaminergic-cholinergic pathways. Further phytochemical-combined bioguided analysis of the HPC will unveil novel bioactive compounds that might be an accessory to the insecticide activity of the algae.</t>
  </si>
  <si>
    <t>[Lorensi, Graziela Holken; Oliveira, Raquel Soares; Zanatta, Ana Paula; Barreto, Yuri Correia; Rosa, Maria Eduarda; Vieira, Patricia de Brum; Dal Belo, Chariston Andre] Univ Fed Pampa, Lab Neurobiol &amp; Toxinol LANETOX, Campus Sao Gabriel, BR-97307020 Sao Gabriel, RS, Brazil; [Moreira de Almeida, Carlos Gabriel] Pontificia Univ Catolica Rio Grande do Sul, Inst Cerebro INSCER, BR-90610000 Porto Alegre, RS, Brazil; [Victoria, Filipe de Carvalho; Pereira, Antonio Batista] Univ Fed Pampa, NEVA, Campus Sao Gabriel, BR-97307020 Sao Gabriel, RS, Brazil; [Vieira, Patricia de Brum] Univ Fed Pampa, Grp Pesquisa Estresse Oxidat &amp; Sinalizacao Celula, Campus Sao Gabriel, BR-97307020 Sao Gabriel, RS, Brazil; [Teixeira, Valeria Laneuville] Univ Fed Fluminense, Inst Biol, Programa Posgradu Ciencias &amp; Biotecnol, BR-24020141 Niteroi, RJ, Brazil; [Brito Ramos, Carlos Jose; Teixeira, Valeria Laneuville] Univ Fed Estado Rio de Janeiro, Programa Posgrad Biodiversidade Neotrop, BR-22290255 Rio De Janeiro, RJ, Brazil; [Leal, Allan P.; Dal Belo, Chariston Andre] Univ Fed Santa Maria, PPGBtox, Programa Posgrad Bioquim Toxicol, BR-9705900 Santa Maria, RS, Brazil</t>
  </si>
  <si>
    <t>Universidade Federal do Pampa; Pontificia Universidade Catolica Do Rio Grande Do Sul; Universidade Federal do Pampa; Universidade Federal do Pampa; Universidade Federal Fluminense; Universidade Federal do Estado do Rio de Janeiro; Universidade Federal de Santa Maria (UFSM)</t>
  </si>
  <si>
    <t>Dal Belo, CA (corresponding author), Univ Fed Pampa, Lab Neurobiol &amp; Toxinol LANETOX, Campus Sao Gabriel, BR-97307020 Sao Gabriel, RS, Brazil.;Dal Belo, CA (corresponding author), Univ Fed Santa Maria, PPGBtox, Programa Posgrad Bioquim Toxicol, BR-9705900 Santa Maria, RS, Brazil.</t>
  </si>
  <si>
    <t>grazielahl@gmail.com; raquelsoaresoliveira@yahoo.com.br; allan-leal@hotmail.com; anapaulabiotech@gmail.com; carlos.gabriel@acad.pucrs.br; barreto78@outlook.com; rosaedumaria@gmail.com; patriciasbrum@yahoo.com.br; cjbramos@gmail.com; filipevictoria@unipampa.edu.br; antoniopereira@unipampa.edu.br; valerialaneuville@gmail.com; charistonbelo@unipampa.edu.br</t>
  </si>
  <si>
    <t>Pereira, Antonio/AAD-5703-2019; Teixeira, Valeria Laneuville/ABI-4837-2020; Pereira, Antonio B/I-8201-2014; Victoria, Filipe/F-6066-2013</t>
  </si>
  <si>
    <t>Teixeira, Valeria Laneuville/0000-0003-4962-6912; Pereira, Antonio B/0000-0003-0368-4594; Victoria, Filipe/0000-0002-8580-1813; Rosa, Maria Eduarda/0000-0002-6780-1721; Barreto, Yuri/0000-0002-3425-6544; Soares Oliveira, Raquel/0000-0003-2602-8661; Pinto Leal, Allan/0000-0002-4689-4615; Dal Belo, Chariston Andre/0000-0001-7010-6503</t>
  </si>
  <si>
    <t>Instituto Nacional de Ciencias e Tecnologia Antartico de Pesquisas Ambientais - INCT-APA</t>
  </si>
  <si>
    <t>This work was supported by grants from Instituto Nacional de Ciencias e Tecnologia Antartico de Pesquisas Ambientais - INCT-APA.</t>
  </si>
  <si>
    <t>10.3390/md17100573</t>
  </si>
  <si>
    <t>WOS:000498064500033</t>
  </si>
  <si>
    <t>Druskat, A; Ghosh, R; Castrillon, J; Nash, SMB</t>
  </si>
  <si>
    <t>Druskat, Alison; Ghosh, Ruma; Castrillon, Juliana; Nash, Susan M. Bengtson</t>
  </si>
  <si>
    <t>Sex ratios of migrating southern hemisphere humpback whales: A new sentinel parameter of ecosystem health</t>
  </si>
  <si>
    <t>Southern hemisphere humpback whales; Antarctic sea-ice ecosystem; Sentinel parameter; Fecundity; Energetic health; Population dynamics; Migration; Climate; Trends</t>
  </si>
  <si>
    <t>BLUBBER; REPRODUCTION; PARTURITION; BALEEN</t>
  </si>
  <si>
    <t>Southern hemisphere humpback whales have evolved energetically demanding capital breeding and migratory life-history behaviours. It has been hypothesised that not all individuals of a population participate in the seasonal migration each year, or only undertake partial migrations. Given the cost of migration and reproduction, we explored the possibility that specifically, not all mature females participate in the seasonal migration every year, or significantly delay or shorten their migration, in response to poor feeding conditions. That is, females must attain a minimum threshold of accumulated energy reserves to commit to a reproductive event that likely occurs as a product of mating during migration. With a 1:1 male to female birth ratio, yet a male bias observed along the main migratory corridor; this study utilised inter-annual migratory cohort sex ratios to explore their potential to serve as measures of population fecundity, as a function of ecosystem health. The sex ratios of randomly biopsied adult humpback whales, sampled at a defined location and set time-points along the main migratory corridor from 2008 to 2016 were investigated. Northward migration sex ratios in 2009, 2014 and 2016 revealed a lower male bias suggesting good female participation in the migration and therefore apparent optimal provisioning during the two preceding summers. By contrast, the 2011 southward migration, revealed the highest male bias recorded of 5.75:1. Southward migration sex ratios were found to oscillate closely with measures of population adiposity, a sentinel parameter employed for long-term surveillance of the Antarctic sea-ice ecosystems under the Southern Ocean Observing System-endorsed Humpback Whale Sentinel Program. Anomalously poor humpback whale body condition recorded in 2011 was attributed to poor Antarctic feeding conditions during the extreme La Nina event of 2010/11. These findings lend support for the application of migratory cohort sex ratios, standardised by time and location, as a measure of relative inter-annual population fecundity. This work therefore contributes a new non-lethal tool for the study of population health, as a function of ecosystem productivity, and facilitates the inclusion of fecundity as a sentinel parameter into long-term Antarctic ecosystem surveillance under the Humpback Whale Sentinel Program.</t>
  </si>
  <si>
    <t>[Druskat, Alison; Ghosh, Ruma; Castrillon, Juliana; Nash, Susan M. Bengtson] Griffith Univ, Environm Futures Res Inst, Southern Ocean Persistent Organ Pollutants Progra, 170 Kessels Rd, Nathan, Qld 4111, Australia; [Druskat, Alison] Univ York, York YO10 5DD, N Yorkshire, England</t>
  </si>
  <si>
    <t>Griffith University; University of York - UK</t>
  </si>
  <si>
    <t>Nash, SMB (corresponding author), Griffith Univ, Environm Futures Res Inst, Southern Ocean Persistent Organ Pollutants Progra, 170 Kessels Rd, Nathan, Qld 4111, Australia.</t>
  </si>
  <si>
    <t>s.bengtsonnash@griffith.edu.au</t>
  </si>
  <si>
    <t>Bengtson Nash, Susan/I-3942-2015; Bengtson Nash, Susan/GMX-4611-2022</t>
  </si>
  <si>
    <t>Bengtson Nash, Susan/0000-0001-5928-0850; Bengtson Nash, Susan/0000-0001-5928-0850; Castrillon, Juliana/0000-0002-1905-7344</t>
  </si>
  <si>
    <t>Ocean Foundation Pacific Life grant</t>
  </si>
  <si>
    <t>This work was funded, in part, by an Ocean Foundation Pacific Life grant. SOPOPP acknowledge the support of Moreton Bay Research Station staff and the contributions of field volunteers during each field campaign.</t>
  </si>
  <si>
    <t>10.1016/j.marenvres.2019.104749</t>
  </si>
  <si>
    <t>JO0DT</t>
  </si>
  <si>
    <t>WOS:000497258600004</t>
  </si>
  <si>
    <t>Dieser, M; Smith, HJ; Ramaraj, T; Foreman, CM</t>
  </si>
  <si>
    <t>Dieser, Markus; Smith, Heidi J.; Ramaraj, Thiruvarangan; Foreman, Christine M.</t>
  </si>
  <si>
    <t>Janthinobacterium CG23_2: Comparative Genome Analysis Reveals Enhanced Environmental Sensing and Transcriptional Regulation for Adaptation to Life in an Antarctic Supraglacial Stream</t>
  </si>
  <si>
    <t>Janthinobacterium; comparative genomics; horizontal gene transfer; cold adaptation; environmental sensing</t>
  </si>
  <si>
    <t>SEQUENCE; LIVIDUM; STRAIN</t>
  </si>
  <si>
    <t>As many bacteria detected in Antarctic environments are neither true psychrophiles nor endemic species, their proliferation in spite of environmental extremes gives rise to genome adaptations. Janthinobacterium sp. CG23_2 is a bacterial isolate from the Cotton Glacier stream, Antarctica. To understand how Janthinobacterium sp. CG23_2 has adapted to its environment, we investigated its genomic traits in comparison to genomes of 35 published Janthinobacterium species. While we hypothesized that genome shrinkage and specialization to narrow ecological niches would be energetically favorable for dwelling in an ephemeral Antarctic stream, the genome of Janthinobacterium sp. CG23_2 was on average 1.7 +/- 0.6 Mb larger and predicted 1411 +/- 499 more coding sequences compared to the other Janthinobacterium spp. Putatively identified horizontal gene transfer events contributed 0.92 Mb to the genome size expansion of Janthinobacterium sp. CG23_2. Genes with high copy numbers in the species-specific accessory genome of Janthinobacterium sp. CG23_2 were associated with environmental sensing, locomotion, response and transcriptional regulation, stress response, and mobile elements-functional categories which also showed molecular adaptation to cold. Our data suggest that genome plasticity and the abundant complementary genes for sensing and responding to the extracellular environment supported the adaptation of Janthinobacterium sp. CG23_2 to this extreme environment.</t>
  </si>
  <si>
    <t>[Dieser, Markus; Smith, Heidi J.; Foreman, Christine M.] Montana State Univ, Ctr Biofilm Engn, Bozeman, MT 59717 USA; [Dieser, Markus; Foreman, Christine M.] Montana State Univ, Dept Chem &amp; Biol Engn, Bozeman, MT 59715 USA; [Smith, Heidi J.] Montana State Univ, Dept Microbiol &amp; Immunol, Bozeman, MT 59717 USA; [Ramaraj, Thiruvarangan] DePaul Univ, Coll Comp &amp; Digital Media, Sch Comp, Chicago, IL 60604 USA</t>
  </si>
  <si>
    <t>Montana State University System; Montana State University Bozeman; Montana State University System; Montana State University Bozeman; Montana State University System; Montana State University Bozeman; DePaul University</t>
  </si>
  <si>
    <t>Dieser, M (corresponding author), Montana State Univ, Ctr Biofilm Engn, Bozeman, MT 59717 USA.;Dieser, M (corresponding author), Montana State Univ, Dept Chem &amp; Biol Engn, Bozeman, MT 59715 USA.</t>
  </si>
  <si>
    <t>markus.dieser@montana.edu; hjsmith12@gmail.com; tramaraj@depaul.edu; cforeman@montana.edu</t>
  </si>
  <si>
    <t>Ramaraj, Thiruvarangan/0000-0002-7333-1041; Dieser, Markus/0000-0001-8539-6646</t>
  </si>
  <si>
    <t>National Science Foundation [ANT-0838970]</t>
  </si>
  <si>
    <t>We thank R. Mueller at Montana State University for guidance on bioinformatics analyses. This work was supported by the National Science Foundation under grant ANT-0838970 to CMF. Any opinions, findings, and conclusions or recommendations expressed in this material are those of the authors and do not necessarily reflect the views of the National Science Foundation.</t>
  </si>
  <si>
    <t>10.3390/microorganisms7100454</t>
  </si>
  <si>
    <t>JP4FQ</t>
  </si>
  <si>
    <t>WOS:000498223100083</t>
  </si>
  <si>
    <t>Kern, S; Ozsoy, B</t>
  </si>
  <si>
    <t>Kern, Stefan; Ozsoy, Burcu</t>
  </si>
  <si>
    <t>An Attempt to Improve Snow Depth Retrieval Using Satellite Microwave Radiometry for Rough Antarctic Sea Ice</t>
  </si>
  <si>
    <t>marine cryosphere; snow depth; sea ice; satellite remote sensing; microwave radiometry; AMSR-E; AMSR2; ship-based observations; buoy observations</t>
  </si>
  <si>
    <t>THICKNESS RETRIEVAL; AMSR-E; SOUTHERN-OCEAN; FREEBOARD; VARIABILITY; CRYOSAT-2; SIGNATURES; WEDDELL; IMPACT; NORTH</t>
  </si>
  <si>
    <t>Snow depth on sea ice is a major constituent of the marine cryosphere. It is a key parameter for the derivation of sea-ice thickness from satellite altimetry. One way to retrieve the basin-scale snow depth on sea ice is by satellite microwave radiometry. There is evidence from measurements and inter-comparison studies that current retrievals likely under-estimate the snow depth over deformed, rough sea ice. We follow up on an earlier study, where satellite passive microwave data were combined with information on the sea-ice topography from the satellite laser altimeter on board the Ice, Cloud and land Elevation Satellite (ICESat) in a hybrid approach. Such topography information is spatiotemporally limited because of ICESat's operation mode. In this paper, we aim to derive a proxy for this topography information from satellite microwave radiometry. For this purpose, we co-locate parameters describing the sea-ice deformation taken from visual ship-based observations and the surface elevation standard deviation derived from ICESat laser altimetry with the microwave brightness temperatures (TB) measured via the Advanced Microwave Scanning Radiometer aboard Earth Observation Satellite (AMSR-E) and aboard Global Change Observation Mission-Water 1 (GCOM-W1) (AMSR2). We find that the TB polarization ratio at 6.9 GHz and the TB gradient ratio between 10.7 GHz (horizontal polarization) and 6.9 GHz (vertical polarization), might be suited as such a proxy. Using this proxy, we modify the above-mentioned hybrid approach and compute the snow depths on sea ice from the AMSR-E and AMSR2 data. We compare our snow depths with those of the commonly used approach, the hybrid approach, with the ship-based observations for the years 2002 through 2015 and with the measurements made by drifting buoys for the period of 2014 through 2018. We find a convincing overall agreement with the hybrid approach and some improvement over the common approach. However, our approach is sensitive to the presence of thin ice-here, the retrieved snow depths are too large; and our approach performs sub-optimally over old ice-here, the retrieved snow depths are too small. More investigations and, in particular, more evaluations are required to optimize our approach so that the snow depths retrieved for the combined AMSR-E/AMSR2 period could serve as a data set for sea-ice thickness retrieval based on satellite altimetry.</t>
  </si>
  <si>
    <t>[Kern, Stefan] Univ Hamburg, Ctr Earth Syst Res &amp; Sustainabil CEN, ICDC, D-20146 Hamburg, Germany; [Ozsoy, Burcu] ITU, Polar Res Ctr PolRec, TR-34940 Istanbul, Turkey</t>
  </si>
  <si>
    <t>University of Hamburg; Istanbul Technical University</t>
  </si>
  <si>
    <t>Kern, S (corresponding author), Univ Hamburg, Ctr Earth Syst Res &amp; Sustainabil CEN, ICDC, D-20146 Hamburg, Germany.</t>
  </si>
  <si>
    <t>stefan.kern@uni-hamburg.de; ozsoybu@itu.edu.tr</t>
  </si>
  <si>
    <t>Ozsoy, Burcu/AAH-5348-2020</t>
  </si>
  <si>
    <t>Ozsoy, Burcu/0000-0003-4320-1796; Kern, Stefan/0000-0001-7281-3746</t>
  </si>
  <si>
    <t>European Commission [H2020-EO-2014-SPICES]; ESA (Climate Change Initiative Sea_Ice_cci project); German Research Foundation (DFG) Excellence Initiative CLISAP [EXC 177/2]</t>
  </si>
  <si>
    <t>European Commission(European Union (EU)European Commission Joint Research Centre); ESA (Climate Change Initiative Sea_Ice_cci project); German Research Foundation (DFG) Excellence Initiative CLISAP(German Research Foundation (DFG))</t>
  </si>
  <si>
    <t>This research was funded by the European Commission under grand number H2020-EO-2014-SPICES, by the ESA (through the Climate Change Initiative Sea_Ice_cci project), and by the German Research Foundation (DFG) Excellence Initiative CLISAP under Grant EXC 177/2.</t>
  </si>
  <si>
    <t>10.3390/rs11192323</t>
  </si>
  <si>
    <t>JN3VH</t>
  </si>
  <si>
    <t>WOS:000496827100137</t>
  </si>
  <si>
    <t>Richardson, LE; Middleton, JF; Kyser, TK; James, NP; Opdyke, BN</t>
  </si>
  <si>
    <t>Richardson, L. E.; Middleton, J. F.; Kyser, T. K.; James, N. P.; Opdyke, B. N.</t>
  </si>
  <si>
    <t>Shallow water masses and their connectivity along the southern Australian continental margin</t>
  </si>
  <si>
    <t>Water mass; Southern Australia; Stable isotopes; Subantarctic mode water; Flinders current; Leeuwin current</t>
  </si>
  <si>
    <t>OXYGEN-ISOTOPE COMPOSITION; NORTHERN BOUNDARY CURRENT; LEEUWIN CURRENT; SUBTROPICAL FRONT; STABLE-ISOTOPES; CURRENT SYSTEM; SHELF; OCEAN; CIRCULATION; VARIABILITY</t>
  </si>
  <si>
    <t>Four water masses are identified and described using hydrographic, nutrient and stable isotope data for the top 1000 m water depth of the southern Australian continental margin, from Cape Leeuwin to Tasmania. Three are identified from previous literature on the southeast Indian Ocean: Subtropical Surface Water (STSW), Tasmanian Subantarctic Mode Water (TSAMW) and Tasmanian Intermediate Water (TIW), and one is newly identified and named: South Australian Basin Central Water (SABCW). STSW (0-250 m) is transported east by the Leeuwin Current System and is modified by heating and evaporation along the subtropical continental shelf. SABCW (250-400 m) and TSAMW (400-650 m) form southwest of Tasmania from deep winter mixing in the region: SABCW at the Subtropical Front and TSAMW north of the Subantarctic Front. TIW (&gt; 650 m) forms southwest of Tasmania from mixing of warm, saline Antarctic Intermediate Water from the Tasman Sea and cool, fresh Antarctic Intermediate Water from the Antarctic Circumpolar Current. SABCW, TSAMW and TIW are transported west along the slope by the Flinders Current System, here defined as the western slope-trapped Flinders Current, Tasman Outflow and equatorward Sverdrup transport. Water mass distributions on the slope identify the interface between subantarctic water from the Southern Ocean and subtropical water transported by the Leeuwin Current System. This interface is similar to 300 m during winter and similar to 250 m during summer, but can be 150 m during summer in upwelling regions and off western Tasmania. Furthermore, stable isotope data of the water masses south and west of Australia show connectivity between the Subantarctic Zone, the southern Australian margin and the western Australian margin.</t>
  </si>
  <si>
    <t>[Richardson, L. E.; Opdyke, B. N.] Australian Natl Univ, Res Sch Earth Sci, Canberra, ACT 0200, Australia; [Richardson, L. E.; Middleton, J. F.; James, N. P.] Aquat Sci, South Australian Res &amp; Dev Inst, West Beach, SA 5024, Australia; [Kyser, T. K.; James, N. P.] Queens Univ, Dept Geol Sci, Kingston, ON K7L 3N6, Canada</t>
  </si>
  <si>
    <t>Australian National University; South Australian Research &amp; Development Institute (SARDI); Queens University - Canada</t>
  </si>
  <si>
    <t>Richardson, LE (corresponding author), Australian Natl Univ, Res Sch Earth Sci, Canberra, ACT 0200, Australia.</t>
  </si>
  <si>
    <t>laura.richo@gmail.com</t>
  </si>
  <si>
    <t>Richardson, Laura/0000-0003-3358-0040</t>
  </si>
  <si>
    <t>South Australian Research and Development Institute; Natural Science and Engineering Research Discovery program; Canadian Foundation for Innovation; Ontario Innovation Foundation; CSIRO Marine and Atmospheric Research division</t>
  </si>
  <si>
    <t>South Australian Research and Development Institute; Natural Science and Engineering Research Discovery program; Canadian Foundation for Innovation(Canada Foundation for Innovation); Ontario Innovation Foundation; CSIRO Marine and Atmospheric Research division</t>
  </si>
  <si>
    <t>This research was carried out with the generous support of the South Australian Research and Development Institute. We also thank the CSIRO Marine and Atmospheric Research division and captain and crew of the R. V. Southern Surveyor for their help and support during research voyages SS2010_v01, SS2010_v02, SS2010_v06, SS2010_t01 and SS2010_t02. Stable isotope analyses were done with the assistance of Kerry Klassen and April Vuletich at the Queen's Facility for Isotope Research. Support for these analyses was from grants from the Natural Science and Engineering Research Discovery program, the Canadian Foundation for Innovation and the Ontario Innovation Foundation. The large dataset of historic hydrographic data for the southern Australian region is available from the CSIRO Oceans &amp; Atmosphere Information and Data Centre (http://www.cmar.csiro.au/datacentre/).</t>
  </si>
  <si>
    <t>10.1016/j.dsr.2019.103083</t>
  </si>
  <si>
    <t>JO0BA</t>
  </si>
  <si>
    <t>WOS:000497251500006</t>
  </si>
  <si>
    <t>Borkar, SB; Nandanwar, SK; Lee, JH; Kim, HJ</t>
  </si>
  <si>
    <t>Borkar, Shweta Bharat; Nandanwar, Sondavid K.; Lee, Jun Hyuck; Kim, Hak Jun</t>
  </si>
  <si>
    <t>Characterization of Four Liver-Expressed Antimicrobial Peptides from Antarctic Fish and Their Antibacterial Activity</t>
  </si>
  <si>
    <t>APPLIED SCIENCES-BASEL</t>
  </si>
  <si>
    <t>Antarctic eelpout; Antarctic notothenioid; liver-expressed antimicrobial peptide; disulfide bond; cold-active peptide</t>
  </si>
  <si>
    <t>ANTI-BIOFILM ACTIVITY; MOLECULAR CHARACTERIZATION; LISTERIA-MONOCYTOGENES; DIFFERENT HEPCIDINS; VIBRIO-ANGUILLARUM; ESCHERICHIA-COLI; CELL SELECTIVITY; BASS HEPCIDIN; TELEOST FISH; MEMBRANE</t>
  </si>
  <si>
    <t>Liver-expressed antimicrobial peptides (LEAPs) are cysteine-containing cationic peptides. LEAP-1 and LEAP-2 are eight- and four-cysteine containing antimicrobial peptides found in animals, respectively. LEAP-1 is widely known as antibacterial peptide involved in the innate immunity of fish, but the roles of LEAP-1 and LEAP-2 in Antarctic fish species are unknown. In the present study, we synthesized and characterized novel LEAPs with four and eight cysteine residues, derived from Antarctic notothenioid (Dissostichus mawsoni) and Antarctic eelpout (Lycodichthys dearborni). Circular dichroism spectroscopy of these peptides showed a typical beta -sheet conformation. The LEAPs were found to be bactericidal against gram-positive as well as gram-negative bacteria. In the SYTOX green uptake assay, LEAPs did not trigger any significant increase in fluorescence. However, LEAPs competitively bound to DNA and replaced the ethidium bromide (EB) dye. To determine the effect of temperature on the activity of LEAPs, we evaluated the antibacterial activity against Listeria monocytogenes at 5, 15, 25, and 35 degrees C. The results showed that the antibacterial activity of LEAPs increased with a decrease in temperature, which may indicate that the Antarctic fish LEAP are evolutionarily adapted. Taken together, our results suggest that novel Antarctic LEAPs are bactericidal peptides with the likely mode of action being DNA binding and may be evolved to adapt to cold temperature.</t>
  </si>
  <si>
    <t>[Borkar, Shweta Bharat; Kim, Hak Jun] Pukyong Natl Univ, Dept Chem, Busan 48513, South Korea; [Nandanwar, Sondavid K.] Pukyong Natl Univ, Dept Marine Convergence Design Program, Busan 48513, South Korea; [Lee, Jun Hyuck] Korea Polar Res Inst, Unit Res Pract Applicat, Incheon 21990, South Korea</t>
  </si>
  <si>
    <t>Pukyong National University; Pukyong National University; Korea Polar Research Institute (KOPRI)</t>
  </si>
  <si>
    <t>Kim, HJ (corresponding author), Pukyong Natl Univ, Dept Chem, Busan 48513, South Korea.</t>
  </si>
  <si>
    <t>shwetaborkar@pukyong.ac.kr; sondavid30@pukyong.ac.kr; junhyucklee@kopri.re.kr; kimhj@pknu.ac.kr</t>
  </si>
  <si>
    <t>Borkar, Shweta/0000-0002-8433-1987; NANDANWAR, SONDAVID/0000-0001-7929-9794</t>
  </si>
  <si>
    <t>KOPRI [PE19210]</t>
  </si>
  <si>
    <t>KOPRI(Korea Polar Research Institute of Marine Research Placement (KOPRI))</t>
  </si>
  <si>
    <t>This work was supported by KOPRI, grant number PE19210 and the APC was funded by KOPRI.</t>
  </si>
  <si>
    <t>2076-3417</t>
  </si>
  <si>
    <t>APPL SCI-BASEL</t>
  </si>
  <si>
    <t>Appl. Sci.-Basel</t>
  </si>
  <si>
    <t>10.3390/app9204299</t>
  </si>
  <si>
    <t>Chemistry, Multidisciplinary; Engineering, Multidisciplinary; Materials Science, Multidisciplinary; Physics, Applied</t>
  </si>
  <si>
    <t>Chemistry; Engineering; Materials Science; Physics</t>
  </si>
  <si>
    <t>JM5QU</t>
  </si>
  <si>
    <t>WOS:000496269400102</t>
  </si>
  <si>
    <t>Chen, Y; Ma, CY; Hou, XN; Dou, YK; Chen, R</t>
  </si>
  <si>
    <t>Chen, Yan; Ma, Chunyan; Hou, Xiangnan; Dou, Yinke; Chen, Rui</t>
  </si>
  <si>
    <t>Design and Implementation of a Polar Wind and Solar Hybrid Power Supply Controller</t>
  </si>
  <si>
    <t>Antarctic Zhongshan station; aeroponic; stereoscopic cultivation; wind and solar hybrid; MCU; controller</t>
  </si>
  <si>
    <t>Based on the preliminary study of the distribution of wind and light resources in the Zhongshan Station of Antarctica, and the conclusion that the scenery and resources of the station area are sufficient and complementary, this paper proposes to adapt to the power supply problem of the aeroponic, stereoscopic cultivation device in the Controlled Micro-environment applied to the polar regions. The overall architecture of the power supply system is designed. Based on the STC8A8K64S4A12 single-chip microcomputer, the hardware circuit and software program of the wind and solar hybrid power supply system controller are also designed. Finally, the debugging experiment is carried out.</t>
  </si>
  <si>
    <t>[Chen, Yan; Ma, Chunyan; Dou, Yinke; Chen, Rui] Taiyuan Univ Technol, Coll Elect &amp; Power Engn, Taiyuan 030024, Shanxi, Peoples R China; [Hou, Xiangnan] Suzhou Inovance Technol Co Ltd, Suzhou 215000, Peoples R China</t>
  </si>
  <si>
    <t>Taiyuan University of Technology</t>
  </si>
  <si>
    <t>Chen, Y (corresponding author), Taiyuan Univ Technol, Coll Elect &amp; Power Engn, Taiyuan 030024, Shanxi, Peoples R China.</t>
  </si>
  <si>
    <t>chenyanlxq@163.com; tyutchyma@sina.com; houxnan1994@163.com; douyk8888cn@126.com; chenrui163youxiang@163.com</t>
  </si>
  <si>
    <t>Ma, Chunyan/HMP-3228-2023; Ma, Chunyan/AAJ-2777-2020</t>
  </si>
  <si>
    <t>Natural Science Foundation of Shanxi Province [201701D121127]; Key Research and Development Program of Shanxi Province [201803D221028-2]</t>
  </si>
  <si>
    <t>Natural Science Foundation of Shanxi Province(Natural Science Foundation of Shanxi Province); Key Research and Development Program of Shanxi Province</t>
  </si>
  <si>
    <t>This research was funded by the Natural Science Foundation of Shanxi Province, grant number 201701D121127, and by the Key Research and Development Program of Shanxi Province, grant number 201803D221028-2.</t>
  </si>
  <si>
    <t>10.3390/app9193953</t>
  </si>
  <si>
    <t>JM5MM</t>
  </si>
  <si>
    <t>WOS:000496258100012</t>
  </si>
  <si>
    <t>Campbell, SL; Remenyi, TA; Williamson, GJ; White, CJ; Johnston, FH</t>
  </si>
  <si>
    <t>Campbell, Sharon L.; Remenyi, Tomas A.; Williamson, Grant J.; White, Christopher J.; Johnston, Fay H.</t>
  </si>
  <si>
    <t>The Value of Local Heatwave Impact Assessment: A Case-Crossover Analysis of Hospital Emergency Department Presentations in Tasmania, Australia</t>
  </si>
  <si>
    <t>heatwave; extreme heat; morbidity; health effects; emergency presentation; case-crossover</t>
  </si>
  <si>
    <t>EXTREME HEAT; MORTALITY; WAVES; MORBIDITY; ADMISSIONS; BRISBANE; VULNERABILITY; TEMPERATURES; SERVICES; EVENTS</t>
  </si>
  <si>
    <t>Heatwaves have been identified as a threat to human health, with this impact projected to rise in a warming climate. Gaps in local knowledge can potentially undermine appropriate policy and preparedness actions. Using a case-crossover methodology, we examined the impact of heatwave events on hospital emergency department (ED) presentations in the two most populous regions of Tasmania, Australia, from 2008-2016. Using conditional logistic regression, we analyzed the relationship between ED presentations and severe/extreme heatwaves for the whole population, specific demographics including age, gender and socio-economic advantage, and diagnostic conditions that are known to be impacted in high temperatures. ED presentations increased by 5% (OR 1.05, 95% CI 1.01-1.09) across the whole population, by 13% (OR 1.13, 95% CI 1.03-1.24) for children 15 years and under, and by 19% (OR 1.19, 95% CI 1.04-1.36) for children 5 years and under. A less precise association in the same direction was found for those over 65 years. For diagnostic subgroups, non-significant increases in ED presentations were observed for asthma, diabetes, hypertension, and atrial fibrillation. These findings may assist ED surge capacity planning and public health preparedness and response activities for heatwave events in Tasmania, highlighting the importance of using local research to inform local practice.</t>
  </si>
  <si>
    <t>[Campbell, Sharon L.; Johnston, Fay H.] Univ Tasmania, Menzies Inst Med Res, 1 Liverpool St, Hobart, Tas 7000, Australia; [Campbell, Sharon L.; Johnston, Fay H.] Dept Hlth Tasmania, Publ Hlth Serv, 25 Argyle St, Hobart, Tas 7000, Australia; [Remenyi, Tomas A.; White, Christopher J.] Univ Tasmania, Antarct Climate &amp; Ecosyst Cooperat Res Ctr, 20 Castray Esplanade, Hobart, Tas 7000, Australia; [Williamson, Grant J.] Univ Tasmania, Sch Nat Sci, Hobart, Tas 7001, Australia; [White, Christopher J.] Univ Strathclyde, Dept Civil &amp; Environm Engn, James Weir Bldg,75 Montrose St, Glasgow G1 1XJ, Lanark, Scotland</t>
  </si>
  <si>
    <t>University of Tasmania; Menzies Institute for Medical Research; University of Tasmania; University of Tasmania; University of Strathclyde</t>
  </si>
  <si>
    <t>Johnston, FH (corresponding author), Univ Tasmania, Menzies Inst Med Res, 1 Liverpool St, Hobart, Tas 7000, Australia.;Johnston, FH (corresponding author), Dept Hlth Tasmania, Publ Hlth Serv, 25 Argyle St, Hobart, Tas 7000, Australia.</t>
  </si>
  <si>
    <t>sharon.campbell@utas.edu.au; tom.remenyi@utas.edu.au; grant.williamson@utas.edu.au; chris.white@strath.ac.uk; fay.johnston@utas.edu.au</t>
  </si>
  <si>
    <t>Williamson, Grant/J-7514-2014</t>
  </si>
  <si>
    <t>Williamson, Grant/0000-0002-3469-7550; Johnston, Fay Helena/0000-0002-5150-8678; Remenyi, Tomas/0000-0002-4145-9323; Campbell, Sharon/0000-0002-9788-5372</t>
  </si>
  <si>
    <t>Menzies Institute for Medical Research (University of Tasmania); Antarctic Climate and Ecosystems Cooperative Research Centre</t>
  </si>
  <si>
    <t>Menzies Institute for Medical Research (University of Tasmania); Antarctic Climate and Ecosystems Cooperative Research Centre(Australian GovernmentDepartment of Industry, Innovation and ScienceCooperative Research Centres (CRC) Programme)</t>
  </si>
  <si>
    <t>This work was funded by the Menzies Institute for Medical Research (University of Tasmania) and the Antarctic Climate and Ecosystems Cooperative Research Centre.</t>
  </si>
  <si>
    <t>10.3390/ijerph16193715</t>
  </si>
  <si>
    <t>JK3MF</t>
  </si>
  <si>
    <t>WOS:000494748600211</t>
  </si>
  <si>
    <t>Liu, L; Yao, YB; Zou, SS; Kong, J; Shan, LL; Zhai, CZ; Zhao, CJ; Wang, YK</t>
  </si>
  <si>
    <t>Liu, Lei; Yao, Yibin; Zou, Shasha; Kong, Jian; Shan, Lulu; Zhai, Changzhi; Zhao, Cunjie; Wang, Youkun</t>
  </si>
  <si>
    <t>Ingestion of GIM-derived TEC data for updating IRI-2016 driven by effective IG indices over the European region</t>
  </si>
  <si>
    <t>JOURNAL OF GEODESY</t>
  </si>
  <si>
    <t>GIM-derived TEC; IRI-2016; IG index; Ingestion method</t>
  </si>
  <si>
    <t>TOTAL ELECTRON-CONTENT; INTERNATIONAL REFERENCE IONOSPHERE; GLOBAL POSITIONING SYSTEM; PATRICKS DAY STORM; REGULARIZED ESTIMATION; RADIO OCCULTATION; GPS DATA; MODEL; PREDICTIONS; LATITUDE</t>
  </si>
  <si>
    <t>In order to adapt the International Reference Ionosphere (IRI) model from ionospheric climatological model to near real-time weather predictions, total electron content (TEC) data from Global Ionosphere Maps are ingested into the IRI-2016 model through retrieving the optimal ionospheric index (IG) over Europe on an hourly basis. When the retrieved hourly effective IG indices are used to drive the IRI-2016 model, the resulting ionospheric parameters are externally evaluated with respect to multiple sources, including the COSMIC/ionosonde electron density (Ne) profiles, ionosonde F2 layer critical frequency (foF2), and individual GNSS-derived TEC for both quiet and storm conditions. Results show that: (1) The updated IG indices for different latitudinal zones tend to follow a similar trend under quiet conditions, but vary much more significantly during storm days. (2) The retrieved Ne profiles from the updated IRI-2016 agree better with those from the COSMIC Ne profiles, especially for the F2 layer maximum electron density (NmF2) values. Furthermore, the updated IRI-2016 Ne profiles show improved agreement with ionosonde measurements under quiet conditions, particularly for the bottom-side Ne profiles and NmF2 as well as for the storm-time Ne profiles. (3) Comparing the IRI-updated TEC with the GNSS-derived TEC, IRI-updated TEC improved approximately 19% for both quiet and storm days, and the nighttime TEC improvement is better than that during daytime. When compared to the ionosonde foF2 measurements, the daytime IRI-updated foF2 improvement during quiet time is better than that during storm condition, while the performance for nighttime foF2 drops during quiet time. Discussions about possible reasons for the nighttime foF2 degradation are included.</t>
  </si>
  <si>
    <t>[Liu, Lei; Yao, Yibin; Shan, Lulu; Zhai, Changzhi; Zhao, Cunjie; Wang, Youkun] Wuhan Univ, Sch Geodesy &amp; Geomat, Wuhan, Hubei, Peoples R China; [Liu, Lei; Zou, Shasha] Univ Michigan, Dept Climate &amp; Space Sci &amp; Engn, Ann Arbor, MI 48109 USA; [Yao, Yibin] Wuhan Univ, Minist Educ, Key Lab Geospace Environm &amp; Geodesy, Wuhan, Hubei, Peoples R China; [Yao, Yibin] Collaborat Innovat Ctr Geospatial Technol, Wuhan, Hubei, Peoples R China; [Kong, Jian] Wuhan Univ, Chinese Antarctic Ctr Surveying &amp; Mapping, Wuhan, Hubei, Peoples R China; [Wang, Youkun] Kunming Surveying &amp; Mapping Inst, Kunming, Yunnan, Peoples R China</t>
  </si>
  <si>
    <t>Wuhan University; University of Michigan System; University of Michigan; Wuhan University; Wuhan University</t>
  </si>
  <si>
    <t>Yao, YB (corresponding author), Wuhan Univ, Sch Geodesy &amp; Geomat, Wuhan, Hubei, Peoples R China.;Yao, YB (corresponding author), Wuhan Univ, Minist Educ, Key Lab Geospace Environm &amp; Geodesy, Wuhan, Hubei, Peoples R China.;Yao, YB (corresponding author), Collaborat Innovat Ctr Geospatial Technol, Wuhan, Hubei, Peoples R China.</t>
  </si>
  <si>
    <t>ybyao@whu.edu.cn</t>
  </si>
  <si>
    <t>Lei, Liu/I-3503-2018; Yao, Yibin/AAM-9653-2020; Zou, Shasha/G-2205-2011; lei, liu/HTR-5486-2023; Zhai, Changzhi/JQW-2878-2023</t>
  </si>
  <si>
    <t>Lei, Liu/0000-0002-1040-6026; Yao, Yibin/0000-0002-7723-4601; Shan, Lulu/0000-0002-8772-4233</t>
  </si>
  <si>
    <t>0949-7714</t>
  </si>
  <si>
    <t>1432-1394</t>
  </si>
  <si>
    <t>J GEODESY</t>
  </si>
  <si>
    <t>J. Geodesy</t>
  </si>
  <si>
    <t>10.1007/s00190-019-01291-5</t>
  </si>
  <si>
    <t>Geochemistry &amp; Geophysics; Remote Sensing</t>
  </si>
  <si>
    <t>JL0SJ</t>
  </si>
  <si>
    <t>WOS:000495245100007</t>
  </si>
  <si>
    <t>Nikolskiy, PA; Basilyan, AE; Anisimov, AM; Zazhigin, VS; Pavlova, EY; Pitulko, VV</t>
  </si>
  <si>
    <t>Nikolskiy, P. A.; Basilyan, A. E.; Anisimov, A. M.; Zazhigin, V. S.; Pavlova, E. Yu; Pitulko, V. V.</t>
  </si>
  <si>
    <t>IMPLICATIONS OF THE DISCOVERY OF A STAG-MOOSE (CERVALCES SP., CERVIDAE, MAMMALIA) SKULL WITH DIFFERENT-SIZED ANTLER BEAMS</t>
  </si>
  <si>
    <t>ZOOLOGICHESKY ZHURNAL</t>
  </si>
  <si>
    <t>paleobiology; moose; stag-moose; Pleistocene; Cervalces; western Siberia; biostratigraphy; morphology; antler</t>
  </si>
  <si>
    <t>A unique case of asymmetric antler malformation in the skull of a Cervalces from the uppermost Upper to lower Middle Pleistocene of the lower course of Yana River was studied. A significant difference in the length of the antler beams had been reappearing in the individual in each generation of antlers, this likely indicating its genetic nature. The occurrence of some kind of morphological abnormalities in stag-moose of this geological age appears to be highly expected, since it was then, at the Upper/Middle Pleistocene boundary, that intense morphogenesis of the early Alceini seems to have taken place, reflecting their adaptations to the first significant climate cooling in the Pleistocene. Proportions of antler beams used to be key to the species- and subspecies-level taxonomy and diagnostics of the fossil representatives of the tribe Alceini. The particular case described here, due to its exceptional rarity, does not exclude the utility of antler beam proportions for both taxonomy and biostratigraphy. However, it may indicate an increase in morphological variability during abrupt climate change periods. This should be taken into account when interpreting the morphological features of Alceini antlers in such times.</t>
  </si>
  <si>
    <t>[Nikolskiy, P. A.; Basilyan, A. E.; Zazhigin, V. S.] Russian Acad Sci, Geol Inst, Moscow 119017, Russia; [Anisimov, A. M.] St Petersburg State Univ, Inst Earth Sci, St Petersburg 199034, Russia; [Anisimov, A. M.; Pavlova, E. Yu] Russian Fed Serv Hydrometeorol &amp; Environm Monitor, Arctic &amp; Antarctic Res Inst, St Petersburg 199397, Russia; [Pitulko, V. V.] Russian Acad Sci, Inst Hist Mat Culture, St Petersburg 191186, Russia</t>
  </si>
  <si>
    <t>Russian Academy of Sciences; Geological Institute, Russian Academy of Sciences; Saint Petersburg State University; Arctic &amp; Antarctic Research Institute; Russian Academy of Sciences; St. Petersburg Scientific Centre of the Russian Academy of Sciences; Institute for the History of Material Culture, Russian Academy of Sciences</t>
  </si>
  <si>
    <t>Nikolskiy, PA (corresponding author), Russian Acad Sci, Geol Inst, Moscow 119017, Russia.</t>
  </si>
  <si>
    <t>cervalces@rambler.ru; alexandr.basilyan@gmail.com; m.anisimov@spbu.ru; zazhvol@gmail.com; pavlovaelena759@gmail.com; pitulko.vladimir@gmail.com</t>
  </si>
  <si>
    <t>Nikolskiy, Pavel/JNT-4697-2023; Pitulko, Vladimir/N-4009-2019; Nikolskiy, Pavel A/C-5041-2012; Pavlova, Elena/AAA-3291-2019; Pitulko, Vladimir/E-2200-2015</t>
  </si>
  <si>
    <t>Pavlova, Elena/0000-0002-3010-6290; Pitulko, Vladimir/0000-0001-5672-2756</t>
  </si>
  <si>
    <t>MAIK NAUKA-INTERPERIODICA PUBL</t>
  </si>
  <si>
    <t>GSP-1, MARONOVSKII PER 26, MOSCOW, 119049, RUSSIA</t>
  </si>
  <si>
    <t>0044-5134</t>
  </si>
  <si>
    <t>ZOOL ZH</t>
  </si>
  <si>
    <t>Zool. Zhurnal</t>
  </si>
  <si>
    <t>10.1134/S004451341910009X</t>
  </si>
  <si>
    <t>JL8WW</t>
  </si>
  <si>
    <t>WOS:000495809100009</t>
  </si>
  <si>
    <t>Hilborn, R; Anderson, CM; Kruse, GH; Punt, AE; Sissenwine, M; Oliver, C; Ianelli, JN; Trumble, RJ; Agnew, DJ; Baker, N</t>
  </si>
  <si>
    <t>Hilborn, Ray; Anderson, Christopher M.; Kruse, Gordon H.; Punt, Andre E.; Sissenwine, Michael; Oliver, Chris; Ianelli, James N.; Trumble, Robert J.; Agnew, David J.; Baker, Nicole</t>
  </si>
  <si>
    <t>Pramod et al. methods to estimate IUU are not credible</t>
  </si>
  <si>
    <t>IUD; Alaskan pollock; Discarding; Blending; Replicability</t>
  </si>
  <si>
    <t>We have examined the estimates in Pramod et al. of IUU Alaskan Pollock imported into Japan. Based on extensive knowledge of this fishery we find that their estimates are not substantiated by any known facts from the fishery. Whereas in a retracted version of the paper the authors estimated that 15-22% of Alaskan Pollock imported into Japan were IUU and listed the sources as discards &amp; high-grading; unreported by-catch in trawl fisheries and unreported catches in artisanal fisheries, the authors have now added blending of IUU Pollock overseas with Alaskan Pollock as the dominant source of IUU Alaskan Pollock entering Japan. Remarkably, the authors estimate the same 15-22%, and continue to assert that discarded and high-graded fish in Alaska somehow make their way to Japan. None of the citations provided in the Pramod et al. paper provide any estimates of IUU, so their numerical estimates must therefore come from two confidential informants. No documentation of how the estimates are made is provided and the paper completely fails to meet normal standards of scientific replicability. The deficiencies in the estimate of IUU in Alaskan Pollock must cast serious doubt on their approach for all fisheries.</t>
  </si>
  <si>
    <t>[Hilborn, Ray; Anderson, Christopher M.; Punt, Andre E.; Baker, Nicole] Univ Washington, Sch Aquat &amp; Fishery Sci, Seattle, WA 98195 USA; [Kruse, Gordon H.] Univ Alaska Fairbanks, Coll Fisheries &amp; Ocean Sci, Juneau Ctr, Juneau, AK USA; [Sissenwine, Michael] Woods Hole Oceanog Inst, Marine Policy Ctr, Woods Hole, MA 02536 USA; [Oliver, Chris] NOAA, Assistant Administrator Fisheries, 1315 East West Highway, Silver Spring, MD 20910 USA; [Ianelli, James N.] NOAA, Alaska Fisheries Sci Ctr, Natl Marine Fisheries Serv, 7600 Sand Point Way NE, Seattle, WA 98115 USA; [Trumble, Robert J.] MRAG Amer Inc, St Petersburg, FL USA; [Agnew, David J.] Univ Tasmania, Inst Marine &amp; Antarctic Studies, Hobart, Tas 7001, Australia</t>
  </si>
  <si>
    <t>University of Washington; University of Washington Seattle; University of Alaska System; University of Alaska Fairbanks; Woods Hole Oceanographic Institution; National Oceanic Atmospheric Admin (NOAA) - USA; National Oceanic Atmospheric Admin (NOAA) - USA; University of Tasmania</t>
  </si>
  <si>
    <t>Hilborn, R (corresponding author), Univ Washington, Sch Aquat &amp; Fishery Sci, Seattle, WA 98195 USA.</t>
  </si>
  <si>
    <t>rayh@uw.edu; cmand@uw.edu; Gordon.kruse@alaska.edu; aepunt@uw.edu; m.sissenwine@gmail.com; chris.w.oliver@noaa.gov; jim.ianelli@noaa.gov; Bobtrumble7@gmail.com; davidagnew99@gmail.com; Nbaker493@gmail.com</t>
  </si>
  <si>
    <t>University of Washington</t>
  </si>
  <si>
    <t>University of Washington(University of Washington)</t>
  </si>
  <si>
    <t>No specific funds were received for this research. The University of Washington receives research funding from several fishing companies that fish for Alaskan Pollock.</t>
  </si>
  <si>
    <t>10.1016/j.marpol.2019.103632</t>
  </si>
  <si>
    <t>JL4RX</t>
  </si>
  <si>
    <t>WOS:000495518700052</t>
  </si>
  <si>
    <t>Hornborg, S; van Putten, I; Novaglio, C; Fulton, EA; Blanchard, JL; Plagányi, É; Bulman, C; Sainsbury, K</t>
  </si>
  <si>
    <t>Hornborg, Sara; van Putten, Ingrid; Novaglio, Camilla; Fulton, Elizabeth A.; Blanchard, Julia L.; Plaganyi, Eva; Bulman, Cathy; Sainsbury, Keith</t>
  </si>
  <si>
    <t>Ecosystem-based fisheries management requires broader performance indicators for the human dimension</t>
  </si>
  <si>
    <t>Indicators; Ecosystem-based fisheries management; Economic; Social-cultural; Institutional; Ecosystem models</t>
  </si>
  <si>
    <t>ECOLOGICAL INDICATORS; TRADE-OFFS; COMMUNITY; SUSTAINABILITY; IMPLEMENTATION; ASSESSMENTS; GOVERNANCE; CHALLENGES; FRAMEWORK; OUTCOMES</t>
  </si>
  <si>
    <t>Ecosystem-based fisheries management (EBFM) is a globally mandated approach with the intention to jointly address ecological and human (social-cultural, economic and institutional) dimensions. Indicators to measure performance against objectives have been suggested, tested, and refined but with a strong bias towards ecological indicators. In this paper, current use and application of indicators related to the human dimension in EBFM research and ecosystem models are analysed. It is found that compared to ecological counterparts, few indicators related to the human dimension are commonly associated with EBFM, and they mainly report on economic objectives related to fisheries. Similarly, in the most common ecosystem models, economic indicators are the most frequently used related to the human dimension, both in terms of model outputs and inputs. The prospect is small that indicators mainly related to profitable fishing economy are able to report on meeting the broad range of EBFM objectives and to successfully evaluate progress in achieving EBFM goals. To fully conform with EBFM principles, it is necessary to recognise that ecological and human indicators are inter-dependent. Moreover, the end-to-end ecosystem models used in EBFM will need to be further developed to allow a fuller spectrum of social-cultural, institutional, and economic objectives to be reported against.</t>
  </si>
  <si>
    <t>[Hornborg, Sara] RISE Res Inst Sweden, Agrifood &amp; Biosci, POB 5401, SE-40229 Gothenburg, Sweden; [Hornborg, Sara; van Putten, Ingrid; Novaglio, Camilla; Fulton, Elizabeth A.; Bulman, Cathy] CSIRO Oceans &amp; Atmosphere, Hobart, Tas 7001, Australia; [Hornborg, Sara; van Putten, Ingrid; Novaglio, Camilla; Fulton, Elizabeth A.; Blanchard, Julia L.; Plaganyi, Eva; Sainsbury, Keith] Univ Tasmania, Ctr Marine Socioecol, Hobart, Tas 7001, Australia; [Hornborg, Sara; Blanchard, Julia L.] Univ Tasmania, Inst Marine &amp; Antarctic Studies, Hobart, Tas, Australia; [Plaganyi, Eva] CSIRO Oceans &amp; Atmosphere, Brisbane, Qld 4072, Australia</t>
  </si>
  <si>
    <t>RISE Research Institutes of Sweden; Commonwealth Scientific &amp; Industrial Research Organisation (CSIRO); University of Tasmania; University of Tasmania; Commonwealth Scientific &amp; Industrial Research Organisation (CSIRO)</t>
  </si>
  <si>
    <t>Hornborg, S (corresponding author), RISE Res Inst Sweden, Agrifood &amp; Biosci, POB 5401, SE-40229 Gothenburg, Sweden.</t>
  </si>
  <si>
    <t>Sara.Hornborg@ri.se</t>
  </si>
  <si>
    <t>Blanchard, Julia L/E-4919-2010; Plaganyi, Eva E/C-5130-2011; Elias, Dereje/GPF-8075-2022; Bulman, Catherine M/A-9795-2012; Fulton, Beth/A-2871-2008; van putten, ingrid/AAV-1301-2021</t>
  </si>
  <si>
    <t>Plaganyi, Eva E/0000-0002-4740-4200; van putten, ingrid/0000-0001-8397-9768; Blanchard, Julia/0000-0003-0532-4824; Hornborg, Sara/0000-0003-0814-5258; Novaglio, Camilla/0000-0003-3681-1377</t>
  </si>
  <si>
    <t>Swedish Research Council Formas [2016-00455]; Lenfest Oceans Program; Swedish Research Council [2016-00455] Funding Source: Swedish Research Council; Formas [2016-00455] Funding Source: Formas</t>
  </si>
  <si>
    <t>Swedish Research Council Formas(Swedish Research Council Formas); Lenfest Oceans Program; Swedish Research Council(Swedish Research Council); Formas(Swedish Research Council Formas)</t>
  </si>
  <si>
    <t>The authors want to thank two anonymous reviewers who provided valuable comments that greatly improved an earlier version of this manuscript. This work was supported by the Swedish Research Council Formas [grant number 2016-00455] and the Lenfest Oceans Program.</t>
  </si>
  <si>
    <t>10.1016/j.marpol.2019.103639</t>
  </si>
  <si>
    <t>WOS:000495518700026</t>
  </si>
  <si>
    <t>Rizzari, JR; Gardner, C</t>
  </si>
  <si>
    <t>Rizzari, Justin R.; Gardner, Caleb</t>
  </si>
  <si>
    <t>Supply risk of bait in Australia's Southern Rock Lobster Fishery</t>
  </si>
  <si>
    <t>Jasus edwardsii; Fisheries; Bait; Risk perception</t>
  </si>
  <si>
    <t>MAXIMUM ECONOMIC YIELD; MANAGEMENT; RESOURCE</t>
  </si>
  <si>
    <t>Bait is an often-overlooked component in studies addressing operational and ecological risks in commercial fishing. One of the most valued fisheries in Australia, the Southern Rock Lobster Fishery, lacked analysis of bait use, which is relevant to both assessing ecological interactions of the fishery and also concerns around future supply. We conducted a survey to determine what species are predominantly being used as bait, assessed these species' sustainability status, and explored any risks around future supply. We found that fishers preferred a limited number of bait species and that some were being sourced from fisheries with an 'unknown' sustainability status, and many fishers were concerned about future bait supply. Insecurity of existing supply means that other bait options need to be explored. Furthermore, ongoing monitoring of species being used for bait would assist any future third party sustainability accreditation.</t>
  </si>
  <si>
    <t>[Rizzari, Justin R.] Deakin Univ, Sch Life &amp; Environm Sci, Geelong, Vic, Australia; [Rizzari, Justin R.; Gardner, Caleb] Univ Tasmania, Fisheries &amp; Aquaculture Ctr, Inst Marine &amp; Antarctic Studies, Hobart, Tas, Australia</t>
  </si>
  <si>
    <t>Deakin University; University of Tasmania</t>
  </si>
  <si>
    <t>Rizzari, JR (corresponding author), Deakin Univ, Sch Life &amp; Environm Sci, Geelong, Vic, Australia.</t>
  </si>
  <si>
    <t>Justin.Rizzari@deakin.edu.au</t>
  </si>
  <si>
    <t>Sustainable Marine Research Collaboration Agreement (SMRCA)</t>
  </si>
  <si>
    <t>This project was funded through the Sustainable Marine Research Collaboration Agreement (SMRCA) between the Department of Primary Industries, Parks, Water and Environment, Tasmania (DPIPWE) and the University of Tasmania. Collection of survey data was approved by the Tasmanian Social Sciences Human Research Ethics Committee (H0017174). We wish to thank all of the people that volunteered to participate in the survey and the people and organisations that facilitated data collection. We also thank two anonymous reviewers who provided constructive comments on earlier drafts of this manuscript.</t>
  </si>
  <si>
    <t>10.1016/j.marpol.2019.103659</t>
  </si>
  <si>
    <t>WOS:000495518700030</t>
  </si>
  <si>
    <t>Rousseau, Y; Watson, RA; Blanchard, JL; Fulton, EA</t>
  </si>
  <si>
    <t>Rousseau, Yannick; Watson, Reg A.; Blanchard, Julia L.; Fulton, Elizabeth A.</t>
  </si>
  <si>
    <t>Defining global artisanal fisheries</t>
  </si>
  <si>
    <t>Artisanal fisheries; Small-scale fisheries; Transdisciplinary; Definition</t>
  </si>
  <si>
    <t>SMALL-SCALE FISHERIES; ECONOMIC VIABILITY; SUSTAINABILITY; AREAS</t>
  </si>
  <si>
    <t>While small-scale and artisanal fisheries are undeniably important globally, there is no global consensus on how to define the sectors, hindering comparative studies and international agreements. We focused on the usage of the words in both the scientific literature and legal documents and show that the confusion stems from a misuse of the terms artisanal, small-scale, coastal and subsistence, and is further propagated by language barriers. Accepting the complexity and subtleties of each term, we developed a simple method based on rhetoric and within a transdisciplinary background, which allows the 'level' of artisanal fisheries between nations to be parameterised and compared.</t>
  </si>
  <si>
    <t>[Rousseau, Yannick; Watson, Reg A.; Blanchard, Julia L.] Inst Marine &amp; Antarctic Studies, Hobart, Tas, Australia; [Rousseau, Yannick; Watson, Reg A.; Blanchard, Julia L.; Fulton, Elizabeth A.] Ctr Marine Socioecol, Hobart, Tas, Australia; [Rousseau, Yannick; Fulton, Elizabeth A.] Commonwealth Sci &amp; Ind Res Org, Hobart, Tas, Australia</t>
  </si>
  <si>
    <t>Rousseau, Y (corresponding author), Inst Marine &amp; Antarctic Studies, Hobart, Tas, Australia.</t>
  </si>
  <si>
    <t>yannick.rousseau@utas.edu.au; r.a.watson@utas.edu.au; julia.blanchard@utas.edu.au; beth.fulton@csiro.com.au</t>
  </si>
  <si>
    <t>Blanchard, Julia L/E-4919-2010; Fulton, Beth/A-2871-2008; Watson, Reg A/F-4850-2012; rousseau, yannick/GWU-9830-2022</t>
  </si>
  <si>
    <t>Watson, Reg A/0000-0001-7201-8865; Rousseau, Yannick/0000-0003-0765-7518; Blanchard, Julia/0000-0003-0532-4824</t>
  </si>
  <si>
    <t>10.1016/j.marpol.2019.103634</t>
  </si>
  <si>
    <t>WOS:000495518700016</t>
  </si>
  <si>
    <t>Rochera, C; Camacho, A</t>
  </si>
  <si>
    <t>Rochera, Carlos; Camacho, Antonio</t>
  </si>
  <si>
    <t>Limnology and Aquatic Microbial Ecology of Byers Peninsula: A Main Freshwater Biodiversity Hotspot in Maritime Antarctica</t>
  </si>
  <si>
    <t>DIVERSITY-BASEL</t>
  </si>
  <si>
    <t>Maritime Antarctica; Byers Peninsula; microbial mats; virioplankton; bacterioplankton; protists; next-generation sequencing</t>
  </si>
  <si>
    <t>SOUTH-SHETLAND ISLANDS; LIVINGSTON ISLAND; BOECKELLA-POPPEI; BACTERIOPLANKTON COMMUNITY; PROKARYOTIC COMMUNITY; VERTICAL STRUCTURE; DIATOM FLORA; LAKES; DYNAMICS; ICE</t>
  </si>
  <si>
    <t>Here we present a comprehensive review of the diversity revealed by research in limnology and microbial ecology conducted in Byers Peninsula (Livingston Island, South Shetland Islands, Antarctica) during the last two decades. The site constitutes one of the largest ice-free areas within the Antarctic Peninsula region. Since it has a high level of environmental protection, it is less human-impacted compared to other sites within the South Shetland archipelago. The main investigations in Byers Peninsula focused on the physical and chemical limnology of the lakes, ponds, rivers, and wetlands, as well as on the structure of their planktonic and benthic microbial communities, and on the functional ecology of the microbial food webs. Lakes and ponds in Byers range along a productivity gradient that extends from the less productive lakes located upland to the eutrophic coastal lakes. Their planktonic assemblages include viruses, bacteria, a metabolically diverse community of protists (i.e., autotrophs, heterotrophs, and mixotrophs), and a few metazooplankton species. Most of the studies conducted in the site demonstrate the strong influence of the physical environment (i.e., temperature, availability of light, and water) and nutrient availability in structuring these microbial communities. However, top-down biotic processes may occur in summer, when predation by zooplankton can exert a strong influence on the abundance of protists, including flagellates and ciliated protozoa. As a consequence, bacterioplankton could be partly released from the grazing pressure exerted by these protists, and proliferates fueled by external nutrient subsidies from the lake's catchment. As summer temperatures in this region are slightly above the melting point of water, biotic processes, such as those related to the productivity of lakes during ice-free periods, could become even more relevant as warming induced by climate change progresses. The limnological research carried out at the site proves that Byers Peninsula deserves special attention in the framework of the research in extreme environments. Together with nearby sites, such as Signy Island, Byers Peninsula comprises a featuring element of the Maritime Antarctic region that represents a benchmark area relative to the global distribution and diversity of aquatic microorganisms.</t>
  </si>
  <si>
    <t>[Rochera, Carlos; Camacho, Antonio] Univ Valencia, Cavanilles Inst Biodivers &amp; Evolutionary Biol, E-46980 Valencia, Spain</t>
  </si>
  <si>
    <t>University of Valencia</t>
  </si>
  <si>
    <t>Camacho, A (corresponding author), Univ Valencia, Cavanilles Inst Biodivers &amp; Evolutionary Biol, E-46980 Valencia, Spain.</t>
  </si>
  <si>
    <t>carlos.rochera@uv.es; antonio.camacho@uv.es</t>
  </si>
  <si>
    <t>Rochera, Carlos/M-2932-2014; Camacho, Antonio/I-3417-2015</t>
  </si>
  <si>
    <t>Rochera, Carlos/0000-0002-8294-4755; Camacho, Antonio/0000-0003-0841-2010</t>
  </si>
  <si>
    <t>Spanish Ministry of Education and Science [CGL2005-06549-0O2-02/ANT]; project CLIMAWET of the Spanish Ministry of Economy and Competitiveness [CGL2015-69557-R]; European FEDER funds, A way to make Europe</t>
  </si>
  <si>
    <t>Spanish Ministry of Education and Science(Spanish Government); project CLIMAWET of the Spanish Ministry of Economy and Competitiveness; European FEDER funds, A way to make Europe</t>
  </si>
  <si>
    <t>This study was supported by grant CGL2005-06549-0O2-02/ANT, funded by the Spanish Ministry of Education and Science, whereas the current work of both authors is funded by the project CLIMAWET (CGL2015-69557-R) of the Spanish Ministry of Economy and Competitiveness, both granted to A.C. and co-financed by European FEDER funds, A way to make Europe.</t>
  </si>
  <si>
    <t>1424-2818</t>
  </si>
  <si>
    <t>Diversity-Basel</t>
  </si>
  <si>
    <t>10.3390/d11100201</t>
  </si>
  <si>
    <t>JJ8TV</t>
  </si>
  <si>
    <t>WOS:000494425500026</t>
  </si>
  <si>
    <t>Nan, SL; Yang, JL; Bao, Y; Li, J; Rong, XY</t>
  </si>
  <si>
    <t>Nan, Sulan; Yang, Junli; Bao, Yan; Li, Jian; Rong, Xinyao</t>
  </si>
  <si>
    <t>Simulation of the Northern and Southern Hemisphere Annular Modes by CAMS-CSM</t>
  </si>
  <si>
    <t>JOURNAL OF METEOROLOGICAL RESEARCH</t>
  </si>
  <si>
    <t>CAMS-CSM; model evaluation; annular mode; Northern Hemisphere; Southern Hemisphere</t>
  </si>
  <si>
    <t>ARCTIC OSCILLATION; ANTARCTIC OSCILLATION; STRATOSPHERE; VARIABILITY; PRECIPITATION; PROPAGATION; CIRCULATION; TROPOSPHERE; ANOMALIES; TRENDS</t>
  </si>
  <si>
    <t>As leading modes of the planetary-scale atmospheric circulation in the extratropics, the Northern Hemisphere (NH) annular mode (NAM) and Southern Hemisphere (SH) annular mode (SAM) are important components of global circulation, and their variabilities substantially impact the climate in mid-high latitudes. A 35-yr (1979-2013) simulation by the climate system model developed at the Chinese Academy of Meteorological Sciences (CAMS-CSM) was carried out based on observed sea surface temperature and sea ice data. The ability of CAMS-CSM in simulating horizontal and vertical structures of the NAM and SAM, relation of the NAM to the East Asian climate, and temporal variability of the SAM is examined and validated against the observational data. The results show that CAMS-CSM captures the zonally symmetric and out-of-phase variations of sea level pressure anomaly between the midlatitudes and polar zones in the extratropics of the NH and SH. The model has also captured the equivalent barotropic structure in tropospheric geopotential height and the meridional shifts of the NH and SH jet systems associated with the NAM and SAM anomalies. Furthermore, the model is able to reflect the variability of northern and southern Ferrel cells corresponding to the NAM and SAM anomalies. The model reproduces the observed relationship of the boreal winter NAM with the East Asian trough and air temperature over East Asia. It also captures the upward trend of the austral summer SAM index during recent decades. However, compared with the observation, the model shows biases in both the intensity and center locations of the NAM's and SAM's horizontal and vertical structures. Specifically, it overestimates their intensities.</t>
  </si>
  <si>
    <t>[Nan, Sulan; Li, Jian; Rong, Xinyao] Chinese Acad Meteorol Sci, China Meteorol Adm, State Key Lab Severe Weather, Beijing 100081, Peoples R China; [Yang, Junli] China Meteorol Adm, Natl Meteorol Ctr, Beijing 100081, Peoples R China; [Yang, Junli] China Meteorol Adm, Natl Meteorol Ctr, Numer Predict Ctr, Beijing 100081, Peoples R China; [Bao, Yan] Nanjing Univ Informat Sci &amp;Technol, Binjiang Coll, Wuxi 214105, Jiangsu, Peoples R China</t>
  </si>
  <si>
    <t>China Meteorological Administration; Chinese Academy of Meteorological Sciences (CAMS); China Meteorological Administration; China Meteorological Administration; Wuxi University</t>
  </si>
  <si>
    <t>Nan, SL (corresponding author), Chinese Acad Meteorol Sci, China Meteorol Adm, State Key Lab Severe Weather, Beijing 100081, Peoples R China.</t>
  </si>
  <si>
    <t>nansl@cma.gov.cn</t>
  </si>
  <si>
    <t>Li, Jian/HOC-6500-2023</t>
  </si>
  <si>
    <t>Li, Jian/0000-0001-7223-0022</t>
  </si>
  <si>
    <t>National Natural Science Foundation of China [41775084, 41405102]; National Key Research and Development Program of China [2018YFC1505706]; Basic Research Special Project of Chinese Academy of Meteorological Sciences [2019Z008]</t>
  </si>
  <si>
    <t>National Natural Science Foundation of China(National Natural Science Foundation of China (NSFC)); National Key Research and Development Program of China; Basic Research Special Project of Chinese Academy of Meteorological Sciences</t>
  </si>
  <si>
    <t>Supported by the National Natural Science Foundation of China (41775084 and 41405102), National Key Research and Development Program of China (2018YFC1505706), and Basic Research Special Project of Chinese Academy of Meteorological Sciences (2019Z008).</t>
  </si>
  <si>
    <t>2095-6037</t>
  </si>
  <si>
    <t>2198-0934</t>
  </si>
  <si>
    <t>J METEOROL RES-PRC</t>
  </si>
  <si>
    <t>J. Meteorol. Res.</t>
  </si>
  <si>
    <t>10.1007/s13351-019-8099-9</t>
  </si>
  <si>
    <t>JJ9PQ</t>
  </si>
  <si>
    <t>WOS:000494484300012</t>
  </si>
  <si>
    <t>Haeger, C; Kaban, MK</t>
  </si>
  <si>
    <t>Haeger, Carina; Kaban, Mikhail K.</t>
  </si>
  <si>
    <t>Decompensative Gravity Anomalies Reveal the Structure of the Upper Crust of Antarctica</t>
  </si>
  <si>
    <t>PURE AND APPLIED GEOPHYSICS</t>
  </si>
  <si>
    <t>Antarctica; decompensative gravity anomaly; upper crust; sediments; gravity modeling</t>
  </si>
  <si>
    <t>DRONNING-MAUD-LAND; PRINCE-CHARLES MOUNTAINS; WILKES SUBGLACIAL BASIN; EAST ANTARCTICA; ICE STREAM; LITHOSPHERIC STRUCTURE; TRANSANTARCTIC MOUNTAINS; SILL EMPLACEMENT; ISOSTATIC MODEL; LAMBERT GRABEN</t>
  </si>
  <si>
    <t>As Antarctica is almost entirely covered by thick ice shields impeding in situ measurements, information about upper crustal structures and sedimentary basins is still sparse and the analysis of the gravity anomalies offers new insights. Isostatic gravity anomalies are often used to investigate upper crust structures. However, compensating masses significantly reduce the gravity effect of unknown sedimentary and upper crustal structures. To separate these effects, we apply so-called decompensative corrections to the isostatic anomalies for the Antarctic continent, which reach values of up to +/- 70 mGal. The obtained decompensative anomalies well correspond to the known sedimentary basins, such as in the areas of the Filchner-Ronne Ice Shelf and Lambert Graben, and also suggest the existence of other large sedimentary deposits both in West and East Antarctica, which are not or only sparsely mapped by existing seismic surveys, e.g. in coastal Dronning Maud Land and Enderby Land. A dipole-like structure exists at the Transantarctic Mountains and the Wilkes Subglacial Basin, suggesting the presence of isostatic disturbances linked to the dynamic uplift of the Transantarctic Mountains and thick sedimentary accumulations in the east. Extended positive anomalies in East Antarctica are likely related to the old and dense cratonic crust as well as to isostatic disturbances caused by the transition from local to regional compensation around the Lambert Graben.</t>
  </si>
  <si>
    <t>[Haeger, Carina; Kaban, Mikhail K.] Deutsch GeoForschungsZentrum Potsdam, Telegrafenberg A20, D-14473 Potsdam, Germany; [Haeger, Carina] Free Univ Berlin, Berlin, Germany; [Kaban, Mikhail K.] Schmidt Inst Phys Earth, Moscow, Russia</t>
  </si>
  <si>
    <t>Helmholtz Association; Helmholtz-Center Potsdam GFZ German Research Center for Geosciences; Free University of Berlin; Russian Academy of Sciences; Schmidt Institute of Physics of the Earth of the Russian Academy of Sciences</t>
  </si>
  <si>
    <t>Haeger, C (corresponding author), Deutsch GeoForschungsZentrum Potsdam, Telegrafenberg A20, D-14473 Potsdam, Germany.;Haeger, C (corresponding author), Free Univ Berlin, Berlin, Germany.</t>
  </si>
  <si>
    <t>carina.haeger@gfz-potsdam.de; kaban@gfz-potsdam.de</t>
  </si>
  <si>
    <t>Kaban, Mikhail/ABA-7286-2020</t>
  </si>
  <si>
    <t>Haeger, Carina/0000-0003-0075-3849; Kaban, Mikhail/0000-0002-1864-2234</t>
  </si>
  <si>
    <t>DFG (German Research Foundation) [SPP-1788, KA2669/4-1, KA2669/4-2]</t>
  </si>
  <si>
    <t>DFG (German Research Foundation)(German Research Foundation (DFG))</t>
  </si>
  <si>
    <t>We thank three anonymous reviewers and the editor Carla Braitenberg for their valuable comments that have greatly improved the manuscript. This study was supported by DFG (German Research Foundation), SPP-1788 Dynamic Earth (Grants KA2669/4-1 and KA2669/4-2). The results of this study are available in digital form from the authors upon request.</t>
  </si>
  <si>
    <t>SPRINGER BASEL AG</t>
  </si>
  <si>
    <t>PICASSOPLATZ 4, BASEL, 4052, SWITZERLAND</t>
  </si>
  <si>
    <t>0033-4553</t>
  </si>
  <si>
    <t>1420-9136</t>
  </si>
  <si>
    <t>PURE APPL GEOPHYS</t>
  </si>
  <si>
    <t>Pure Appl. Geophys.</t>
  </si>
  <si>
    <t>10.1007/s00024-019-02212-5</t>
  </si>
  <si>
    <t>JL3WA</t>
  </si>
  <si>
    <t>WOS:000495461700019</t>
  </si>
  <si>
    <t>Rexer-Huber, K; Veale, AJ; Catry, P; Cherel, Y; Dutoit, L; Foster, Y; McEwan, JC; Parker, GC; Phillips, RA; Ryan, PG; Stanworth, AJ; van Stijn, T; Thompson, DR; Waters, J; Robertson, BC</t>
  </si>
  <si>
    <t>Rexer-Huber, Kalinka; Veale, Andrew J.; Catry, Paulo; Cherel, Yves; Dutoit, Ludovic; Foster, Yasmin; McEwan, John C.; Parker, Graham C.; Phillips, Richard A.; Ryan, Peter G.; Stanworth, Andrew J.; van Stijn, Tracey; Thompson, David R.; Waters, Jonathan; Robertson, Bruce C.</t>
  </si>
  <si>
    <t>Genomics detects population structure within and between ocean basins in a circumpolar seabird: The white-chinned petrel</t>
  </si>
  <si>
    <t>circumpolar; GBS; genetic structure; population genomics; seabird; Southern Ocean</t>
  </si>
  <si>
    <t>PATAGONIAN TOOTHFISH POPULATIONS; PROCELLARIA-AEQUINOCTIALIS; GENETIC-STRUCTURE; R-PACKAGE; PHYLOGEOGRAPHIC STRUCTURE; SOUTHERN-HEMISPHERE; LONGLINE FISHERY; MANAGEMENT UNITS; NEW-ZEALAND; SEA-ICE</t>
  </si>
  <si>
    <t>The Southern Ocean represents a continuous stretch of circumpolar marine habitat, but the potential physical and ecological drivers of evolutionary genetic differentiation across this vast ecosystem remain unclear. We tested for genetic structure across the full circumpolar range of the white-chinned petrel (Procellaria aequinoctialis) to unravel the potential drivers of population differentiation and test alternative population differentiation hypotheses. Following range-wide comprehensive sampling, we applied genomic (genotyping-by-sequencing or GBS; 60,709 loci) and standard mitochondrial-marker approaches (cytochrome b and first domain of control region) to quantify genetic diversity within and among island populations, test for isolation by distance, and quantify the number of genetic clusters using neutral and outlier (non-neutral) loci. Our results supported the multi-region hypothesis, with a range of analyses showing clear three-region genetic population structure, split by ocean basin, within two evolutionary units. The most significant differentiation between these regions confirmed previous work distinguishing New Zealand and nominate subspecies. Although there was little evidence of structure within the island groups of the Indian or Atlantic oceans, a small set of highly-discriminatory outlier loci could assign petrels to ocean basin and potentially to island group, though the latter needs further verification. Genomic data hold the key to revealing substantial regional genetic structure within wide-ranging circumpolar species previously assumed to be panmictic.</t>
  </si>
  <si>
    <t>[Rexer-Huber, Kalinka; Veale, Andrew J.; Dutoit, Ludovic; Foster, Yasmin; Waters, Jonathan; Robertson, Bruce C.] Univ Otago, Dept Zool, Dunedin, New Zealand; [Rexer-Huber, Kalinka; Parker, Graham C.] Parker Conservat, Dunedin, New Zealand; [Catry, Paulo] ISPA Inst Univ, MARE Marine &amp; Environm Sci Ctr, Lisbon, Portugal; [Cherel, Yves] La Rochelle Univ, Ctr Etud Biol Chize, UMR 7372, CNRS, Villiers En Bois, France; [McEwan, John C.; van Stijn, Tracey] AgResearch, Invermay Agr Ctr, Mosgiel, New Zealand; [Phillips, Richard A.] British Antarctic Survey, Nat Environm Res Council, Cambridge, England; [Ryan, Peter G.] Univ Cape Town, DST NRF Ctr Excellence, FitzPatrick Inst African Ornithol, Rondebosch, South Africa; [Stanworth, Andrew J.] Falklands Conservat, Stanley, Falkland Island; [Thompson, David R.] Natl Inst Water &amp; Atmospher Res, Wellington, New Zealand; [Veale, Andrew J.] Manaaki Whenua Landcare Res, Auckland, New Zealand</t>
  </si>
  <si>
    <t>University of Otago; Instituto Superior Psicologia Aplicada (ISPA); Centre National de la Recherche Scientifique (CNRS); CNRS - Institute of Ecology &amp; Environment (INEE); AgResearch - New Zealand; UK Research &amp; Innovation (UKRI); Natural Environment Research Council (NERC); NERC British Antarctic Survey; University of Cape Town; National Research Foundation - South Africa; National Institute of Water &amp; Atmospheric Research (NIWA) - New Zealand; Landcare Research - New Zealand</t>
  </si>
  <si>
    <t>Rexer-Huber, K (corresponding author), Univ Otago, Dept Zool, Dunedin, New Zealand.</t>
  </si>
  <si>
    <t>kalinka.rexerhuber@gmail.com</t>
  </si>
  <si>
    <t>Waters, Jonathan/B-4983-2009; McEwan, John/A-1143-2008; Catry, Paulo/I-5408-2013</t>
  </si>
  <si>
    <t>Waters, Jonathan/0000-0002-1514-7916; McEwan, John/0000-0003-4801-6207; Catry, Paulo/0000-0003-3000-0522; Foster, Yasmin/0000-0002-0377-1244; Dutoit, Ludovic/0000-0002-0164-9878; Cherel, Yves/0000-0001-9469-9489; Rexer-Huber, Kalinka/0000-0003-3345-7990</t>
  </si>
  <si>
    <t>NERC [bas0100035] Funding Source: UKRI</t>
  </si>
  <si>
    <t>10.1111/mec.15248</t>
  </si>
  <si>
    <t>JI1CJ</t>
  </si>
  <si>
    <t>WOS:000493203200005</t>
  </si>
  <si>
    <t>Grantham, GH; Kramers, JD; Eglington, B; Burger, EP</t>
  </si>
  <si>
    <t>Grantham, Geoffrey H.; Kramers, Jan D.; Eglington, Bruce; Burger, Erasmus P.</t>
  </si>
  <si>
    <t>The Ediacarian-Cambrian uplift history of western Dronning Maud Land: New 40Ar-39Ar and Sr/Nd data from Sverdrupfjella and Kirwanveggan, the source of the Urfjell Group and tectonic evolution of Dronning Maud Land within the Kuunga Orogeny and Gondwana amalgamation</t>
  </si>
  <si>
    <t>PRECAMBRIAN RESEARCH</t>
  </si>
  <si>
    <t>Ar/Ar and Sr/Nd data; Cambrian uplift; Dronning Maud Land, Antarctica; Kuunga Orogeny; Gondwana amalgamation</t>
  </si>
  <si>
    <t>EAST-AFRICAN OROGEN; GRENVILLE-AGE METAMORPHISM; HU SVERDRUPFJELLA; TECTONOTHERMAL EVOLUTION; CONTINENTAL COLLISION; ISOTOPIC CONSTRAINTS; MOZAMBIQUE BELT; U-PB; ANTARCTICA; EVENTS</t>
  </si>
  <si>
    <t>Biotite 40Ar/39Ar ages from Mesoproterozoic gneisses from Kirwanveggan and Sverdrupfjella vary between 868-497 Ma and 547-326 Ma respectively. Hornblende ages from Kirwanveggan and Sverdrupfjella gneisses vary between 1067-480 Ma and 550-450 Ma respectively. The similar ages for hornblende and biotite from Sverdruptjella are consistent with rapid uplift in a single event. The differences in ages between biotite and hornblende from Kirwanveggan imply differential heating southwards through Kirwanveggan and suggest heating over northern Kirwanveggan at similar to 500 Ma with central to southern Kirwanveggan preserving older Mesoproterozoic 40Ar/39Ar ages in hornblende. The heating is inferred to result from burial in the footwall of a nappe. Biotite ages throughout Sverdrupfjella and Kirwanveggan are similar to ages of deposition of Urfjell Group elastic sediments, with the Urfjell Group defining the southern limit of uplift and deposition at similar to 530 Ma. Radiogenic Nd/Sr isotope characteristics of the Urfjell Group are similar to basement gneisses from nearby Kirwanveggan and eastern Sverdrupfjella, Gjelsvikfjella and central Dronning Maud Land (CDML) but dissimilar to western Sverdrupfjella. In contrast detrital zircon patterns of the Urfjell Group suggest derivation from a source similar to distant CDML, ca. 500 km away. Tectonic analysis of Dronning Maud Land (DML), using available and new Sr/Nd radiogenic isotope and 40Ar/39Ar data, SHRIMP U/Pb zircon data, P-T-t estimates and structural analysis allow an interpretation that eastern Sverdrupfjella, Gjelsvikfjella and CDML comprise a nappe complex, emplaced toward S-SE over western Sverdrupfjella at ca. 500-480 Ma. The timing of the nappe complex emplacement is constrained by 510-490 Ma syn-D3 granitic intrusions and rapid uplift reflected by the 40Ar/39Ar data in Sverdrupfjella. Earlier top-to-theNW D1 -D2 folds and thrust faults preserved in the nappe complex predate the D3 nappe implacement. The emplacement of the nappe complex would position the Urfjell Group source much closer to its basin depository without intervening topography. The reach of the Kuunga Orogeny in DML is limited to central Kirwanveggan, with its southern limit being the Urfjell Group basin at ca. 530 Ma. Planar fabrics defined by hornblende and biotite, with older ages up to similar to 1100 Ma in southern Kirwanveggan, impliy dominantly Mesoproterozoic deformation in that area. with partial resetting of 40Ar/39Ar ages in northern Kirwanveggan. In contrast, D3 deformation in Sverdrupfjella is Cambrian in age. Integration of geochronological and geochemical data with published aeromagnetic and aerogravity data from WDML support the structural differences observed between Kirwanveggan and Sverdrupfjella and support a depth/heating gradient at similar to 530 Ma between N. Sverdrupfjella and S. Kirwanveggan. The absence of significant Neoproterozoic deformation in Kirwanveggan and the relatively undeformed nature of the similar to 530 Ma Urfjell Group rocks and Permian cover rocks, extending from southern Kirwanveggan to Vesttjella, indicate the Kuunga Orogeny is limited to Sverdrupfjella and possibly N. Kirwanveggan but is not continuous to Heimefrontfjella along the margin of the Grunehogna Craton. Biotite 40Ar/39Ar ages from Mesoproterozoic gneisses from Kirwanveggan and Sverdrupfjella vary between 868-497 Ma and 547-326 Ma respectively. Hornblende ages from Kirwanveggan and Sverdrupfjella gneisses vary between 1067-480 Ma and 550-450 Ma respectively. The similar ages for hornblende and biotite from Sverdruptjella are consistent with rapid uplift in a single event. The differences in ages between biotite and hornblende from Kirwanveggan imply differential heating southwards through Kirwanveggan and suggest heating over northern Kirwanveggan at similar to 500 Ma with central to southern Kirwanveggan preserving older Mesoproterozoic 40Ar/39Ar ages in hornblende. The heating is inferred to result from burial in the footwall of a nappe. Biotite ages throughout Sverdrupfjella and Kirwanveggan are similar to ages of deposition of Urfjell Group elastic sediments, with the Urfjell Group defining the southern limit of uplift and deposition at similar to 530 Ma. Radiogenic Nd/Sr isotope characteristics of the Urfjell Group are similar to basement gneisses from nearby Kirwanveggan and eastern Sverdrupfjella, Gjelsvikfjella and central Dronning Maud Land (CDML) but dissimilar to western Sverdrupfjella. In contrast detrital zircon patterns of the Urfjell Group suggest derivation from a source similar to distant CDML, ca. 500 km away. Tectonic analysis of Dronning Maud Land (DML), using available and new Sr/Nd radiogenic isotope and 40Ar/39Ar data, SHRIMP U/Pb zircon data, P-T-t estimates and structural analysis allow an interpretation that eastern Sverdrupfjella, Gjelsvikfjella and CDML comprise a nappe complex, emplaced toward S-SE over western Sverdrupfjella at ca. 500-480 Ma. The timing of the nappe complex emplacement is constrained by 510-490 Ma syn-D3 granitic intrusions and rapid uplift reflected by the 40Ar/39Ar data in Sverdrupfjella. Earlier top-to-theNW D1 -D2 folds and thrust faults preserved in the nappe complex predate the D3 nappe implacement. The emplacement of the nappe complex would position the Urfjell Group source much closer to its basin depository without intervening topography. The reach of the Kuunga Orogeny in DML is limited to central Kirwanveggan, with its southern limit being the Urfjell Group basin at ca. 530 Ma. Planar fabrics defined by hornblende and biotite, with older ages up to similar to 1100 Ma in southern Kirwanveggan, impliy dominantly Mesoproterozoic deformation in that area. with partial resetting of 40Ar/39Ar ages in northern Kirwanveggan. In contrast, D3 deformation in Sverdrupfjella is Cambrian in age. Integration of geochronological and geochemical data with published aeromagnetic and aerogravity data from WDML support the structural differences observed between Kirwanveggan and Sverdrupfjella and support a depth/heating gradient at similar to 530 Ma between N. Sverdrupfjella and S. Kirwanveggan. The absence of significant Neoproterozoic deformation in Kirwanveggan and the relatively undeformed nature of the similar to 530 Ma Urfjell Group rocks and Permian cover rocks, extending from southern Kirwanveggan to Vesttjella, indicate the Kuunga Orogeny is limited to Sverdrupfjella and possibly N. Kirwanveggan but is not continuous to Heimefrontfjella along the margin of the Grunehogna Craton. Biotite 40Ar/39Ar ages from Mesoproterozoic gneisses from Kirwanveggan and Sverdrupfjella vary between 868-497 Ma and 547-326 Ma respectively. Hornblende ages from Kirwanveggan and Sverdrupfjella gneisses vary between 1067-480 Ma and 550-450 Ma respectively. The similar ages for hornblende and biotite from Sverdruptjella are consistent with rapid uplift in a single event. The differences in ages between biotite and hornblende from Kirwanveggan imply differential heating southwards through Kirwanveggan and suggest heating over northern Kirwanveggan at similar to 500 Ma with central to southern Kirwanveggan preserving older Mesoproterozoic 40Ar/39Ar ages in hornblende. The heating is inferred to result from burial in the footwall of a nappe. Biotite ages throughout Sverdrupfjella and Kirwanveggan are similar to ages of deposition of Urfjell Group elastic sediments, with the Urfjell Group defining the southern limit of uplift and deposition at similar to 530 Ma. Radiogenic Nd/Sr isotope characteristics of the Urfjell Group are similar to basement gneisses from nearby Kirwanveggan and eastern Sverdrupfjella, Gjelsvikfjella and central Dronning Maud Land (CDML) but dissimilar to western Sverdrupfjella. In contrast detrital zircon patterns of the Urfjell Group suggest derivation from a source similar to distant CDML, ca. 500 km away. Tectonic analysis of Dronning Maud Land (DML), using available and new Sr/Nd radiogenic isotope and 40Ar/39Ar data, SHRIMP U/Pb zircon data, P-T-t estimates and structural analysis allow an interpretation that eastern Sverdrupfjella, Gjelsvikfjella and CDML comprise a nappe complex, emplaced toward S-SE over western Sverdrupfjella at ca. 500-480 Ma. The timing of the nappe complex emplacement is constrained by 510-490 Ma syn-D3 granitic intrusions and rapid uplift reflected by the 40Ar/39Ar data in Sverdrupfjella. Earlier top-to-theNW D1 -D2 folds and thrust faults preserved in the nappe complex predate the D3 nappe implacement. The emplacement of the nappe complex would position the Urfjell Group source much closer to its basin depository without intervening topography. The reach of the Kuunga Orogeny in DML is limited to central Kirwanveggan, with its southern limit being the Urfjell Group basin at ca. 530 Ma. Planar fabrics defined by hornblende and biotite, with older ages up to similar to 1100 Ma in southern Kirwanveggan, impliy dominantly Mesoproterozoic deformation in that area. with partial resetting of 40Ar/39Ar ages in northern Kirwanveggan. In contrast, D3 deformation in Sverdrupfjella is Cambrian in age. Integration of geochronological and geochemical data with published aeromagnetic and aerogravity data from WDML support the structural differences observed between Kirwanveggan and Sverdrupfjella and support a depth/heating gradient at similar to 530 Ma between N. Sverdrupfjella and S. Kirwanveggan. The absence of significant Neoproterozoic deformation in Kirwanveggan and the relatively undeformed nature of the similar to 530 Ma Urfjell Group rocks and Permian cover rocks, extending from southern Kirwanveggan to Vesttjella, indicate the Kuunga Orogeny is limited to Sverdrupfjella and possibly N. Kirwanveggan but is not continuous to Heimefrontfjella along the margin of the Grunehogna Craton. Biotite 40Ar/39Ar ages from Mesoproterozoic gneisses from Kirwanveggan and Sverdrupfjella vary between 868-497 Ma and 547-326 Ma respectively. Hornblende ages from Kirwanveggan and Sverdrupfjella gneisses vary between 1067-480 Ma and 550-450 Ma respectively. The similar ages for hornblende and biotite from Sverdruptjella are consistent with rapid uplift in a single event. The differences in ages between biotite and hornblende from Kirwanveggan imply differential heating southwards through Kirwanveggan and suggest heating over northern Kirwanveggan at similar to 500 Ma with central to southern Kirwanveggan preserving older Mesoproterozoic 40Ar/39Ar ages in hornblende. The heating is inferred to result from burial in the footwall of a nappe. Biotite ages throughout Sverdrupfjella and Kirwanveggan are similar to ages of deposition of Urfjell Group elastic sediments, with the Urfjell Group defining the southern limit of uplift and deposition at similar to 530 Ma. Radiogenic Nd/Sr isotope characteristics of the Urfjell Group are similar to basement gneisses from nearby Kirwanveggan and eastern Sverdrupfjella, Gjelsvikfjella and central Dronning Maud Land (CDML) but dissimilar to western Sverdrupfjella. In contrast detrital zircon patterns of the Urfjell Group suggest derivation from a source similar to distant CDML, ca. 500 km away. Tectonic analysis of Dronning Maud Land (DML), using available and new Sr/Nd radiogenic isotope and 40Ar/39Ar data, SHRIMP U/Pb zircon data, P-T-t estimates and structural analysis allow an interpretation that eastern Sverdrupfjella, Gjelsvikfjella and CDML comprise a nappe complex, emplaced toward S-SE over western Sverdrupfjella at ca. 500-480 Ma. The timing of the nappe complex emplacement is constrained by 510-490 Ma syn-D3 granitic intrusions and rapid uplift reflected by the 40Ar/39Ar data in Sverdrupfjella. Earlier top-to-theNW D1 -D2 folds and thrust faults preserved in the nappe complex predate the D3 nappe implacement. The emplacement of the nappe complex would position the Urfjell Group source much closer to its basin depository without intervening topography. The reach of the Kuunga Orogeny in DML is limited to central Kirwanveggan, with its southern limit being the Urfjell Group basin at ca. 530 Ma. Planar fabrics defined by hornblende and biotite, with older ages up to similar to 1100 Ma in southern Kirwanveggan, impliy dominantly Mesoproterozoic deformation in that area. with partial resetting of 40Ar/39Ar ages in northern Kirwanveggan. In contrast, D3 deformation in Sverdrupfjella is Cambrian in age. Integration of geochronological and geochemical data with published aeromagnetic and aerogravity data from WDML support the structural differences observed between Kirwanveggan and Sverdrupfjella and support a depth/heating gradient at similar to 530 Ma between N. Sverdrupfjella and S. Kirwanveggan. The absence of significant Neoproterozoic deformation in Kirwanveggan and the relatively undeformed nature of the similar to 530 Ma Urfjell Group rocks and Permian cover rocks, extending from southern Kirwanveggan to Vesttjella, indicate the Kuunga Orogeny is limited to Sverdrupfjella and possibly N. Kirwanveggan but is not continuous to Heimefrontfjella along the margin of the Grunehogna Craton. Biotite 40Ar/39Ar ages from Mesoproterozoic gneisses from Kirwanveggan and Sverdrupfjella vary between 868-497 Ma and 547-326 Ma respectively. Hornblende ages from Kirwanveggan and Sverdrupfjella gneisses vary between 1067-480 Ma and 550-450 Ma respectively. The similar ages for hornblende and biotite from Sverdruptjella are consistent with rapid uplift in a single event. The differences in ages between biotite and hornblende from Kirwanveggan imply differential heating southwards through Kirwanveggan and suggest heating over northern Kirwanveggan at similar to 500 Ma with central to southern Kirwanveggan preserving older Mesoproterozoic 40Ar/39Ar ages in hornblende. The heating is inferred to result from burial in the footwall of a nappe. Biotite ages throughout Sverdrupfjella and Kirwanveggan are similar to ages of deposition of Urfjell Group elastic sediments, with the Urfjell Group defining the southern limit of uplift and deposition at similar to 530 Ma. Radiogenic Nd/Sr isotope characteristics of the Urfjell Group are similar to basement gneisses from nearby Kirwanveggan and eastern Sverdrupfjella, Gjelsvikfjella and central Dronning Maud Land (CDML) but dissimilar to western Sverdrupfjella. In contrast detrital zircon patterns of the Urfjell Group suggest derivation from a source similar to distant CDML, ca. 500 km away. Tectonic analysis of Dronning Maud Land (DML), using available and new Sr/Nd radiogenic isotope and 40Ar/39Ar data, SHRIMP U/Pb zircon data, P-T-t estimates and structural analysis allow an interpretation that eastern Sverdrupfjella, Gjelsvikfjella and CDML comprise a nappe complex, emplaced toward S-SE over western Sverdrupfjella at ca. 500-480 Ma. The timing of the nappe complex emplacement is constrained by 510-490 Ma syn-D3 granitic intrusions and rapid uplift reflected by the 40Ar/39Ar data in Sverdrupfjella. Earlier top-to-theNW D1 -D2 folds and thrust faults preserved in the nappe complex predate the D3 nappe implacement. The emplacement of the nappe complex would position the Urfjell Group source much closer to its basin depository without intervening topography. The reach of the Kuunga Orogeny in DML is limited to central Kirwanveggan, with its southern limit being the Urfjell Group basin at ca. 530 Ma. Planar fabrics defined by hornblende and biotite, with older ages up to similar to 1100 Ma in southern Kirwanveggan, impliy dominantly Mesoproterozoic deformation in that area. with partial resetting of 40Ar/39Ar ages in northern Kirwanveggan. In contrast, D3 deformation in Sverdrupfjella is Cambrian in age. Integration of geochronological and geochemical data with published aeromagnetic and aerogravity data from WDML support the structural differences observed between Kirwanveggan and Sverdrupfjella and support a depth/heating gradient at similar to 530 Ma between N. Sverdrupfjella and S. Kirwanveggan. The absence of significant Neoproterozoic deformation in Kirwanveggan and the relatively undeformed nature of the similar to 530 Ma Urfjell Group rocks and Permian cover rocks, extending from southern Kirwanveggan to Vesttjella, indicate the Kuunga Orogeny is limited to Sverdrupfjella and possibly N. Kirwanveggan but is not continuous to Heimefrontfjella along the margin of the Grunehogna Craton.</t>
  </si>
  <si>
    <t>[Grantham, Geoffrey H.; Kramers, Jan D.] Univ Johannesburg, Dept Geol, POB 524, ZA-2006 Auckland Pk, South Africa; [Eglington, Bruce] Univ Saskatchewan, Dept Geol Sci, Saskatchewan Isotope Lab, Saskatoon, SK, Canada; [Burger, Erasmus P.] Univ Pretoria, Dept Geol, ZA-0001 Pretoria, South Africa</t>
  </si>
  <si>
    <t>University of Johannesburg; University of Saskatchewan; University of Pretoria</t>
  </si>
  <si>
    <t>Eglington, Bruce M/A-7144-2008; Grantham, Geoffrey/M-8637-2014</t>
  </si>
  <si>
    <t>Grantham, Geoffrey/0000-0001-9862-0547; Burger, Erasmus/0009-0009-2045-1021</t>
  </si>
  <si>
    <t>National Research Foundation under South African National Antarctic Program [93079, 110739]</t>
  </si>
  <si>
    <t>National Research Foundation under South African National Antarctic Program</t>
  </si>
  <si>
    <t>The National Research Foundation is thanked for research grants 93079 and 110739 for research under the auspices of the South African National Antarctic Program. The Department of Environmental Affairs and Starlite Aviation are acknowledged for logistical support in the field and on the SA. Aghulhas II. Constructive reviews by Rudolph Trouw and an anonymous reviewer are similarly acknowledged. Mr. E. P. Burger, responsible for biotite and hornblende separations, questions the veracity of the nappe model.</t>
  </si>
  <si>
    <t>0301-9268</t>
  </si>
  <si>
    <t>1872-7433</t>
  </si>
  <si>
    <t>PRECAMBRIAN RES</t>
  </si>
  <si>
    <t>Precambrian Res.</t>
  </si>
  <si>
    <t>OCT 1</t>
  </si>
  <si>
    <t>10.1016/j.precamres.2019.105444</t>
  </si>
  <si>
    <t>JI1IK</t>
  </si>
  <si>
    <t>WOS:000493218900014</t>
  </si>
  <si>
    <t>Moura, KAF; Lizieri, C; Franco, MW; Vaz, MGMV; Araújo, WL; Convey, P; Barbosa, FAR</t>
  </si>
  <si>
    <t>Ferreira Moura, Karen Ann; Lizieri, Claudineia; Franco, Maione Wittig; Marcal Vieira Vaz, Marcelo Gomes; Araujo, Wagner L.; Convey, Peter; Rodrigues Barbosa, Francisco Antonio</t>
  </si>
  <si>
    <t>Physiological and thylakoid ultrastructural changes in cyanobacteria in response to toxic manganese concentrations</t>
  </si>
  <si>
    <t>ECOTOXICOLOGY</t>
  </si>
  <si>
    <t>Manganese; Toxicity; Cyanobacteria; Ultrastructure; Bioremoval</t>
  </si>
  <si>
    <t>PLECTONEMA-BORYANUM CYANOPHYCEAE; HEAVY-METALS; GEN. NOV.; WATER; REMOVAL; GROWTH; NOSTOC; DETOXIFICATION; BIOREMEDIATION; ACCUMULATION</t>
  </si>
  <si>
    <t>In this study, two cyanobacterial strains (morphologically identified as Microcystis novacekii BA005 and Nostoc paludosum BA033) were exposed to different Mn concentrations: 7.0, 10.5, 15.7, 23.6 and 35.4 mg L-1 for BA005; and 15.0, 22.5, 33.7, 50.6, and 76.0 mg L-1 for BA033. Manganese toxicity was assessed by growth rate inhibition (EC50), chlorophyll a content, quantification of Mn accumulation in biomass and monitoring morphological and ultrastructural effects. The Mn EC50 values were 16 mg L-1 for BA005 and 39 mg L-1 for BA033, respectively. Reduction of chlorophyll a contents and ultrastructural changes were observed in cells exposed to Mn concentrations greater than 23.6 and 33.7 mg L-1 for BA005 and BA033. Damage to intrathylakoid spaces, increased amounts of polyphosphate granules and an increased number of carboxysomes were observed in both strains. In the context of the potential application of these strains in bioremediation approaches, BA005 was able to remove Mn almost completely from aqueous medium after 96 h exposure to an initial concentration of 10.5 mg L-1, and BA033 was capable of removing 38% when exposed to initial Mn concentration of 22.5 mg L-1. Our data shed light on how these cyanobacterial strains respond to Mn stress, as well as supporting their utility as organisms for monitoring Mn toxicity in industrial wastes and potential bioremediation application.</t>
  </si>
  <si>
    <t>[Ferreira Moura, Karen Ann; Lizieri, Claudineia; Franco, Maione Wittig; Rodrigues Barbosa, Francisco Antonio] Univ Fed Minas Gerais, Inst Ciencias Biol, Lab Limnol Ecotoxicol &amp; Ecol Aquat, B I3,163,Ave Antonio Carlos 6627, BR-31270901 Belo Horizonte, MG, Brazil; [Marcal Vieira Vaz, Marcelo Gomes; Araujo, Wagner L.] Univ Fed Vicosa, Dept Biol Vegetal, BR-36570900 Vicosa, MG, Brazil; [Marcal Vieira Vaz, Marcelo Gomes; Araujo, Wagner L.] Univ Fed Vicosa, Dept Biol Vegetal, Max Planck Partner Grp, BR-36570900 Vicosa, MG, Brazil; [Convey, Peter] NERC, British Antarctic Survey, Madingley Rd, Cambridge CB3 0ET, England</t>
  </si>
  <si>
    <t>Universidade Federal de Minas Gerais; Universidade Federal de Vicosa; Universidade Federal de Vicosa; UK Research &amp; Innovation (UKRI); Natural Environment Research Council (NERC); NERC British Antarctic Survey</t>
  </si>
  <si>
    <t>Franco, MW (corresponding author), Univ Fed Minas Gerais, Inst Ciencias Biol, Lab Limnol Ecotoxicol &amp; Ecol Aquat, B I3,163,Ave Antonio Carlos 6627, BR-31270901 Belo Horizonte, MG, Brazil.</t>
  </si>
  <si>
    <t>maionewf@hotmail.com</t>
  </si>
  <si>
    <t>Vaz, Marcelo G. M. V./D-1730-2015; Convey, Peter/AAV-5728-2020; Barbosa, Francisco/M-6225-2019; Araújo, Wagner L./I-3291-2013</t>
  </si>
  <si>
    <t>Convey, Peter/0000-0001-8497-9903; Barbosa, Francisco/0000-0002-2026-6936; Gomes Marcal Vieira Vaz, Marcelo/0000-0003-1624-8281</t>
  </si>
  <si>
    <t>Coordenacao de Aperfeicoamento de Pessoal de Nivel Superior (CAPES); National Institute for Research and Technology on Mineral Resources, Water and Biodiversity-INCT-Acqua; Max Planck Society; National Council for Scientific and Technological Development (CNPq-Brazil); Foundation for Research Assistance of the Minas Gerais State, Brazil (FAPEMIG) [APQ-01106-13, APQ-01357-14]; CAPES/FAPEMIG [BPD-00514-14]; CAPES [PNPD1638006]; NERC; NERC [bas0100036] Funding Source: UKRI</t>
  </si>
  <si>
    <t>Coordenacao de Aperfeicoamento de Pessoal de Nivel Superior (CAPES)(Coordenacao de Aperfeicoamento de Pessoal de Nivel Superior (CAPES)); National Institute for Research and Technology on Mineral Resources, Water and Biodiversity-INCT-Acqua; Max Planck Society(Max Planck Society); National Council for Scientific and Technological Development (CNPq-Brazil)(Conselho Nacional de Desenvolvimento Cientifico e Tecnologico (CNPQ)); Foundation for Research Assistance of the Minas Gerais State, Brazil (FAPEMIG)(Fundacao de Amparo a Pesquisa do Estado de Minas Gerais (FAPEMIG)); CAPES/FAPEMIG; CAPES(Coordenacao de Aperfeicoamento de Pessoal de Nivel Superior (CAPES)); NERC(UK Research &amp; Innovation (UKRI)Natural Environment Research Council (NERC)); NERC(UK Research &amp; Innovation (UKRI)Natural Environment Research Council (NERC))</t>
  </si>
  <si>
    <t>We thank Coordenacao de Aperfeicoamento de Pessoal de Nivel Superior (CAPES) for the scholarship granted to KAFM, and the National Institute for Research and Technology on Mineral Resources, Water and Biodiversity-INCT-Acqua-for financial support. We acknowledge the Center of Microscopy of UFMG (http://www.microscopia.ufmg.br) for the TEM images and the Laboratory of Chemical Analysis of the Departamento de Engenharia Metalurgica e de Materiais of the Engineering School/UFMG for the quantitative analysis of Mn. Funding from the Max Planck Society, the National Council for Scientific and Technological Development (CNPq-Brazil) and the Foundation for Research Assistance of the Minas Gerais State, Brazil (FAPEMIG, Grants APQ-01106-13 and APQ-01357-14) to WLA, and scholarships and a research fellowship granted by CAPES/FAPEMIG (BPD-00514-14) and CAPES (PNPD1638006) to MGMVV are gratefully acknowledged. PC is supported by NERC core funding to the British Antarctic Survey's 'Biodiversity, Evolution and Adaptation' Team.</t>
  </si>
  <si>
    <t>0963-9292</t>
  </si>
  <si>
    <t>1573-3017</t>
  </si>
  <si>
    <t>Ecotoxicology</t>
  </si>
  <si>
    <t>10.1007/s10646-019-02098-y</t>
  </si>
  <si>
    <t>Ecology; Environmental Sciences; Toxicology</t>
  </si>
  <si>
    <t>Environmental Sciences &amp; Ecology; Toxicology</t>
  </si>
  <si>
    <t>JG9SG</t>
  </si>
  <si>
    <t>WOS:000492415700015</t>
  </si>
  <si>
    <t>Shaughnessy, PD; Jones, R; Viggers, K</t>
  </si>
  <si>
    <t>Shaughnessy, Peter D.; Jones, Robert; Viggers, Karen</t>
  </si>
  <si>
    <t>On the size of crabeater seal, Lobodon carcinophaga, pups</t>
  </si>
  <si>
    <t>[Shaughnessy, Peter D.] South Australian Museum, North Terrace, Adelaide, SA 5000, Australia; [Jones, Robert] 5-176 Retreat Rd, Bendigo, Vic 3550, Australia; [Viggers, Karen] 19 Bindaga St, Aranda, ACT 2614, Australia; [Shaughnessy, Peter D.] CSIRO Sustainable Ecosyst, Canberra, ACT, Australia; [Jones, Robert; Viggers, Karen] Australian Antarctic Div, Channel Highway, Kingston, Tas 7050, Australia</t>
  </si>
  <si>
    <t>South Australian Museum; Commonwealth Scientific &amp; Industrial Research Organisation (CSIRO); Australian Antarctic Division</t>
  </si>
  <si>
    <t>Shaughnessy, PD (corresponding author), South Australian Museum, North Terrace, Adelaide, SA 5000, Australia.;Shaughnessy, PD (corresponding author), CSIRO Sustainable Ecosyst, Canberra, ACT, Australia.</t>
  </si>
  <si>
    <t>peter.shaughnessy@samuseum.sa.gov.au</t>
  </si>
  <si>
    <t>Shaughnessy, Peter/AAG-6689-2021</t>
  </si>
  <si>
    <t>10.1111/mms.12608</t>
  </si>
  <si>
    <t>JH0SS</t>
  </si>
  <si>
    <t>WOS:000492484700025</t>
  </si>
  <si>
    <t>Gonzalez, S; Banon, M; Albero, JV; Larramendi, R; Moreno, H; Vasallo, F; Sanz, P; Quesada, A; Justel, A</t>
  </si>
  <si>
    <t>Gonzalez, Sergi; Banon, Manuel; Albero, Jose, V; Larramendi, Ramon; Moreno, Hermenegildo; Vasallo, Francisco; Sanz, Pablo; Quesada, Antonio; Justel, Ana</t>
  </si>
  <si>
    <t>Weather Observations of Remote Polar Areas Using an AWS Onboard a Unique Zero-Emissions Polar Vehicle</t>
  </si>
  <si>
    <t>The Antarctic Plateau is one of the land areas with the largest gaps in surface weather observations on Earth, gaps that are usually filled with simulations provided by climate models. However, these simulated values must be ground-validated, which is particularly difficult and costly in remote polar regions. We designed and developed a Mobile Automatic Weather Station (M-AWS) which, on board a zero-emissions polar vehicle, recorded a large set of ground measurements that could be used to evaluate numerical weather simulations in an inexpensive way during the Year of Polar Prediction Southern Hemisphere Special Observing Period (YOPP). The M-AWS registered several weather variables over a transect of 2538 km in the East Antarctic Plateau. These meteorological data were also used by other scientific projects that were part of the expedition and for improving weather forecasting during the mission. The innovative design of the M-AWS overcame the main challenges imposed by the harsh conditions of a voyage in one of the world's most extreme regions.</t>
  </si>
  <si>
    <t>[Gonzalez, Sergi; Banon, Manuel; Albero, Jose, V; Vasallo, Francisco] Agencia Estatal Meteorol, Antarctic Grp, Madrid, Spain; [Larramendi, Ramon; Moreno, Hermenegildo] Inuit WindSled Polar Soc, Madrid, Spain; [Sanz, Pablo] Univ Autonoma Madrid, Sci Comp Ctr, Madrid, Spain; [Quesada, Antonio; Justel, Ana] Univ Autonoma Madrid, Dept Biol, Madrid, Spain; [Justel, Ana] Univ Carlos III Madrid, UC3M Santander Big Data Inst IBiDat, Madrid, Spain</t>
  </si>
  <si>
    <t>Agencia Estatal de Meteorologia (AEMET); Autonomous University of Madrid; Autonomous University of Madrid; Universidad Carlos III de Madrid</t>
  </si>
  <si>
    <t>Gonzalez, S (corresponding author), Agencia Estatal Meteorol, Antarctic Grp, Madrid, Spain.</t>
  </si>
  <si>
    <t>sgonzalezh@aemet.es</t>
  </si>
  <si>
    <t>Justel, Ana/A-3955-2010; Sanz, Pablo/R-1841-2018; Gonzalez-Herrero, Sergi/Y-7279-2018; Quesada, Antonio/L-2430-2013</t>
  </si>
  <si>
    <t>Justel, Ana/0000-0003-3335-0579; Gonzalez-Herrero, Sergi/0000-0002-2505-2435; Quesada, Antonio/0000-0002-8913-5993; Vasallo, Francisco/0000-0002-3907-4897</t>
  </si>
  <si>
    <t>ERDF (EU) [CTM2016-79741-R]; ANTALP Research Group - Generalitat de Catalunya [2017 SGR 1102]; MSIU (Spain)</t>
  </si>
  <si>
    <t>ERDF (EU)(European Union (EU)); ANTALP Research Group - Generalitat de Catalunya(Generalitat de Catalunya); MSIU (Spain)</t>
  </si>
  <si>
    <t>This is a contribution to the Year of Polar Prediction (YOPP), a flagship activity of the Polar Prediction Project (PPP), initiated by the World Weather Research Programme (WWRP) of the World Meteorological Organization (WMO). MICROAIRPOLAR is a project founded by AEI (Spain) and ERDF (EU), CTM2016-79741-R grant. AEMET Antarctic program is supported by the MSIU (Spain). Sergi Gonzalez's research activities are partly supported by ANTALP Research Group funded by Generalitat de Catalunya (2017 SGR 1102). Our thanks to J.A. Higuera and J. Gonzalez from SEGAINVEX-UAM, R. Vicente from AEMET, and expedition members I. Oficialdegui and M. Olivera for their very valuable contribution to the project. We also acknowledge the two anonymous reviewers whose input has helped improve this article.</t>
  </si>
  <si>
    <t>10.1175/BAMS-D-19-0110.1</t>
  </si>
  <si>
    <t>JG9GY</t>
  </si>
  <si>
    <t>WOS:000492386000004</t>
  </si>
  <si>
    <t>Majewski, W; Stolarski, J; Bart, PJ</t>
  </si>
  <si>
    <t>Majewski, Wojciech; Stolarski, Jaroslaw; Bart, Philip J.</t>
  </si>
  <si>
    <t>TWO RARE PUSTULOSE/SPINOSE MORPHOTYPES OF BENTHIC FORAMINIFERA FROM EASTERN ROSS SEA, ANTARCTICA</t>
  </si>
  <si>
    <t>JOURNAL OF FORAMINIFERAL RESEARCH</t>
  </si>
  <si>
    <t>AMERY ICE SHELF; CONTINENTAL-SHELF; WEDDELL SEA; SHEET; RETREAT; ECOLOGY; HISTORY; BENEATH; DISTRIBUTIONS; SEDIMENTATION</t>
  </si>
  <si>
    <t>Habitats proximal to grounded ice and below ice shelves are rarely studied for microfossils. A recently described, well-resolved deglaciation record from the Whales Deep Basin of the eastern Ross Sea provided an opportunity to study sub-fossil foraminifera in such settings. Among other foraminiferal taxa, two forms with pustulose/spinose ornamentation were especially important as they were restricted to habitats associated with proximity to the calving front or presence of an ice-shelf. Based on gradation from strongly pustulose/spinose to typical morphologies and existing molecular data, these rarely reported forms are considered to be morphotypes of Globocassidulina biora (Crespin, 1960) and Trifarina earlandi (Parr, 1950). They seemed to flourish in polynya areas near grounding-line and in sub-ice-shelf environments with bottom currents. Their unusual morphologies may be a response to limited food resources. These foraminifera deserve special attention because they appear to be restricted to extreme Antarctic environments and hence are potentially very important for paleoenvironmental reconstructions.</t>
  </si>
  <si>
    <t>[Majewski, Wojciech; Stolarski, Jaroslaw] Inst Paleobiol PAS, Twarda 51-55, PL-00818 Warsaw, Poland; [Bart, Philip J.] Louisiana State Univ, Dept Geol &amp; Geophys, Baton Rouge, LA 70803 USA</t>
  </si>
  <si>
    <t>Polish Academy of Sciences; Institute of Paleobiology of the Polish Academy of Sciences; Louisiana State University System; Louisiana State University</t>
  </si>
  <si>
    <t>Majewski, W (corresponding author), Inst Paleobiol PAS, Twarda 51-55, PL-00818 Warsaw, Poland.</t>
  </si>
  <si>
    <t>wmaj@twarda.pan.pl</t>
  </si>
  <si>
    <t>Stolarski, Jaroslaw/V-9586-2017; Majewski, Wojciech/D-9255-2017</t>
  </si>
  <si>
    <t>Stolarski, Jaroslaw/0000-0003-0994-6823; Majewski, Wojciech/0000-0002-5407-1782</t>
  </si>
  <si>
    <t>National Science Foundation Office of Polar Programs [ANT-1246357]; National Science Centre, Poland [NCN-2015/17/B/ST10/03346]</t>
  </si>
  <si>
    <t>National Science Foundation Office of Polar Programs(National Science Foundation (NSF)NSF - Directorate for Geosciences (GEO)); National Science Centre, Poland(National Science Centre, Poland)</t>
  </si>
  <si>
    <t>Fieldwork for this study was funded by a National Science Foundation Office of Polar Programs grant ANT-1246357 to Philip J. Bart. Micropaleontological investigations were supported by grant of the National Science Centre, Poland NCN-2015/17/B/ST10/03346 to Wojciech Majewski. We thank Scott Ishman, Andrew Gooday, and Pamela Hallock for their valuable comments, which helped to improve this paper.</t>
  </si>
  <si>
    <t>CUSHMAN FOUNDATION FORAMINIFERAL RESEARCH</t>
  </si>
  <si>
    <t>LAWRENCE</t>
  </si>
  <si>
    <t>PO BOX 7065, LAWRENCE, KS 66044-7065 USA</t>
  </si>
  <si>
    <t>0096-1191</t>
  </si>
  <si>
    <t>J FORAMIN RES</t>
  </si>
  <si>
    <t>J. Foraminifer. Res.</t>
  </si>
  <si>
    <t>10.2113/gsjfr.49.4.405</t>
  </si>
  <si>
    <t>JH3OL</t>
  </si>
  <si>
    <t>WOS:000492676900004</t>
  </si>
  <si>
    <t>Schultz, J; Kallies, R; da Rocha, UN; Rosado, AS</t>
  </si>
  <si>
    <t>Schultz, Junia; Kallies, Rene; da Rocha, Ulisses Nunes; Rosado, Alexandre Soares</t>
  </si>
  <si>
    <t>Draft Genome Sequence of Geobacillus sp. Strain LEMMJ02, a Thermophile Isolated from Deception Island, an Active Volcano in Antarctica</t>
  </si>
  <si>
    <t>MICROBIOLOGY RESOURCE ANNOUNCEMENTS</t>
  </si>
  <si>
    <t>IDENTIFICATION; ANNOTATION; BACTERIAL</t>
  </si>
  <si>
    <t>The thermophilic Geobacillus sp. strain LEMMJ02 was isolated from Fumarole Bay sediment on Deception Island, an active Antarctic volcano. Here, we report the draft genome of LEMMJ02, which consists of 3,160,938 bp with 52.8% GC content and 3,523 protein-coding genes.</t>
  </si>
  <si>
    <t>[Schultz, Junia; Rosado, Alexandre Soares] Univ Fed Rio de Janeiro, Inst Microbiol, Lab Mol Microbial Ecol, Rio De Janeiro, Brazil; [Kallies, Rene; da Rocha, Ulisses Nunes] UFZ Helmholtz Ctr Environm Res, Dept Environm Microbiol, Leipzig, Germany; [Rosado, Alexandre Soares] Univ Calif Davis, Dept Land Air &amp; Water Resources, Davis, CA 95616 USA</t>
  </si>
  <si>
    <t>Universidade Federal do Rio de Janeiro; Helmholtz Association; Helmholtz Center for Environmental Research (UFZ); University of California System; University of California Davis</t>
  </si>
  <si>
    <t>Rosado, AS (corresponding author), Univ Fed Rio de Janeiro, Inst Microbiol, Lab Mol Microbial Ecol, Rio De Janeiro, Brazil.;Rosado, AS (corresponding author), Univ Calif Davis, Dept Land Air &amp; Water Resources, Davis, CA 95616 USA.</t>
  </si>
  <si>
    <t>asrosado@micro.ufrj.br</t>
  </si>
  <si>
    <t>Kallies, René/ACK-2998-2022; Rosado, Alexandre Soares/G-1955-2012; Rocha, Ulisses/AAE-5158-2021</t>
  </si>
  <si>
    <t>Rosado, Alexandre Soares/0000-0001-5135-1394; Rocha, Ulisses/0000-0001-6972-6692; Kallies, Rene/0000-0002-9195-0276</t>
  </si>
  <si>
    <t>National Council for Research and Development (CNPq); National Council for the Improvement of Higher Education (CAPES); Helmholtz Centre for Environmental Research-UFZ</t>
  </si>
  <si>
    <t>National Council for Research and Development (CNPq)(Conselho Nacional de Desenvolvimento Cientifico e Tecnologico (CNPQ)); National Council for the Improvement of Higher Education (CAPES)(Coordenacao de Aperfeicoamento de Pessoal de Nivel Superior (CAPES)); Helmholtz Centre for Environmental Research-UFZ(Helmholtz Association)</t>
  </si>
  <si>
    <t>This work received scientific and financial support from the National Council for Research and Development (CNPq), the National Council for the Improvement of Higher Education (CAPES), and the Helmholtz Centre for Environmental Research-UFZ.</t>
  </si>
  <si>
    <t>AMER SOC MICROBIOLOGY</t>
  </si>
  <si>
    <t>1752 N ST NW, WASHINGTON, DC 20036-2904 USA</t>
  </si>
  <si>
    <t>2576-098X</t>
  </si>
  <si>
    <t>MICROBIOL RESOUR ANN</t>
  </si>
  <si>
    <t>Microbiol. Resour. Ann.</t>
  </si>
  <si>
    <t>e00920-19</t>
  </si>
  <si>
    <t>10.1128/MRA.00920-19</t>
  </si>
  <si>
    <t>JE8KB</t>
  </si>
  <si>
    <t>WOS:000490937700019</t>
  </si>
  <si>
    <t>Mooney, MK</t>
  </si>
  <si>
    <t>Mooney, Michaela K.</t>
  </si>
  <si>
    <t>How well do we forecast the aurora?</t>
  </si>
  <si>
    <t>ASTRONOMY &amp; GEOPHYSICS</t>
  </si>
  <si>
    <t>OVATION</t>
  </si>
  <si>
    <t>[Mooney, Michaela K.] UCL, Mullard Space Sci Lab, London, England</t>
  </si>
  <si>
    <t>University of London; University College London</t>
  </si>
  <si>
    <t>Mooney, MK (corresponding author), UCL, Mullard Space Sci Lab, London, England.</t>
  </si>
  <si>
    <t>UK NERC NPIF studentship [1926376]; NERC Independent Research Fellowship [NE/N014480/1]</t>
  </si>
  <si>
    <t>UK NERC NPIF studentship; NERC Independent Research Fellowship(UK Research &amp; Innovation (UKRI)Natural Environment Research Council (NERC))</t>
  </si>
  <si>
    <t>Michaela Mooney is supported by a UK NERC NPIF studentship 1926376. Colin Forsyth is supported by NERC Independent Research Fellowship NE/N014480/1. This work was carried out in partnership with the Met Office. The original OVATION-Prime 2013 model was provided to the Met Office by the Space Weather Prediction Centre (SWPC) and the model data was provided by Mike Marsh at the Met Office. Historic solar wind data from the ACE satellite was provided by Douglas Biesecker at the NOAA. Auroral boundary data were derived and provided by the British Antarctic Survey based on IMAGE satellite data (bas.ac.uk/project/image-auroral-boundary-data).</t>
  </si>
  <si>
    <t>1366-8781</t>
  </si>
  <si>
    <t>1468-4004</t>
  </si>
  <si>
    <t>ASTRON GEOPHYS</t>
  </si>
  <si>
    <t>Astron. Geophys.</t>
  </si>
  <si>
    <t>Astronomy &amp; Astrophysics; Geochemistry &amp; Geophysics</t>
  </si>
  <si>
    <t>JF2TN</t>
  </si>
  <si>
    <t>WOS:000491238500037</t>
  </si>
  <si>
    <t>Oh, HN; Park, D; Seong, HJ; Kim, D; Sul, WJ</t>
  </si>
  <si>
    <t>Oh, Han Na; Park, Doyoung; Seong, Hoon Je; Kim, Dockyu; Sul, Woo Jun</t>
  </si>
  <si>
    <t>Antarctic tundra soil metagenome as useful natural resources of cold-active lignocelluolytic enzymes</t>
  </si>
  <si>
    <t>metagenomics; lignocellulose degradation; SMRT sequencing; CAZy; cold-active enzymes; Antarctica</t>
  </si>
  <si>
    <t>KING-GEORGE ISLAND; ALPHA-AMYLASE; BIOCHEMICAL-CHARACTERIZATION; CRYSTAL-STRUCTURE; BARTON PENINSULA; PURIFICATION; BACTERIUM; LACCASE; DIVERSITY; OPTIMIZATION</t>
  </si>
  <si>
    <t>Lignocellulose composed of complex carbohydrates and aromatic heteropolymers is one of the principal materials for the production of renewable biofuels. Lignocellulose-degrading genes from cold-adapted bacteria have a potential to increase the productivity of biological treatment of lignocellulose biomass by providing a broad range of treatment temperatures. Antarctic soil metagenomes allow to access novel genes encoding for the cold-active lignocellulose-degrading enzymes, for biotechnological and industrial applications. Here, we investigated the metagenome targeting cold-adapted microbes in Antarctic organic matter-rich soil (KS 2-1) to mine lignolytic and celluloytic enzymes by performing single molecule, real-time metagenomic (SMRT) sequencing. In the assembled Antarctic metagenomic contigs with relative long reads, we found that 162 (1.42%) of total 11,436 genes were annotated as carbohydrate-active enzymes (CAZy). Actinobacteria, the dominant phylum in this soil's metagenome, possessed most of candidates of lignocellulose catabolic genes like glycoside hydrolase families (GH13, GH26, and GH5) and auxiliary activity families (AA7 and AA3). The predicted lignocellulose degradation pathways in Antarctic soil metagenome showed synergistic role of various CAZyme harboring bacterial genera including Streptomyces, Streptosporangium, and Amycolatopsis. From phylogenetic relationships with cellular and environmental enzymes, several genes having potential for participating in overall lignocellulose degradation were also found. The results indicated the presence of lignocellulose-degrading bacteria in Antarctic tundra soil and the potential benefits of the lignocelluolytic enzymes as candidates for cold-active enzymes which will be used for the future biofuel-production industry.</t>
  </si>
  <si>
    <t>[Oh, Han Na; Park, Doyoung; Seong, Hoon Je; Sul, Woo Jun] Chung Ang Univ, Dept Syst Biotechnol, Anseong 17546, South Korea; [Kim, Dockyu] Korea Polar Res Inst, Div Polar Life Sci, Incheon 21990, South Korea</t>
  </si>
  <si>
    <t>Chung Ang University; Korea Polar Research Institute (KOPRI)</t>
  </si>
  <si>
    <t>Sul, WJ (corresponding author), Chung Ang Univ, Dept Syst Biotechnol, Anseong 17546, South Korea.;Kim, D (corresponding author), Korea Polar Res Inst, Div Polar Life Sci, Incheon 21990, South Korea.</t>
  </si>
  <si>
    <t>envimic@kopri.re.kr; sulwj@cau.ac.kr</t>
  </si>
  <si>
    <t>Sul, Woo Jun/A-9291-2012</t>
  </si>
  <si>
    <t>Seong, Hoon Je/0000-0002-9697-2677</t>
  </si>
  <si>
    <t>Korea Institute of Marine Science and Technology Promotion (KIMST) - Ministry of Oceans and Fisheries (MOF) [20180430]; [PE19090]</t>
  </si>
  <si>
    <t>Korea Institute of Marine Science and Technology Promotion (KIMST) - Ministry of Oceans and Fisheries (MOF);</t>
  </si>
  <si>
    <t>This research was supported by a grant to the Korea Polar Research Institute (PE19090) and by the Collaborative Genome Program of the Korea Institute of Marine Science and Technology Promotion (KIMST) funded by the Ministry of Oceans and Fisheries (MOF) (No. 20180430).</t>
  </si>
  <si>
    <t>10.1007/s12275-019-9217-1</t>
  </si>
  <si>
    <t>JF0JH</t>
  </si>
  <si>
    <t>WOS:000491073300005</t>
  </si>
  <si>
    <t>Ramasamy, KP; Telatin, A; Mozzicafreddo, M; Miceli, C; Pucciarelli, S</t>
  </si>
  <si>
    <t>Ramasamy, Kesava Priyan; Telatin, Andrea; Mozzicafreddo, Matteo; Miceli, Cristina; Pucciarelli, Sandra</t>
  </si>
  <si>
    <t>Draft Genome Sequence of a New Pseudomonas sp. Strain, ef1, Associated with the Psychrophilic Antarctic Ciliate Euplotes focardii</t>
  </si>
  <si>
    <t>ANNOTATION</t>
  </si>
  <si>
    <t>We announce here the draft genome sequence of a new Pseudomonas strain, named Pseudomonas sp. strain ef1, associated with the cold-adapted Antarctic ciliate Euplotes focardii. The genome sequence is 6,228,167 bp long with a G+C content of 59.7%.</t>
  </si>
  <si>
    <t>[Ramasamy, Kesava Priyan; Mozzicafreddo, Matteo; Miceli, Cristina; Pucciarelli, Sandra] Univ Camerino, Sch Biosci &amp; Vet Med, Camerino, MC, Italy; [Telatin, Andrea] Norwich Res Pk, Gut Microbes &amp; Hlth Inst, Strateg Program, Quadram Inst Biosci, Norwich, Norfolk, England</t>
  </si>
  <si>
    <t>University of Camerino; UK Research &amp; Innovation (UKRI); Biotechnology and Biological Sciences Research Council (BBSRC); Quadram Institute</t>
  </si>
  <si>
    <t>Ramasamy, KP; Pucciarelli, S (corresponding author), Univ Camerino, Sch Biosci &amp; Vet Med, Camerino, MC, Italy.</t>
  </si>
  <si>
    <t>kesavanlife@gmail.com; sandra.pucciarelli@unicam.it</t>
  </si>
  <si>
    <t>Mozzicafreddo, M./AAW-2816-2021; Telatin, Andrea/I-7438-2013</t>
  </si>
  <si>
    <t>Mozzicafreddo, M./0000-0001-9835-8446; Telatin, Andrea/0000-0001-7619-281X; RAMASAMY, KESAVA PRIYAN/0000-0003-0276-2239</t>
  </si>
  <si>
    <t>European Commission Marie Sklodowska-Curie actions H2020 RISE Metable [645693, MR/L015080/1]; MRC [MR/L015080/1] Funding Source: UKRI; Marie Curie Actions (MSCA) [645693] Funding Source: Marie Curie Actions (MSCA)</t>
  </si>
  <si>
    <t>European Commission Marie Sklodowska-Curie actions H2020 RISE Metable; MRC(UK Research &amp; Innovation (UKRI)Medical Research Council UK (MRC)); Marie Curie Actions (MSCA)(Marie Curie Actions)</t>
  </si>
  <si>
    <t>This work was funded by the European Commission Marie Sklodowska-Curie actions H2020 RISE Metable 645693 grant. Bioinformatics analyses were partly performed on the MRC CLIMB cloud computing environment supported by grant MR/L015080/1.</t>
  </si>
  <si>
    <t>e00867-19</t>
  </si>
  <si>
    <t>10.1128/MRA.00867-19</t>
  </si>
  <si>
    <t>JE8JP</t>
  </si>
  <si>
    <t>WOS:000490936400020</t>
  </si>
  <si>
    <t>Liu, MT; Tao, ZC; Zhang, Y; Yang, G; Sun, S; Li, CL; Le, FF</t>
  </si>
  <si>
    <t>Liu, Mengtan; Tao, Zhencheng; Zhang, Ye; Yang, Guang; Sun, Song; Li, Chaolun; Le, Fengfeng</t>
  </si>
  <si>
    <t>Feeding strategies of Euphausia superba in the eastern South Shetland Islands in austral summer</t>
  </si>
  <si>
    <t>ACTA OCEANOLOGICA SINICA</t>
  </si>
  <si>
    <t>Euphausia superba; South Shetland Islands; fatty acids; stable isotopes</t>
  </si>
  <si>
    <t>FATTY-ACID BIOMARKER; ANTARCTIC KRILL; LARVAL KRILL; SCOTIA SEA; LIPIDS; DIET; ZOOPLANKTON; WINTER; BIODIVERSITY; PENINSULA</t>
  </si>
  <si>
    <t>Euphausia superba is a key species in the Southern Ocean that serves as a link between primary production and higher trophic levels. To investigate the feeding strategies of E. superba from the eastern South Shetland Islands, fatty acid biomarkers, stable isotope signatures, and an incubation experiment were conducted. The results of the incubation experiment proved that adult E. superba mainly fed on 2-20 mu m particles, demonstrating the importance of nanoplankton in their diet. Moreover, significant positive relationships between delta N-15 and body size demonstrated that size-related dietary shifts were present in E. superba. Evidence from principal component analysis and the C16:1 omega 7/C18:4 omega 3 ratio showed that juveniles preferentially fed on dinoflagellates and adults were more likely to feed on diatoms. Fatty acid profiles in adult E. superba roughly mirrored the different trophic conditions and feeding strategies between stations. Adult E. superba at Stas D2-07, D5-07, DA-01 and DA-02 exhibited elevated levels of C16:1 omega 7, C18:4 omega 3, C18:1 omega 9 and C18:1 omega 9/C18:1 omega 7, indicating higher levels of feeding on both phytoplankton and higher trophic diets. In contrast, adult E. superba at Stas D1-03 and D1-04 were characterized by high levels of polyunsaturated fatty acids/saturated fatty acids ratios and low levels of C16:1 omega 7, C18:1 omega 7, C18:4 omega 3, C18:1 omega 9 and total fatty acids. We inferred that adult krill at Stas D1-03 and D1-04 still suffered from difficult dietary conditions after overwintering. The different dietary conditions between stations suggest a highly plastic feeding strategy of E. superba in the eastern South Shetland Islands.</t>
  </si>
  <si>
    <t>[Liu, Mengtan] Chinese Acad Sci, Inst Oceanol, Jiaozhou Bay Natl Marine Ecosyst Res Stn, Qingdao 266071, Shandong, Peoples R China; [Liu, Mengtan; Tao, Zhencheng; Yang, Guang; Sun, Song; Li, Chaolun] Pilot Natl Lab Marine Sci &amp; Technol Qingdao, Lab Marine Ecol &amp; Environm Sci, Qingdao 266237, Shandong, Peoples R China; [Liu, Mengtan; Tao, Zhencheng; Yang, Guang; Sun, Song; Li, Chaolun] Chinese Acad Sci, Ctr Ocean Mega Sci, Qingdao 266071, Shandong, Peoples R China; [Tao, Zhencheng; Zhang, Ye; Yang, Guang; Sun, Song; Li, Chaolun] Chinese Acad Sci, Inst Oceanol, Key Lab Marine Ecol &amp; Environm Sci, Qingdao 266071, Shandong, Peoples R China; [Zhang, Ye] Minist Nat Resources, East Sea Marine Environm Invest &amp; Surveying Ctr, Shanghai 200137, Peoples R China; [Le, Fengfeng] Minist Nat Resources, Lab Marine Ecosyst &amp; Biogeochem, Inst Oceanog 2, Hangzhou 310012, Zhejiang, Peoples R China</t>
  </si>
  <si>
    <t>Chinese Academy of Sciences; Institute of Oceanology, CAS; Laoshan Laboratory; Chinese Academy of Sciences; Chinese Academy of Sciences; Institute of Oceanology, CAS; Ministry of Natural Resources of the People's Republic of China; Ministry of Natural Resources of the People's Republic of China</t>
  </si>
  <si>
    <t>Tao, ZC; Li, CL (corresponding author), Pilot Natl Lab Marine Sci &amp; Technol Qingdao, Lab Marine Ecol &amp; Environm Sci, Qingdao 266237, Shandong, Peoples R China.;Tao, ZC; Li, CL (corresponding author), Chinese Acad Sci, Ctr Ocean Mega Sci, Qingdao 266071, Shandong, Peoples R China.;Tao, ZC; Li, CL (corresponding author), Chinese Acad Sci, Inst Oceanol, Key Lab Marine Ecol &amp; Environm Sci, Qingdao 266071, Shandong, Peoples R China.</t>
  </si>
  <si>
    <t>taozc@qdio.ac.cn; lcl@qdio.ac.cn</t>
  </si>
  <si>
    <t>Li, Chao/GSM-8117-2022</t>
  </si>
  <si>
    <t>Li, Chao/0000-0001-6110-6210; Li, Chaolun/0000-0003-1890-0587</t>
  </si>
  <si>
    <t>National Natural Science Foundation of China [41406159]; Science &amp; Technology Basic Resources Investigation Program of China [2017FY100803]; Chinese Polar Environment Comprehensive Investigation &amp; Assessment Programmes [CHINARE2016-01-05]; Scientific and Technological Innovation Project by Qingdao National Laboratory for Marine Science and Technology [2015ASKJ02]</t>
  </si>
  <si>
    <t>National Natural Science Foundation of China(National Natural Science Foundation of China (NSFC)); Science &amp; Technology Basic Resources Investigation Program of China; Chinese Polar Environment Comprehensive Investigation &amp; Assessment Programmes; Scientific and Technological Innovation Project by Qingdao National Laboratory for Marine Science and Technology</t>
  </si>
  <si>
    <t>Foundation item: The National Natural Science Foundation of China under contract No. 41406159; the Science &amp; Technology Basic Resources Investigation Program of China under contract No. 2017FY100803; the Chinese Polar Environment Comprehensive Investigation &amp; Assessment Programmes under contract No. CHINARE2016-01-05; the Scientific and Technological Innovation Project by Qingdao National Laboratory for Marine Science and Technology under contract No. 2015ASKJ02.</t>
  </si>
  <si>
    <t>0253-505X</t>
  </si>
  <si>
    <t>1869-1099</t>
  </si>
  <si>
    <t>ACTA OCEANOL SIN</t>
  </si>
  <si>
    <t>Acta Oceanol. Sin.</t>
  </si>
  <si>
    <t>10.1007/s13131-019-1392-8</t>
  </si>
  <si>
    <t>JE3MI</t>
  </si>
  <si>
    <t>WOS:000490598500009</t>
  </si>
  <si>
    <t>Feng, JJ; Zhang, YZ; Cheng, QM; Liang, XS; Jiang, TC</t>
  </si>
  <si>
    <t>Feng, Jiajun; Zhang, Yuanzhi; Cheng, Qiuming; Liang, X. San; Jiang, Tingchen</t>
  </si>
  <si>
    <t>Analysis of summer Antarctic sea ice anomalies associated with the spring Indian Ocean dipole</t>
  </si>
  <si>
    <t>Sea ice anomalies; IOD; ENSO; Geopotential height anomalies; Atmospheric circulation anomalies</t>
  </si>
  <si>
    <t>MODE EVENTS; VARIABILITY; IMPACTS; ATMOSPHERE; DYNAMICS; BEHAVIOR; EXTENT; ENSO; SST</t>
  </si>
  <si>
    <t>In this study, we applied the empirical orthogonal function (EOF) to analyze the anomalous characteristics of the summer Antarctic sea ice. Through correlation analysis, it is found that two strong signals existed in the spring Indian Ocean. These two signals constitute the Indian Ocean dipole (IOD). Although the IOD often occurs with El Nifio-Southern Oscillation (ENSO), the first mode of the EOF is mainly resultant from the IOD. The IOD can cause sea ice anomalies in the Atlantic and Pacific Oceans, as well as the Weddell and Ross Seas. When the ENSO signal in the IOD was removed, the sea-ice anomalies in the Pacific Ocean and the eastern Ross Sea disappear, and the sea ice in the Atlantic Ocean decreases and moves westward. However, the sea ice anomalies in the Weddell Sea remain almost unchanged. These results demonstrate that the IOD excites geopotential height anomalies, causing anomalous atmospheric circulation, resulting in an increase (decrease) in sea ice caused by cold (warm) meridional flow.</t>
  </si>
  <si>
    <t>[Feng, Jiajun; Zhang, Yuanzhi; Liang, X. San] Nanjing Univ Informat Sci &amp; Technol, Sch Marine Sci, Nanjing 210044, Jiangsu, Peoples R China; [Zhang, Yuanzhi] Chinese Univ Hong Kong, Ctr Housing Innovat, Shatin, Hong Kong, Peoples R China; [Cheng, Qiuming] China Univ Geosci, State Key Lab Geol Proc &amp; Mineral Resources, Beijing 100083, Peoples R China; [Jiang, Tingchen] Huaihai Inst Technol, Fac Surveying &amp; Mapping, Lianyungang 222005, Peoples R China</t>
  </si>
  <si>
    <t>Nanjing University of Information Science &amp; Technology; Chinese University of Hong Kong; China University of Geosciences; Jiangsu Ocean University</t>
  </si>
  <si>
    <t>Zhang, YZ (corresponding author), Nanjing Univ Informat Sci &amp; Technol, Sch Marine Sci, Nanjing 210044, Jiangsu, Peoples R China.;Zhang, YZ (corresponding author), Chinese Univ Hong Kong, Ctr Housing Innovat, Shatin, Hong Kong, Peoples R China.;Cheng, QM (corresponding author), China Univ Geosci, State Key Lab Geol Proc &amp; Mineral Resources, Beijing 100083, Peoples R China.</t>
  </si>
  <si>
    <t>yuanzhizhang@cuhk.edu.hk; qiuming.cheng@iugs.org</t>
  </si>
  <si>
    <t>Feng, Jiajun/0000-0001-8733-6911</t>
  </si>
  <si>
    <t>National Key Research and Development Program of China [2018YFC1407200, 2018YFC1407203, 2016YFC1402003]; Natural Scientific Foundation of Jiangsu Province [BK20181413]; State Key Lab Fund for Geological Processes and Mineral Resources (2016); 2015 Jiangsu Shuangchuang Program of China</t>
  </si>
  <si>
    <t>National Key Research and Development Program of China; Natural Scientific Foundation of Jiangsu Province; State Key Lab Fund for Geological Processes and Mineral Resources (2016); 2015 Jiangsu Shuangchuang Program of China</t>
  </si>
  <si>
    <t>The datasets from the Met Office Hadley Centre is highly appreciated. This research was jointly funded by the National Key Research and Development Program of China (Project Ref. No. 2018YFC1407200, 2018YFC1407203, &amp; 2016YFC1402003), the Natural Scientific Foundation of Jiangsu Province (BK20181413), the State Key Lab Fund for Geological Processes and Mineral Resources (2016), and the 2015 Jiangsu Shuangchuang Program of China.</t>
  </si>
  <si>
    <t>10.1016/j.gloplacha.2019.102982</t>
  </si>
  <si>
    <t>JB6HW</t>
  </si>
  <si>
    <t>WOS:000488666200005</t>
  </si>
  <si>
    <t>Grassi, G; Landi, C; Della Torre, C; Bergami, E; Bini, L; Corsi, I</t>
  </si>
  <si>
    <t>Grassi, Giacomo; Landi, Claudia; Della Torre, Camilla; Bergami, Elisa; Bini, Luca; Corsi, Ilaria</t>
  </si>
  <si>
    <t>Proteomic profile of the hard corona of charged polystyrene nanoparticles exposed to sea urchin Paracentrotus lividus coelomic fluid highlights potential drivers of toxicity</t>
  </si>
  <si>
    <t>ENVIRONMENTAL SCIENCE-NANO</t>
  </si>
  <si>
    <t>METAL-OXIDE NANOPARTICLES; IN-SITU CHARACTERIZATION; PROTEIN CORONA; AGGREGATION KINETICS; BIOMOLECULAR CORONAS; BIOCHEMICAL-ANALYSIS; BIOLOGICAL IDENTITY; CELLULAR UPTAKE; SURFACE-CHARGE; CELOMOCYTES</t>
  </si>
  <si>
    <t>Polystyrene nanoparticles (PS NPs) are considered an upcoming threat to marine ecosystems. When NPs encounter biological fluids, they are readily covered by a biomolecular coating, named the protein corona, which critically drives the biological fate and toxicity of NPs. Here we provide the first attempt to identify key components of protein coronas of charged amino- and carboxyl-functionalized (PS-NH2 and PS-COOH, respectively) PS NPs exposed to coelomic fluid (CF) of the Mediterranean sea urchin Paracentrotus lividus. The formation of protein coronas conferred identical colloidal features to both positively and negatively charged PS NPs, which acquired a negative zeta potential and monodisperse size distribution in sea urchin CF. Proteomic analysis revealed striking functional analogies of proteins identified from NP-coronas, especially entailing the potential to promote cell association and internalization of both NP types, as mediated by adsorbed protein species. Such basal findings strengthen the importance of the biological identity of NPs in the evaluation of the ecotoxicity potential of polymeric NPs.</t>
  </si>
  <si>
    <t>[Grassi, Giacomo; Bergami, Elisa; Corsi, Ilaria] Univ Siena, Dept Phys Earth &amp; Environm Sci, I-53100 Siena, Italy; [Landi, Claudia; Bini, Luca] Univ Siena, Dept Life Sci, I-53100 Siena, Italy; [Della Torre, Camilla] Univ Milan, Dept Biosci, I-20133 Milan, Italy</t>
  </si>
  <si>
    <t>University of Siena; University of Siena; University of Milan</t>
  </si>
  <si>
    <t>Grassi, G (corresponding author), Univ Siena, Dept Phys Earth &amp; Environm Sci, I-53100 Siena, Italy.</t>
  </si>
  <si>
    <t>grassi23@student.unisi.it</t>
  </si>
  <si>
    <t>Corsi, Ilaria/D-3795-2012; Bergami, Elisa/JFJ-1703-2023; Landi, Claudia/AAE-5552-2020</t>
  </si>
  <si>
    <t>Corsi, Ilaria/0000-0002-1811-3041; Bergami, Elisa/0000-0001-8149-9584; Landi, Claudia/0000-0003-0410-8038; Grassi, Giacomo/0000-0002-9907-0636</t>
  </si>
  <si>
    <t>National Antarctic Program NANOPANTA: NanoPolymers in the Antarctic mariNe environmenT and biotA [PNRA 16_00075]</t>
  </si>
  <si>
    <t>National Antarctic Program NANOPANTA: NanoPolymers in the Antarctic mariNe environmenT and biotA</t>
  </si>
  <si>
    <t>This study was performed in the framework of the National Antarctic Program (PNRA 16_00075) NANOPANTA: NanoPolymers in the Antarctic mariNe environmenT and biotA. Nanoparticle characterization by DLS was conducted at facilities of the Department of Biotechnologies, Chemistry and Pharmacy of the University of Siena (Italy). The authors acknowledge Dr. Maria Luisa Vannuccini for help in sea urchin collection and handling.</t>
  </si>
  <si>
    <t>2051-8153</t>
  </si>
  <si>
    <t>2051-8161</t>
  </si>
  <si>
    <t>ENVIRON SCI-NANO</t>
  </si>
  <si>
    <t>Environ. Sci.-Nano</t>
  </si>
  <si>
    <t>10.1039/c9en00824a</t>
  </si>
  <si>
    <t>Chemistry, Multidisciplinary; Environmental Sciences; Nanoscience &amp; Nanotechnology</t>
  </si>
  <si>
    <t>Chemistry; Environmental Sciences &amp; Ecology; Science &amp; Technology - Other Topics</t>
  </si>
  <si>
    <t>JD1GY</t>
  </si>
  <si>
    <t>WOS:000489724400002</t>
  </si>
  <si>
    <t>Zhang, Y; Zhu, QY; Fei, ZD; Lin, XF; Xia, B; Wu, Q</t>
  </si>
  <si>
    <t>Zhang, Yu; Zhu, Qiaoyan; Fei, Zhengdong; Lin, Xianfu; Xia, Bo; Wu, Qi</t>
  </si>
  <si>
    <t>Stereoselectivity-tailored chemo-enzymatic synthesis of enantiocomplementary poly (ω-substituted-δ-valerolactone) enabled by engineered lipase</t>
  </si>
  <si>
    <t>EUROPEAN POLYMER JOURNAL</t>
  </si>
  <si>
    <t>Chemo-enzymatic synthesis; Ring-opening polymerization; Stereoselectivity; Chiral polyester; Poly (omega-substituted-delta-valerolactone)</t>
  </si>
  <si>
    <t>DYNAMIC KINETIC RESOLUTION; RING-OPENING POLYMERIZATION; CHIRAL POLYESTERS; ENZYMATIC POLYMERIZATION; CATALYSIS; ACETATES</t>
  </si>
  <si>
    <t>The synthesis of chiral polyesters with customized (R)- or (S)-configurations is of great significance but challenging. Despite many advances in enzymatic stereoselective polymerization, the limitations of inherent stereoselectivity and the narrow substrate scope of the biocatalysts used should be overcome. Herein, we combined chemical polymerization and highly selective enzymatic dynamic kinetic resolution (DKR) with tailor-made (R)-or (S)-selectivity enabled by engineered lipase to offer an efficient chemo-enzymatic route for the synthesis of enantiocomplementary (R)- or (S)-poly(omega-substituted-delta-valerolactone) (omega-PVL). In the DKR of homoallylic alcohols, (R)-selective wild-type Candida antarctic lipase B (CALB) and an (S)-selective CALB mutant (W104V/A281L/A282K) were used, providing enantiocomplementary homoallylic alcohol esters with 99% conversion and up to 99% enantiomeric excess (ee), which were further transformed into enantiopure lactone monomers. Using these monomers, ring-opening polymerizations catalyzed by a diphenyl phosphate system successfully provided (R)- or (S)-omega-PVL with aromatic and aliphatic side chains. Additionally, their structure and thermal properties were characterized by nuclear magnetic resonance (NMR), circular dichroism (CD) spectra, thermogravimetric analysis (TGA), and differential scanning calorimetry (DSC). (R)- or (S)-omega-PVL exhibited vertically mirrored negative and positive CD signals, and were thermally stable while having different decomposition temperatures (T-d), which are highly dependent on their molecular weight and side chain structure. It was concluded that stereoregularity has significant influence on the crystallization of the polyesters.</t>
  </si>
  <si>
    <t>[Zhang, Yu; Zhu, Qiaoyan; Lin, Xianfu; Wu, Qi] Zhejiang Univ, Dept Chem, Hangzhou 310027, Zhejiang, Peoples R China; [Xia, Bo] Jiyang Coll Zhejiang A&amp;F Univ, Zhuji 311800, Peoples R China; [Fei, Zhengdong] Zhejiang Univ Technol, Coll Mat Sci &amp; Engn, Hangzhou 310014, Zhejiang, Peoples R China</t>
  </si>
  <si>
    <t>Zhejiang University; Zhejiang University of Technology</t>
  </si>
  <si>
    <t>Wu, Q (corresponding author), Zhejiang Univ, Dept Chem, Hangzhou 310027, Zhejiang, Peoples R China.;Xia, B (corresponding author), Jiyang Coll Zhejiang A&amp;F Univ, Zhuji 311800, Peoples R China.</t>
  </si>
  <si>
    <t>bobohao424@126.com; wuqi1000@163.com</t>
  </si>
  <si>
    <t>Xia, Bo/A-5095-2013</t>
  </si>
  <si>
    <t>Xia, Bo/0000-0002-7791-2636</t>
  </si>
  <si>
    <t>National Natural Science Foundation of China [21574113]; Natural Science Foundation of Zhejiang province, China [LY19B020014, LY17B040002]</t>
  </si>
  <si>
    <t>National Natural Science Foundation of China(National Natural Science Foundation of China (NSFC)); Natural Science Foundation of Zhejiang province, China(Natural Science Foundation of Zhejiang Province)</t>
  </si>
  <si>
    <t>Financial support from the National Natural Science Foundation of China (21574113) and the Natural Science Foundation of Zhejiang province, China (LY19B020014, LY17B040002) is gratefully acknowledged.</t>
  </si>
  <si>
    <t>0014-3057</t>
  </si>
  <si>
    <t>1873-1945</t>
  </si>
  <si>
    <t>EUR POLYM J</t>
  </si>
  <si>
    <t>Eur. Polym. J.</t>
  </si>
  <si>
    <t>10.1016/j.eurpolymj.2019.07.006</t>
  </si>
  <si>
    <t>Polymer Science</t>
  </si>
  <si>
    <t>JC3PZ</t>
  </si>
  <si>
    <t>WOS:000489191900008</t>
  </si>
  <si>
    <t>Steier, P; Martschini, M; Buchriegler, J; Feige, J; Lachner, J; Merchel, S; Michlmayr, L; Priller, A; Rugel, G; Schmidt, E; Wallner, A; Wild, EM; Golser, R</t>
  </si>
  <si>
    <t>Steier, Peter; Martschini, Martin; Buchriegler, Josef; Feige, Jenny; Lachner, Johannes; Merchel, Silke; Michlmayr, Leonard; Priller, Alfred; Rugel, Georg; Schmidt, Edith; Wallner, Anton; Wild, Eva Maria; Golser, Robin</t>
  </si>
  <si>
    <t>Comparison of methods for the detection of 10Be with AMS and a new approach based on a silicon nitride foil stack</t>
  </si>
  <si>
    <t>INTERNATIONAL JOURNAL OF MASS SPECTROMETRY</t>
  </si>
  <si>
    <t>Accelerator mass spectrometry; Foil stack absorber; Beryllium; Boron; Isobar suppression</t>
  </si>
  <si>
    <t>ACCELERATOR MASS-SPECTROMETRY; LOW-ENERGY AMS; ISOBAR SEPARATION; FACILITY DREAMS; HALF-LIFE; CL-36; ICE; PERFORMANCE; DEPOSITION; CHAMBER</t>
  </si>
  <si>
    <t>Natural Be-10 (t(1/2) = 1.387 +/- 0.012 Ma) is produced by cosmic rays and is present on Earth's surface only at ultratrace concentrations (typically 10(4) to 10(10) atoms/g). Its cosmogenic origin makes it an important tracer for many applications in Earth and environmental sciences. An improved accelerator mass spectrometry (AMS) method has been developed at the Vienna Environmental Research Accelerator (VERA) at the University of Vienna to detect the long-lived radionuclide Be-10 and separate it from its isobar B-10. Recently installed and projected AMS facilities mainly apply a degrader foil followed by an electrostatic or magnetic separator to remove B-10 from the ion beam. This provides the highest suppression of B-10, but suffers from significant transmission losses of( 10)Be ions. The new technique described here achieves comparable B-10 suppression with a passive absorber, consisting of a stack of silicon nitride foils. Compared to a gas absorber, the smaller energy straggling in foils allows separation at lower energies. For a tandem accelerator operated at 3 MV, the charge state 2 + instead of 3 + can be used, with a stripping yield as high as 55%. This way, a high overall efficiency is gained. The setup is simple to operate, and provides good precision and accuracy. We compare this new approach with other methods used at VERA and at other AMS facilities. The foil stack setup was fully characterized with artificial samples from chemically and isotopically well-defined reagents, and is now routinely applied to real samples in various research projects at VERA. The new method is straightforward to be implemented, and was already adopted at another AMS facility with higher terminal voltage, the potential use at tandem accelerators with lower terminal voltage is under exploration. (C) 2019 Elsevier B.V. All rights reserved.</t>
  </si>
  <si>
    <t>[Steier, Peter; Martschini, Martin; Buchriegler, Josef; Feige, Jenny; Lachner, Johannes; Merchel, Silke; Michlmayr, Leonard; Priller, Alfred; Schmidt, Edith; Wallner, Anton; Wild, Eva Maria; Golser, Robin] Univ Wien, Fak Ff &amp; Phys, Wahringer Str 17, A-1090 Vienna, Austria; [Buchriegler, Josef; Merchel, Silke; Rugel, Georg] HZDR, Bautzner Landstr 400, D-01328 Dresden, Germany; [Feige, Jenny] Tech Univ Berlin, Zentrum Astron &amp; Astrophys, Hardenbergstr 36, D-10623 Berlin, Germany; [Wallner, Anton] Australian Natl Univ, Dept Nucl Phys, Canberra, ACT 2601, Australia</t>
  </si>
  <si>
    <t>University of Vienna; Helmholtz Association; Helmholtz-Zentrum Dresden-Rossendorf (HZDR); Technical University of Berlin; Australian National University</t>
  </si>
  <si>
    <t>Martschini, M (corresponding author), Univ Wien, Fak Ff &amp; Phys, Wahringer Str 17, A-1090 Vienna, Austria.</t>
  </si>
  <si>
    <t>martin.martschini@univie.ac.at</t>
  </si>
  <si>
    <t>Martschini, Martin/ABC-1253-2020; Golser, Robin/D-7908-2019; Wallner, Anton/G-1480-2011; Steier, Peter/AAZ-6043-2020</t>
  </si>
  <si>
    <t>Martschini, Martin/0000-0002-6661-0624; Golser, Robin/0000-0002-4934-6278; Wallner, Anton/0000-0003-2804-3670; Feige, Jenny/0000-0002-3187-7898; Lachner, Johannes/0000-0002-2655-5800; Buchriegler, Josef/0000-0002-3312-6115; Steier, Peter/0000-0002-6144-2449; Merchel, Silke/0000-0002-8755-3980</t>
  </si>
  <si>
    <t>Austrian Science Foundation (FWF) Project [P22401-N21]; FWF [P20434]; European Science Foundation Collaborative Research Project CoDustMas [I428-N16]; Austrian Science Fund (FWF) [P22401] Funding Source: Austrian Science Fund (FWF)</t>
  </si>
  <si>
    <t>Austrian Science Foundation (FWF) Project(Austrian Science Fund (FWF)); FWF(Austrian Science Fund (FWF)); European Science Foundation Collaborative Research Project CoDustMas; Austrian Science Fund (FWF)(Austrian Science Fund (FWF))</t>
  </si>
  <si>
    <t>We thank the ETH Zurich for providing S555 reference material. We thank the investigators of the Austrian Science Foundation (FWF) Project P22401-N21, especially the late DietmarWagenbach (University Heidelberg, Germany) for providing samples. Part of this work was funded by the FWF, project number P20434, and number I428-N16 through the European Science Foundation Collaborative Research Project CoDustMas. We thank the Antarctic Research Facility, Florida State University, US (C. Sjunneskog) for generously providing deep-sea sediment samples.</t>
  </si>
  <si>
    <t>1387-3806</t>
  </si>
  <si>
    <t>1873-2798</t>
  </si>
  <si>
    <t>INT J MASS SPECTROM</t>
  </si>
  <si>
    <t>Int. J. Mass Spectrom.</t>
  </si>
  <si>
    <t>10.1016/j.ijms.2019.116175</t>
  </si>
  <si>
    <t>Physics, Atomic, Molecular &amp; Chemical; Spectroscopy</t>
  </si>
  <si>
    <t>Physics; Spectroscopy</t>
  </si>
  <si>
    <t>JD1KV</t>
  </si>
  <si>
    <t>WOS:000489734500010</t>
  </si>
  <si>
    <t>Schiel, R; Güpner, F; Spitzenberger, HJ</t>
  </si>
  <si>
    <t>Schiel, Rolf; Guepner, Franziska; Spitzenberger, Hans-Joachim</t>
  </si>
  <si>
    <t>POPULATION SIZE AND CONDITION OF THE EMPEROR PENGUIN APTENODYTES FORSTERI COLONY OF SNOW HILL ISLAND, WEDDELL SEA, ANTARCTICA: OBSERVATIONS FROM 29 DECEMBER 2018</t>
  </si>
  <si>
    <t>MARINE ORNITHOLOGY</t>
  </si>
  <si>
    <t>Emperor Penguin; Snow Hill Island colony; Weddell Sea; Antarctica; population size; moulting chicks; sea ice cover; climate change</t>
  </si>
  <si>
    <t>Snow Hill Island is of particular importance because it is the site of the northernmost colony of Emperor Penguins Aptenodytes forsteri. The colony was first discovered and counted in 1997 and has been visited sporadically, with counts conducted in 2004. 2009, and 2013. ranging from 1200-4000 breeding pairs. In December 2018, we photographed the entire colony. From photos, we counted 2679 chicks and 339 adult Emperor Penguins, corresponding to a population of at least 2700 breeding pairs. Although the census took place late in the breeding cycle when some chicks had already left the colony, the population size is well above the censuses of 1997 and 2009 but significantly below counts from 2004 and 2013. Snow Hill Island, located off the Antarctic Peninsula coast, is in an area strongly influenced by recent climatic developments. The Dion Island colony on the west side of the Antarctic Peninsula is also among the northernmost colonies, but it disappeared in 2009, presumably due to the climatic factors. Therefore, monitoring this Snow Hill colony is crucial.</t>
  </si>
  <si>
    <t>[Schiel, Rolf] Hasenpfahl 44, D-31515 Wunstorf, Germany; [Guepner, Franziska] Triq Kemmuna, GSM 1450, Ghajnsielem, Malta; [Spitzenberger, Hans-Joachim] Haidland 15, D-21218 Seevetal, Germany</t>
  </si>
  <si>
    <t>Schiel, R (corresponding author), Hasenpfahl 44, D-31515 Wunstorf, Germany.</t>
  </si>
  <si>
    <t>rolf-schiel@t-online.de</t>
  </si>
  <si>
    <t>AFRICAN SEABIRD GROUP</t>
  </si>
  <si>
    <t>RHODES GIFT</t>
  </si>
  <si>
    <t>P. O. BOX 34113, RHODES GIFT, SOUTH AFRICA</t>
  </si>
  <si>
    <t>1018-3337</t>
  </si>
  <si>
    <t>2074-1235</t>
  </si>
  <si>
    <t>MAR ORNITHOL</t>
  </si>
  <si>
    <t>Mar. Ornithol.</t>
  </si>
  <si>
    <t>Marine &amp; Freshwater Biology; Ornithology</t>
  </si>
  <si>
    <t>JC9CO</t>
  </si>
  <si>
    <t>WOS:000489572600007</t>
  </si>
  <si>
    <t>Ryan, PG; Dilley, B; Ronconi, RA</t>
  </si>
  <si>
    <t>Ryan, Peter G.; Dilley, Ben J.; Ronconi, Robert A.</t>
  </si>
  <si>
    <t>POPULATION TRENDS OF SPECTACLED PETRELS PROCELLARIA CONSPICILLATA AND OTHER SEABIRDS AT INACCESSIBLE ISLAND</t>
  </si>
  <si>
    <t>Inaccessible Island; Tristan da Cunha; Spectacled Petrels; seabird population trends; feral pigs</t>
  </si>
  <si>
    <t>PELAGIC LONGLINE FISHERY; BYCATCH; CONSERVATION; ALBATROSSES</t>
  </si>
  <si>
    <t>Inaccessible Island, in the Tristan da Cunha archipelago. is the sole breeding site of the Spectacled Petrel Procellaria conspicillata. The island also supports globally important populations of four threatened seabirds, as well as populations of other seabird species. A seabird monitoring protocol was established in 2004, following baseline surveys of most surface-breeding species in 1999. For the species monitored, we report population trends that are based on visits in 2009 and 2018. Populations of most monitored species appear to be stable or increasing, including three albatross species currently listed as Endangered or Critically Endangered. However, numbers of Northern Rockhopper Penguin Eudyptes moseleyi may have decreased slightly since 1999, and numbers of Antarctic Tern Sterna vinata have decreased since 1982. The population of Spectacled Petrels is estimated to be at least 30000 pairs and continues to increase since feral pigs Sus scrota died out on the island in the early 20th century. We describe a new monitoring protocol for Spectacled Petrels that will be easier to repeat and implement and that should provide a more sensitive measure of future population changes.</t>
  </si>
  <si>
    <t>[Ryan, Peter G.; Dilley, Ben J.] Univ Cape Town, Fitzpatrick Inst African Ornithol, DST NRF Ctr Excellence, ZA-7701 Rondebosch, South Africa; [Ronconi, Robert A.] Environm &amp; Climate Change Canada, Canadian Wildlife Serv, 45 Alderney Dr, Dartmouth, NS B2Y 2N6, Canada</t>
  </si>
  <si>
    <t>University of Cape Town; National Research Foundation - South Africa; Environment &amp; Climate Change Canada; Canadian Wildlife Service</t>
  </si>
  <si>
    <t>Ryan, PG (corresponding author), Univ Cape Town, Fitzpatrick Inst African Ornithol, DST NRF Ctr Excellence, ZA-7701 Rondebosch, South Africa.</t>
  </si>
  <si>
    <t>WOS:000489572600018</t>
  </si>
  <si>
    <t>Dilley, B; Davies, D; Mitham, A; Glass, T; Repetto, J; Swain, G; Ryan, PG</t>
  </si>
  <si>
    <t>Dilley, Ben J.; Davies, Delia; Mitham, Alex; Glass, Trevor; Repetto, Julian; Swain, George; Ryan, Peter G.</t>
  </si>
  <si>
    <t>POPULATION ESTIMATES OF BURROW-NESTING PETRELS BREEDING AT THE NIGHTINGALE ISLAND GROUP, TRISTAN DA CUNHA ARCHIPELAGO</t>
  </si>
  <si>
    <t>Great Shearwaters Ardenna gravis; burrow densities; petrel survey; seabird exploitation</t>
  </si>
  <si>
    <t>STORM-PETRELS; GOUGH ISLAND; BIOLOGY; GROWTH</t>
  </si>
  <si>
    <t>Nightingale is a group of three small, uninhabited islands in the central South Atlantic Ocean. The islands are free of introduced mammals and are largely pristine, supporting two endemic land birds as well as globally important populations of several species of seabirds. Seven species of burrow-nesting petrels are known to breed on the islands, including roughly 40 % of the world's population of Great Shearwaters Ardenna gravis. We estimated burrow densities by systematically searching for their burrows in 5x5-m quadrats across the main island in the austral summer of 2015. A total of 1 789 petrel burrows fell within the 75 sample quadrats with an average density of 0.95 burrows.m(-2), suggesting that upwards of four million petrels breed on the main island. Burrow densities and occupancy rates were extrapolated by species for each habitat type to generate population estimates: Great Shearwaters 2.34 million burrows (1.82 million pairs, 95 % CI 1.67-1.97 million); Broad-billed Prions Pachyptila vittata a minimum of 83 000 burrows (with many more pairs breeding in rock crevices, total estimate 100000-500000 pairs), White-faced Storm Petrels Pelagodroma marina 17 800 burrows (11700 pairs. 95 % CI 4 700-16 600), Soft-plumaged Petrels Ptervdroma mollis 12 100 burrows (estimated 8000-10000 pairs), Fregetta Storm Petrels F grallaria/tropica 6 600 burrows (estimated 5 000 pairs). Common Diving Petrels Pelecanoides urinatrix 3 900 burrows (estimated 5 000 pairs), and Subantarctic Shearwaters Puffinus elegans an estimated 1000 pairs. Although Great Shearwater burrow densities and occupancies were lowest in the areas historically used for exploitation of chicks and eggs (ongoing, but now monitored), these results suggest the great shearwater population on Nightingale Island has remained relatively stable since the first estimates in the 1950s.</t>
  </si>
  <si>
    <t>[Dilley, Ben J.; Davies, Delia; Ryan, Peter G.] Univ Cape Town, DST NRF Ctr Excellence, FitzPatrick Inst African Ornithol, ZA-7701 Rondebosch, South Africa; [Dilley, Ben J.; Davies, Delia; Mitham, Alex; Glass, Trevor; Repetto, Julian; Swain, George] Govt Tristan da Cunha, Conservat Dept, Edinburgh TDCU 1ZZ, Midlothian, Scotland</t>
  </si>
  <si>
    <t>Tristan Island Council; Tristan Government; FitzPatrick Institute of African Ornithology (University of Cape Town); South African National Research Foundation</t>
  </si>
  <si>
    <t>Tristan Island Council; Tristan Government; FitzPatrick Institute of African Ornithology (University of Cape Town); South African National Research Foundation(National Research Foundation - South Africa)</t>
  </si>
  <si>
    <t>Thanks to the Tristan Island Council and all the islanders for their approval and support. We are grateful to Peter Minton for providing shape files for the Nightingale map (EVS Islands Enhanced Vector Shorelines of the World htthtp://www.evs-islands.com).The former South African Department of Environmental Affairs provided logistical support through the South African National Antarctic Programme (SANAP). Financial support was received from the Tristan Government, the FitzPatrick Institute of African Ornithology (University of Cape Town), and the South African National Research Foundation. We are grateful to John Cooper and Susan Waugh for their insights and review comments, which improved the paper.</t>
  </si>
  <si>
    <t>PACIFIC SEABIRD GROUP</t>
  </si>
  <si>
    <t>Olympia</t>
  </si>
  <si>
    <t>c/o PSG Treasurer Pam Michael, PO Box 1292, Olympia, WA, UNITED STATES</t>
  </si>
  <si>
    <t>WOS:000489572600019</t>
  </si>
  <si>
    <t>Torfstein, A</t>
  </si>
  <si>
    <t>Torfstein, Adi</t>
  </si>
  <si>
    <t>Climate cycles in the southern Levant and their global climatic connections</t>
  </si>
  <si>
    <t>QUATERNARY WATER-BODIES; DEAD-SEA; LAKE LISAN; OXYGEN-ISOTOPE; U-TH; PLUVIAL EPISODES; TROPICAL PLUMES; NEGEV DESERT; MIDDLE-EAST; SOREQ CAVE</t>
  </si>
  <si>
    <t>The history of Levant paleo-hydrology, which is expressed by the absolute water level record of the Dead Sea over the last 70 kyrs, has been shown to be closely coupled with global climate patterns, and specifically argued to be modulated by northern hemisphere climate systems. Here, this coupling is rigorously tested and the absolute lake level curve is compared with a variety of globally distributed climate archives and used to deconvolve the processes controlling regional climate and hydrology. Considering that different archives are based on different sampling resolutions, and hence might have inherently different recording sensitivities, each of the chosen archives was interpolated and then smoothed at varying temporal resolutions. The synthetic curves, ranging between temporal smoothing resolutions between 10 years and 15 kyrs were compared to the similarly processed lake level record over the last 60 kyrs. The best fit to the Dead Sea lake level was found to be with Antarctica temperatures and atmospheric CO2 levels. Greenland temperatures and proximal archives such as the Soreq Cave and the Dead Sea lithological record, all yielded weaker correlations to the lake level curve. An exception to the strong correlation between Levant climate and atmospheric CO2 concentrations, is observed during Marine Isotope Stage (MIS) Se, at a time when the Dead Sea watershed was exposed to very weak Mediterranean westerly systems that imposed hyperarid conditions, and a superposition of southern derived systems that delivered short but intense precipitation to the region. At this time, Antarctic temperatures cross a temperature threshold beyond 1 degrees C above present. It is suggested that this exceptional warming phase induces a reorganization of global and regional climate systems influencing the Levant. These results have two important implications. The first is the understanding that global temperatures and atmospheric CO2 concentrations impose the first order control over Levant climate. The second, is that the Antarctic records can be used as synthetic lake level proxies, extending the absolute lake level curve to ca. 800 ka, compared with its current span of 70 kyrs. Considering the importance of the Dead Sea lake level curve as a regional paleo-climatic-hydrologic recorder, the new synthetic curve provides a prominent proxy of Levant hydro-climate history. (C) 2019 Elsevier Ltd. All rights reserved.</t>
  </si>
  <si>
    <t>[Torfstein, Adi] Hebrew Univ Jerusalem, Fredy &amp; Nadine Herrmann Inst Earth Sci, IL-91904 Jerusalem, Israel; [Torfstein, Adi] Interuniv Inst Marine Sci, IL-88103 Elat, Israel</t>
  </si>
  <si>
    <t>Hebrew University of Jerusalem</t>
  </si>
  <si>
    <t>Torfstein, A (corresponding author), Hebrew Univ Jerusalem, Fredy &amp; Nadine Herrmann Inst Earth Sci, IL-91904 Jerusalem, Israel.</t>
  </si>
  <si>
    <t>adi.torf@mail.huji.ac.il</t>
  </si>
  <si>
    <t>Torfstein, Adi/C-5816-2017</t>
  </si>
  <si>
    <t>Torfstein, Adi/0000-0003-3918-8410</t>
  </si>
  <si>
    <t>Israel Science Foundation [927/15]</t>
  </si>
  <si>
    <t>Israel Science Foundation(Israel Science Foundation)</t>
  </si>
  <si>
    <t>I wish to thank Yoav Ben-Dor, Moshe Armon, and Yehouda Enzel for providing critical comments and suggestions, as well as the reviews and comments of two anonymous reviewers and the guest editor Moti Stein, all of which helped to greatly improve this paper. This work was supported by Israel Science Foundation Grant #927/15.</t>
  </si>
  <si>
    <t>10.1016/j.quascirev.2019.105881</t>
  </si>
  <si>
    <t>JC5WU</t>
  </si>
  <si>
    <t>WOS:000489354400023</t>
  </si>
  <si>
    <t>Zheng, L; Zhou, CX; Liang, Q</t>
  </si>
  <si>
    <t>Zheng, Lei; Zhou, Chunxia; Liang, Qi</t>
  </si>
  <si>
    <t>Variations in Antarctic Peninsula snow liquid water during 1999-2017 revealed by merging radiometer, scatterometer and model estimations</t>
  </si>
  <si>
    <t>Snow liquid water; Antarctic Peninsula; SSM/I; QSCAT; ASCAT; RACMO2</t>
  </si>
  <si>
    <t>C ICE SHELF; TRIPLE COLLOCATION; SURFACE MELT; SEA-ICE; TIME-SERIES; SHEET; DURATION; WIND; BALANCE; IMPACTS</t>
  </si>
  <si>
    <t>The Antarctic Peninsula (AP) has recorded one of the strongest warming rates on the Earth since the 1950s, which, however, turned into a cooling trend since 1999. Snow liquid water emerges in the snowpacks in the AP during melt seasons. Monitoring snow liquid water on the AP is critical for evaluating its impacts on the stability, surface mass and energy balances of ice shelves. Most of our knowledge about the occurrence of snow liquid water (OLW) stems from satellite observations and model simulations. However, the relative performances of OLW products derived from these measurements have never been evaluated due to the lack of in-situ snow wetness measurements. We ranked the OLW determined by the radiometer (i.e., Special Sensor Microwave Imager), scatterometer (i.e., Quick Scatterometer and Advanced Scatterometer) and the Regional Atmospheric Circulation Model (RACMO2) based on categorical triple collocation (CTC) which can identify the most accurate observation with unknown true values. The CTC fusion product was generated by adopting the best source for each pixel during 1999-2017. The cumulative liquid water volume simulated by RACMO2 has significantly declined (at the 99% confidence level) by 210 Gt decade(-1), while the decreasing trends in CTC-fused liquid water days (-1.18 days decade(-1)) and cumulative wet surface (-1.69 x 10(6) days km(2) decade(-1)) were not statistically significant. The significantly negative trend in eastern AP snow liquid water agreed well with the simultaneous cooling, and may be linked with the increased adjacent sea ice.</t>
  </si>
  <si>
    <t>[Zheng, Lei; Zhou, Chunxia; Liang, Qi] Wuhan Univ, Chinese Antarctic Ctr Surveying &amp; Mapping, Wuhan 430079, Hubei, Peoples R China</t>
  </si>
  <si>
    <t>Zhou, CX (corresponding author), Wuhan Univ, Chinese Antarctic Ctr Surveying &amp; Mapping, Wuhan 430079, Hubei, Peoples R China.</t>
  </si>
  <si>
    <t>zhoucx@whu.edu.cn</t>
  </si>
  <si>
    <t>Liang, Qi/AAI-4973-2020; Zheng, Lei/AAU-4134-2020; Zheng, Lei/AAU-3788-2020</t>
  </si>
  <si>
    <t>Liang, Qi/0000-0002-6766-9361</t>
  </si>
  <si>
    <t>National Natural Science Foundation of China (NSFC) [41776200, 41531069, 41376187]; National Key Research and Development Program of China [2018YFC1406102]</t>
  </si>
  <si>
    <t>National Natural Science Foundation of China (NSFC)(National Natural Science Foundation of China (NSFC)); National Key Research and Development Program of China</t>
  </si>
  <si>
    <t>We would like to thank the National Snow and Ice Data Center and the Brigham Young University for providing SSM/I, QSCAT and ASCAT data. We acknowledge Dr. Michiel van den Broeke for providing the RACMO2 simulations and the valuable discussions during this study. We also thank Dr. Kaighin McColl for providing the consultation and codes of the CTC (https://github.com/kaighin/CTC).We are grateful to the three anonymous reviewers and the editorial team for their attention and time dedicated to this manuscript and for their constructive comments. The numerical calculations in this paper have been done on the supercomputing system in the Supercomputing Center of Wuhan University. This research was supported by the National Natural Science Foundation of China (NSFC) (Grant Nos. 41776200, 41531069, 41376187) and the National Key Research and Development Program of China (Grant No. 2018YFC1406102).</t>
  </si>
  <si>
    <t>10.1016/j.rse.2019.111219</t>
  </si>
  <si>
    <t>IY4IS</t>
  </si>
  <si>
    <t>WOS:000486355300047</t>
  </si>
  <si>
    <t>McCain, JSP; Bertrand, EM</t>
  </si>
  <si>
    <t>McCain, J. Scott P.; Bertrand, Erin M.</t>
  </si>
  <si>
    <t>Prediction and Consequences of Cofragmentation in Metaproteomics</t>
  </si>
  <si>
    <t>JOURNAL OF PROTEOME RESEARCH</t>
  </si>
  <si>
    <t>cofragmentation; chimeric spectra; mixture spectra; metaproteomics</t>
  </si>
  <si>
    <t>PEPTIDE IDENTIFICATION; LIQUID-CHROMATOGRAPHY; MASS; COMMUNITIES; SIMULATOR; SPECTRA; OPENMS; MS/MS</t>
  </si>
  <si>
    <t>Metaproteomics can provide critical information about biological systems, but peptides are found within a complex background of other peptides. This complex background can change across samples, in some cases drastically. Cofragmentation, the coelution of peptides with similar mass to charge ratios, is one factor that influences which peptides are identified in an LC-MS/MS experiment: it is dependent on the nature and complexity of this dynamic background. Metaproteomics applications are particularly susceptible to cofragmentation-induced bias; they have vast protein sequence diversity and the abundance of those proteins can span many orders of magnitude. We have developed a mechanistic model that determines the number of potentially cofragmenting peptides in a given sample (called cobia, https://github.com/bertrand-lab/cobia). We then used previously published data sets to validate our model, showing that the resulting peptide-specific score reflects the cofragmentation risk of peptides. Using an Antarctic sea ice edge metatranscriptome case study, more rare taxonomic and functional groups are associated with higher cofragmentation bias. We also demonstrate how cofragmentation scores can be used to guide the selection of protein- or peptide-based biomarkers. We illustrate potential consequences of cofragmentation for multiple metaproteomic approaches, and suggest practical paths forward to cope with cofragmentation-induced bias.</t>
  </si>
  <si>
    <t>[McCain, J. Scott P.; Bertrand, Erin M.] Dalhousie Univ, Dept Biol, Halifax, NS B3H 4R2, Canada</t>
  </si>
  <si>
    <t>Dalhousie University</t>
  </si>
  <si>
    <t>Bertrand, EM (corresponding author), Dalhousie Univ, Dept Biol, Halifax, NS B3H 4R2, Canada.</t>
  </si>
  <si>
    <t>erin.bertrand@dal.ca</t>
  </si>
  <si>
    <t>McCain, J. Scott P./0000-0001-8437-1420; Bertrand, Erin/0000-0002-5950-6810</t>
  </si>
  <si>
    <t>NSERC [RGPIN-2015-05009]; Ocean Frontier Institute; Simons Foundation [504183]; NSERC CGS-D; Transatlantic Ocean System Science and Technology (TOSST) fellowship</t>
  </si>
  <si>
    <t>NSERC(Natural Sciences and Engineering Research Council of Canada (NSERC)); Ocean Frontier Institute; Simons Foundation; NSERC CGS-D(Natural Sciences and Engineering Research Council of Canada (NSERC)); Transatlantic Ocean System Science and Technology (TOSST) fellowship</t>
  </si>
  <si>
    <t>We are grateful to Elden Rowland, Alejandro Cohen, Devanand Pinto, Mike Hall, Noor Youssef, and Dalhousie mass spectrometry journal club members for valuable discussions. We thank the authors of previously published data sets that we used for their correspondence, in particular Martin Broberg, Frank Aylward, Matthew Monroe, and Kristin Burnum-Johnson. This project was financially supported by NSERC Discovery Grant RGPIN-2015-05009, the Ocean Frontier Institute, and Simons Foundation Grant 504183 to EMB. JSPM is supported by an NSERC CGS-D and a Transatlantic Ocean System Science and Technology (TOSST) fellowship.</t>
  </si>
  <si>
    <t>1535-3893</t>
  </si>
  <si>
    <t>1535-3907</t>
  </si>
  <si>
    <t>J PROTEOME RES</t>
  </si>
  <si>
    <t>J. Proteome Res.</t>
  </si>
  <si>
    <t>10.1021/acs.jproteome.9b00144</t>
  </si>
  <si>
    <t>Biochemical Research Methods</t>
  </si>
  <si>
    <t>Biochemistry &amp; Molecular Biology</t>
  </si>
  <si>
    <t>JC3TC</t>
  </si>
  <si>
    <t>WOS:000489200400002</t>
  </si>
  <si>
    <t>Amiraux, R; Smik, L; Köseoglu, D; Rontani, JF; Galindo, V; Grondin, PL; Babin, M; Belt, ST</t>
  </si>
  <si>
    <t>Amiraux, Remi; Smik, Lukas; Koseoglu, Denizcan; Rontani, Jean-Francois; Galindo, Virginie; Grondin, Pierre-Luc; Babin, Marcel; Belt, Simon T.</t>
  </si>
  <si>
    <t>Temporal evolution of IP25 and other highly branched isoprenoid lipids in sea ice and the underlying water column during an Arctic melting season</t>
  </si>
  <si>
    <t>Spring ice melt; IP25; Ice algal bloom; Under-ice algal bloom; HBIs; Berkeleya rutilens</t>
  </si>
  <si>
    <t>PARTICULATE ORGANIC-CARBON; HBI ALKENES; STRUCTURAL-CHARACTERIZATION; SPRING BLOOM; DIATOM; BIOMARKER; MARINE; IDENTIFICATION; C-25; RHIZOSOLENIA</t>
  </si>
  <si>
    <t>In recent years, certain mono- and di-unsaturated highly branched isoprenoid (HBI) alkene biomarkers (i.e., IP25 and HBI IIa) have emerged as useful proxies for sea ice in the Arctic and Antarctic, respectively. Despite the relatively large number of sea ice reconstructions based on IP25 and HBI IIa, considerably fewer studies have addressed HBI variability in sea ice or in the underlying water column during a spring bloom and ice melt season. In this study, we quantified IP25 and various other RBIs at high temporal and vertical resolution in sea ice and the underlying water column (suspended and sinking particulate organic matter) during a spring bloom/ice melt event in Baffin Bay (Canadian Arctic) as part of the Green Edge project. The IP(25 )data are largely consistent with those reported from some previous studies, but also highlight: (i) the short-term variability in its production in sea ice; (ii) the release of ice algae with high sinking rates following a switch in sea ice conditions from hyper- to hyposaline within the study period; and (iii) the occurrence of an under-ice phytoplankton bloom. Outcomes from change-point analysis conducted on chlorophyll a and IP25, together with estimates of the percentage of ice algal organic carbon in the water column, also support some previous investigations. The co-occurrence of other di- and tri-unsaturated HBIs (including the pelagic biomarker HBI III) in sea ice are likely to have originated from the diatom Berkeleya rutilans and/or the Pleurosigma and Rhizosolenia genera, residing either within the sea ice matrix or on its underside. Although a possible sea ice source for HBIs such as HBI III may also impact the use of such HBIs as pelagic counterparts to IP25 in the phytoplankton marker-IP25 index, we suggest that the impact is likely to be small based on HBI distribution data.</t>
  </si>
  <si>
    <t>[Amiraux, Remi; Smik, Lukas; Koseoglu, Denizcan; Belt, Simon T.] Univ Plymouth, Sch Geog Earth &amp; Environm Sci, Biogeochem Res Ctr, Plymouth, Devon, England; [Rontani, Jean-Francois] Aix Marseille Univ, Univ Toulon, CNRS, INSU,IRD,MIO, Marseille, France; [Galindo, Virginie] Univ Quebec Rimouski, Inst Sci Mer ISMER, Rimouski, PQ, Canada; [Grondin, Pierre-Luc; Babin, Marcel] Laval Univ, Takuvik Joint Int Lab, Quebec City, PQ, Canada; [Grondin, Pierre-Luc; Babin, Marcel] Univ Laval, Dept Biol, CNRS, Quebec City, PQ, Canada</t>
  </si>
  <si>
    <t>University of Plymouth; Aix-Marseille Universite; Institut de Recherche pour le Developpement (IRD); Centre National de la Recherche Scientifique (CNRS); CNRS - National Institute for Earth Sciences &amp; Astronomy (INSU); University of Quebec; Universite du Quebec a Rimouski; Laval University; Laval University</t>
  </si>
  <si>
    <t>Amiraux, R (corresponding author), Univ Plymouth, Sch Geog Earth &amp; Environm Sci, Biogeochem Res Ctr, Plymouth, Devon, England.</t>
  </si>
  <si>
    <t>remi.amiraux@plymouth.ac.uk</t>
  </si>
  <si>
    <t>Amiraux, Rémi/AAJ-4595-2021</t>
  </si>
  <si>
    <t>Koseoglu, Denizcan/0000-0002-1569-9788; Amiraux, Remi/0000-0002-1369-3614; Babin, Marcel/0000-0001-9233-2253</t>
  </si>
  <si>
    <t>ANR [111112]; CNES [131425]; IPEV [1164]; CSA; Fondation Total; ArcticNet; French -Arctic Initiative (Green Edge project); LEFE</t>
  </si>
  <si>
    <t>ANR(Agence Nationale de la Recherche (ANR)); CNES(Centre National D'etudes Spatiales); IPEV; CSA; Fondation Total; ArcticNet; French -Arctic Initiative (Green Edge project); LEFE</t>
  </si>
  <si>
    <t>The Green Edge project is funded by the following French and Canadian programs and agencies: ANR (Contract #111112), CNES (project #131425), IPEV (project #1164), CSA, Fondation Total, ArcticNet, LEFE and the French -Arctic Initiative (Green Edge project).</t>
  </si>
  <si>
    <t>10.1525/elementa.377</t>
  </si>
  <si>
    <t>JC2AH</t>
  </si>
  <si>
    <t>WOS:000489078900001</t>
  </si>
  <si>
    <t>Ballari, SA; Hendrix, BD; Sample, M; Nuñez, MA</t>
  </si>
  <si>
    <t>Ballari, Sebastian A.; Hendrix, Brece D.; Sample, Martha; Nunez, Martin A.</t>
  </si>
  <si>
    <t>Management of invasive Pinaceae is imperiled by the lack of invasive ungulate control: successful restoration requires multiple-species management</t>
  </si>
  <si>
    <t>MAMMAL RESEARCH</t>
  </si>
  <si>
    <t>Exotic species; Deer; Patagonia; Pine; Protected area; Wild boar</t>
  </si>
  <si>
    <t>SHRUB ROSA-RUBIGINOSA; ECOLOGICAL RESTORATION; CONIFER PLANTATIONS; PLANT-COMMUNITIES; EXOTIC CONIFER; ISLA VICTORIA; CLEAR-CUTS; ROE DEER; BIODIVERSITY; PATAGONIA</t>
  </si>
  <si>
    <t>The magnitude and direction of an invasive species' impact may be determined by its co-existence and interaction with other species. In Argentina, wild boar, red deer, and fallow deer are introduced mammals that have important negative impacts on ecosystems. In Patagonia, nonnative Pinaceae removal programs have been promoted since the 1980s to control exotic conifers and restore native vegetation. The consequences of removing exotic trees without continued management intervention may be unexpected due novel interactions between nonnative species. We evaluate habitat use of introduced ungulates, interactions with native and exotic plants, and their implications for restoration objectives in areas where pines have been removed. Exotic plant species richness and abundance was greater in clear-cuts than native forest or pine plantations. In contrast, richness and abundance of native plants was highest in native forests. Clear-cuts had the highest plant species diversity, primarily driven by high numbers of exotics, relative to native forests. Boar and deer were recorded in clear-cuts, native forests, and pine plantations, but deer were more frequently observed in clear-cuts. Removal of pines created a suitable habitat for deer. The herbivory pressure of deer, coupled with the presence and abundance of invasive plants, can prevent or hinder the establishment and development of native shrubs and trees that are required for the structure and function of the native ecosystem. Although the conditions in clear-cuts present complex challenges for natural regeneration, these sites could be an excellent opportunity for active restoration strategies, by excluding ungulates and controlling exotic plants to promote native species recovery.</t>
  </si>
  <si>
    <t>[Ballari, Sebastian A.] Consejo Nacl Invest Cient &amp; Tecn, Parque Nacl Nahuel Huapi CENAC APN, San Carlos De Bariloche, Rio Negro, Argentina; [Hendrix, Brece D.] No Arizona Univ, Sch Forestry, Flagstaff, AZ 86011 USA; [Sample, Martha] No Arizona Univ, Landscape Conservat Initiat, Flagstaff, AZ 86011 USA; [Nunez, Martin A.] Consejo Nacl Invest Cient &amp; Tecn, INIBIOMA, Grp Ecol Invas, San Carlos De Bariloche, Rio Negro, Argentina</t>
  </si>
  <si>
    <t>Consejo Nacional de Investigaciones Cientificas y Tecnicas (CONICET); Northern Arizona University; Northern Arizona University; Consejo Nacional de Investigaciones Cientificas y Tecnicas (CONICET)</t>
  </si>
  <si>
    <t>Ballari, SA (corresponding author), Consejo Nacl Invest Cient &amp; Tecn, Parque Nacl Nahuel Huapi CENAC APN, San Carlos De Bariloche, Rio Negro, Argentina.</t>
  </si>
  <si>
    <t>sebastianballari@gmail.com</t>
  </si>
  <si>
    <t>Nuñez, Martin A./B-2735-2010</t>
  </si>
  <si>
    <t>Nuñez, Martin A./0000-0003-0324-5479</t>
  </si>
  <si>
    <t>Omora Sub-Antarctic Research Alliance (OSARA); Patagonian Research Experiences in Sustainability Science (PRESS); National Science Foundation</t>
  </si>
  <si>
    <t>Omora Sub-Antarctic Research Alliance (OSARA); Patagonian Research Experiences in Sustainability Science (PRESS); National Science Foundation(National Science Foundation (NSF))</t>
  </si>
  <si>
    <t>The authors thank Omora Sub-Antarctic Research Alliance (OSARA) and Patagonian Research Experiences in Sustainability Science (PRESS) with the support of National Science Foundation for funding the study.</t>
  </si>
  <si>
    <t>2199-2401</t>
  </si>
  <si>
    <t>2199-241X</t>
  </si>
  <si>
    <t>MAMMAL RES</t>
  </si>
  <si>
    <t>Mammal Res.</t>
  </si>
  <si>
    <t>10.1007/s13364-019-00439-0</t>
  </si>
  <si>
    <t>JC1EC</t>
  </si>
  <si>
    <t>WOS:000489020300009</t>
  </si>
  <si>
    <t>Draft Genome Sequence of Brevibacillus sp. Strain LEMMJ03, Isolated from an Antarctic Volcano</t>
  </si>
  <si>
    <t>IDENTIFICATION; ANNOTATION</t>
  </si>
  <si>
    <t>Here, we announce the draft genome sequence of Brevibacillus sp. strain LEMMJ03, isolated from Whalers Bay sediment (Deception Island, Antarctica). In total, 4,500 coding sequences (CDS), among those 102 coding for tRNAs and 5 for noncoding RNAs (ncRNAs), were predicted from the 4.64-Mb genome. Predicted functions were for bacteriocin and degradation of aromatic compounds.</t>
  </si>
  <si>
    <t>Rocha, Ulisses/AAE-5158-2021; Kallies, René/ACK-2998-2022; Rosado, Alexandre Soares/G-1955-2012</t>
  </si>
  <si>
    <t>Rocha, Ulisses/0000-0001-6972-6692; Rosado, Alexandre Soares/0000-0001-5135-1394; Kallies, Rene/0000-0002-9195-0276</t>
  </si>
  <si>
    <t>This work received support from the National Council for Research and Development (CNPq), the National Council for the Improvement of Higher Education (CAPES), and the Helmholtz Centre for Environmental Research-UFZ.</t>
  </si>
  <si>
    <t>e00921-19</t>
  </si>
  <si>
    <t>10.1128/MRA.00921-19</t>
  </si>
  <si>
    <t>JC1AE</t>
  </si>
  <si>
    <t>WOS:000489010100018</t>
  </si>
  <si>
    <t>Fuchs, EC; Oudakker, G; Justinek, M; Dyer, N; Woisetschläger, J; Godines, K; Mäder, M; Freund, FT</t>
  </si>
  <si>
    <t>Fuchs, Elmar C.; Oudakker, Gerrit; Justinek, Martin; Dyer, Nigel; Woisetschlaeger, Jakob; Godines, Kevin; Mader, Matthias; Freund, Friedemann T.</t>
  </si>
  <si>
    <t>Solar Eclipses and the Surface Properties of Water</t>
  </si>
  <si>
    <t>EARTH MOON AND PLANETS</t>
  </si>
  <si>
    <t>Solar eclipse; Surface tension; Water</t>
  </si>
  <si>
    <t>CONTACT-ANGLE; COSMIC-RAYS; OZONE; OSCILLATIONS; TENSION; ORIGIN; WIND; GRAVITATION; ENHANCEMENT; NEUTRINOS</t>
  </si>
  <si>
    <t>During four solar eclipse events (two annular, one total and one partial) a correlation was observed between a change in water surface tension and the magnitude of the optical coverage. During one eclipse, evaporation experiments were carried out which showed a reduction in water evaporation at the same time as a rise in the surface tension. The changes did not occur on a day without a solar eclipse and are not correlated to changes in temperature, pressure, humidity of the environment. The effects are delayed by 20, 85, 30 and 37 min, respectively, compared to the maximum eclipse. Possible mechanisms responsible for this effect are presented, the most likely hypothesis being reduced water/muon interaction due to solar wind and cosmic radiation blocking during an eclipse. As an alternative hypotheses, we propose a novel neutrino/water interaction and overview of other, less likely mechanisms.</t>
  </si>
  <si>
    <t>[Fuchs, Elmar C.; Oudakker, Gerrit; Dyer, Nigel; Woisetschlaeger, Jakob] Wetsus, European Ctr Excellence Sustainable Water Technol, Leeuwarden, Netherlands; [Justinek, Martin] Justinek Engn, Vienna, Austria; [Dyer, Nigel] Coherent Water Syst, Royal Leamington Spa, England; [Woisetschlaeger, Jakob] Graz Univ Technol, Inst Thermal Turbomachinery &amp; Machine Dynam, Graz, Austria; [Godines, Kevin] UC, Dept Bioengn, Berkeley, CA USA; [Mader, Matthias] Delft Univ Technol, Dept Geosci &amp; Engn, Delft, Netherlands; [Freund, Friedemann T.] NASA Ames Res Ctr, NASA Earth Sci Div, Moffett Field, CA USA; [Freund, Friedemann T.] SETI Inst, Carl Sagan Ctr, Mountain View, CA USA</t>
  </si>
  <si>
    <t>Graz University of Technology; Delft University of Technology; National Aeronautics &amp; Space Administration (NASA); NASA Ames Research Center</t>
  </si>
  <si>
    <t>Woisetschläger, J (corresponding author), Wetsus, European Ctr Excellence Sustainable Water Technol, Leeuwarden, Netherlands.;Woisetschläger, J (corresponding author), Graz Univ Technol, Inst Thermal Turbomachinery &amp; Machine Dynam, Graz, Austria.</t>
  </si>
  <si>
    <t>elmar.fuchs@wetsus.nl; jakob.woisetschlaeger@tugraz.at</t>
  </si>
  <si>
    <t>Woisetschlager, Jakob/0000-0002-7057-761X; Fuchs, Elmar C./0000-0001-8632-2702</t>
  </si>
  <si>
    <t>Graz University of Technology; Dutch Ministry of Economic Affairs; Dutch Ministry of Infrastructure and Environment; Province of Fryslan; Northern Netherlands Provinces</t>
  </si>
  <si>
    <t>Graz University of Technology; Dutch Ministry of Economic Affairs(Ministry of Economic Affairs, Netherlands); Dutch Ministry of Infrastructure and Environment; Province of Fryslan; Northern Netherlands Provinces</t>
  </si>
  <si>
    <t>Open access funding provided by Graz University of Technology. This work was performed at the Wetsus, European Centre of Excellence for Sustainable Water Technology (www.wetsu s. eu) as well Observatoire Les Makes, 18, rue G. Bizet, Les Makes, 97,421 La Riviere, Ile de La Reunion; the hotel Loberias del Sur, Jose Miguel Carrera 50 XI region, Puerto Chacabuco, Chile; Naresuan University, Thailand; Oregon 97874, USA, in the field (the exact coordinates were latitude: 44.684277, longitude: - 120.033875) and Rothera base, Antarctica. Wetsus is co-funded by the Dutch Ministry of Economic Affairs and Ministry of Infrastructure and Environment, the Province of Fryslan, and the Northern Netherlands Provinces. Furthermore the authors hereby would like to thank the following persons for friendly cooperation and fruitful discussions about the subject: Maarten van de Griend, everybody at the Observatory in Les Makes; the hotel crew at hotel Loberias del Sur, the Chilean Military; the Netherlands Polar Programme and Dick van der Kroef; the British Antarctic Survey, Alison J. Massey, Nigel Bird and his team, Michael Prior-Jones, and the whole crew at Rothera; Jannie Mulder, John Swain, Giuseppe Vitiello, Astrid H. Paulitsch-Fuchs, Erich M. Wappis, Klaus Volkamer and Adam D. Wexler.</t>
  </si>
  <si>
    <t>0167-9295</t>
  </si>
  <si>
    <t>1573-0794</t>
  </si>
  <si>
    <t>EARTH MOON PLANETS</t>
  </si>
  <si>
    <t>Earth Moon Planets</t>
  </si>
  <si>
    <t>10.1007/s11038-019-09529-0</t>
  </si>
  <si>
    <t>JB9UV</t>
  </si>
  <si>
    <t>WOS:000488926800003</t>
  </si>
  <si>
    <t>Evans, DR; Carthy, RR; Ceriani, SA</t>
  </si>
  <si>
    <t>Evans, Daniel R.; Carthy, Raymond R.; Ceriani, Simona A.</t>
  </si>
  <si>
    <t>Migration routes, foraging behavior, and site fidelity of loggerhead sea turtles (Caretta caretta) satellite tracked from a globally important rookery</t>
  </si>
  <si>
    <t>ANTARCTIC FUR SEALS; HAWKSBILL TURTLES; SPATIAL ECOLOGY; CORRIDORS; DYNAMICS; HABITAT; RANGE; AREAS; HOME</t>
  </si>
  <si>
    <t>The Archie Carr National Wildlife Refuge, Florida, USA (27.946 degrees N, - 80.494 degrees W) represents one of the largest loggerhead turtle (Caretta caretta) nesting sites in the Western Hemisphere. Surprisingly, little work has been conducted to determine females' post-nesting migratory behavior and characteristics of their foraging areas. Between 2008 and 2017, satellite telemetry was used to trace the locations and movements of 45 post-nesting loggerhead turtles. A switching state-space model was employed to estimate the behavioral state of each location. Internesting, migrating and foraging activity periods were determined for 38 loggerheads based on the SSSM. Seven environmental variables were extracted from remote sensing imagery for each location to compare values among behaviors. Core primary foraging areas ranged in size from 5.89 to 4572.80 km(2). Four foraging types (primary, secondary, seasonal, and loops) were observed. Most turtles resided at a primary foraging area year round. A few individuals conducted foraging loops away from a primary foraging area. Both seasonal and loop movements were associated with changes in sea surface temperature as turtles moved to avoid temperatures that could cause cold-stunning or mortality. Turtle size and nesting beach offshore currents may play a role in foraging area selection, and date of departure from the nesting beach may be linked to foraging destination. By making the connection among oceanic features, foraging areas, and the influence of environmental variables on these areas, it is possible to identify and characterize critically important feeding areas and migration corridors for loggerheads nesting on the east coast of Florida.</t>
  </si>
  <si>
    <t>[Evans, Daniel R.] Sea Turtle Conservancy, 4581 NW 6th St,Suite A, Gainesville, FL 32609 USA; [Carthy, Raymond R.] Univ Florida, US Geol Survey, Florida Cooperat Fish &amp; Wildlife Res Unit, Box 110485, Gainesville, FL 32611 USA; [Ceriani, Simona A.] Fish &amp; Wildlife Res Inst, Florida Fish &amp; Wildlife Conservat Commiss, St Petersburg, FL USA; [Ceriani, Simona A.] Univ Cent Florida, Dept Biol, Orlando, FL 32816 USA</t>
  </si>
  <si>
    <t>State University System of Florida; University of Florida; United States Department of the Interior; United States Geological Survey; Florida Fish &amp; Wildlife Conservation Commission; State University System of Florida; University of Central Florida</t>
  </si>
  <si>
    <t>Evans, DR (corresponding author), Sea Turtle Conservancy, 4581 NW 6th St,Suite A, Gainesville, FL 32609 USA.</t>
  </si>
  <si>
    <t>drevans@conserveturtles.org</t>
  </si>
  <si>
    <t>Carthy, Raymond/0000-0001-8978-5083; Evans, Daniel/0000-0001-8374-6323</t>
  </si>
  <si>
    <t>Sea Turtle Grants Program [09-055R, 10-020R, 10-023R, 11-021R, 12-015R, 13-016E, 14-016E]; sale of the Florida Sea Turtle License Plate; Shark Reef Aquarium; Disney Conservation Fund; Disney's Animals, Science and Environment; Disney Vacation Club; Disney Cruise Lines; Disney's Vero Beach Resort; Little Tikes; Disney's Friends for Change; Saint Edward's School; Body Shop Foundation; John's Island Real Estate Company; PacSafe; Ripley's Aquariums</t>
  </si>
  <si>
    <t>Sea Turtle Grants Program; sale of the Florida Sea Turtle License Plate; Shark Reef Aquarium; Disney Conservation Fund; Disney's Animals, Science and Environment; Disney Vacation Club; Disney Cruise Lines; Disney's Vero Beach Resort; Little Tikes; Disney's Friends for Change; Saint Edward's School; Body Shop Foundation; John's Island Real Estate Company; PacSafe; Ripley's Aquariums</t>
  </si>
  <si>
    <t>This work was supported by several grants awarded from the Sea Turtle Grants Program (09-055R, 10-020R, 10-023R, 11-021R, 12-015R, 13-016E, 14-016E). The Sea Turtle Grants Program is funded from proceeds from the sale of the Florida Sea Turtle License Plate. Learn more at http://www.helpingseaturtles.org. Additional funding for satellite transmitters was provided by Shark Reef Aquarium, Disney Conservation Fund, Disney's Animals, Science and Environment, Disney Vacation Club, Disney Cruise Lines, Disney's Vero Beach Resort, Little Tikes, Disney's Friends for Change, Saint Edward's School, The Body Shop Foundation, John's Island Real Estate Company, PacSafe, and Ripley's Aquariums.</t>
  </si>
  <si>
    <t>10.1007/s00227-019-3583-4</t>
  </si>
  <si>
    <t>JB3KI</t>
  </si>
  <si>
    <t>WOS:000488455700002</t>
  </si>
  <si>
    <t>Poulsen, MB; Jochum, M; Maddison, JR; Marshall, DP; Nuterman, R</t>
  </si>
  <si>
    <t>Poulsen, Mads B.; Jochum, Markus; Maddison, James R.; Marshall, David P.; Nuterman, Roman</t>
  </si>
  <si>
    <t>A Geometric Interpretation of Southern Ocean Eddy Form Stress</t>
  </si>
  <si>
    <t>Southern Ocean; Eddies; General circulation models; Parameterization</t>
  </si>
  <si>
    <t>ANTARCTIC CIRCUMPOLAR CURRENT; MERIDIONAL OVERTURNING CIRCULATION; EDDIES; SATURATION; TRANSPORT; FLUX; TOPOGRAPHY; RESOLUTION; DYNAMICS; CLOSURES</t>
  </si>
  <si>
    <t>An interpretation of eddy form stress via the geometry described by the Eliassen-Palm flux tensor is explored. Complimentary to previous works on eddy Reynolds stress geometry, this study shows that eddy form stress is fully described by a vertical ellipse, whose size, shape, and orientation with respect to the mean flow shear determine the strength and direction of vertical momentum transfers. Following a recent proposal, this geometric framework is here used to form a Gent-McWilliams eddy transfer coefficient that depends on eddy energy and a nondimensional geometric parameter alpha, bounded in magnitude by unity. The parameter alpha expresses the efficiency by which eddies exchange energy with baroclinic mean flow via along-gradient eddy buoyancy flux-a flux equivalent to eddy form stress along mean buoyancy contours. An eddy-resolving ocean general circulation model is used to estimate the spatial structure of alpha in the Southern Ocean and assess its potential to form a basis for parameterization. The eddy efficiency alpha averages to a low but positive value of 0.043 within the Antarctic Circumpolar Current, consistent with an inefficient eddy field extracting energy from the mean flow. It is found that the low eddy efficiency is mainly the result of that eddy buoyancy fluxes are weakly anisotropic on average. The eddy efficiency is subject to pronounced vertical structure and is maximum at similar to 3-km depth, where eddy buoyancy fluxes tend to be directed most downgradient. Since alpha partly sets the eddy form stress in the Southern Ocean, a parameterization for alpha must reproduce its vertical structure to provide a faithful representation of vertical stress divergence and eddy forcing.</t>
  </si>
  <si>
    <t>[Poulsen, Mads B.; Jochum, Markus; Nuterman, Roman] Univ Copenhagen, Niels Bohr Inst, Copenhagen, Denmark; [Maddison, James R.] Univ Edinburgh, Sch Math, Edinburgh, Midlothian, Scotland; [Maddison, James R.] Univ Edinburgh, Maxwell Inst Math Sci, Edinburgh, Midlothian, Scotland; [Marshall, David P.] Univ Oxford, Dept Phys, Oxford, England</t>
  </si>
  <si>
    <t>University of Copenhagen; Niels Bohr Institute; University of Edinburgh; University of Edinburgh; Heriot Watt University; University of Oxford</t>
  </si>
  <si>
    <t>Poulsen, MB (corresponding author), Univ Copenhagen, Niels Bohr Inst, Copenhagen, Denmark.</t>
  </si>
  <si>
    <t>mads.poulsen@nbi.ku.dk</t>
  </si>
  <si>
    <t>Marshall, David Philip/B-6767-2009; jochum, markus/F-8237-2013; jochum, markus/AAQ-7967-2020</t>
  </si>
  <si>
    <t>Marshall, David Philip/0000-0002-5199-6579; jochum, markus/0000-0003-2690-3139</t>
  </si>
  <si>
    <t>European Research Council under the European Community [610055]; U.K. Natural Environment Research Council [NE/R000999/1]; Danish e-Infrastructure Corporation; Niels Bohr Institute; NERC [NE/R000999/1] Funding Source: UKRI</t>
  </si>
  <si>
    <t>European Research Council under the European Community(European Research Council (ERC)); U.K. Natural Environment Research Council(UK Research &amp; Innovation (UKRI)Natural Environment Research Council (NERC)); Danish e-Infrastructure Corporation; Niels Bohr Institute; NERC(UK Research &amp; Innovation (UKRI)Natural Environment Research Council (NERC))</t>
  </si>
  <si>
    <t>The research leading to these results has received funding from the European Research Council under the European Community's Seventh Framework Programme (FP7/2007-2013)/ERC grant agreement 610055 as part of the ice2ice project. JRM and DPM acknowledge support from the U.K. Natural Environment Research Council, NE/R000999/1. The authors gratefully acknowledge the Gauss Centre for Supercomputing (GCS) for providing computing time through the John von Neumann Institute for Computing (NIC) on theGCSshare of the supercomputerJUQUEEN at Julich Supercomputing Centre (JSC). The authors are also grateful for computing resources provided by the Danish Center for Climate Computing, a facility build with support of the Danish e-Infrastructure Corporation and the Niels Bohr Institute, as well as for Alison Baker (NCAR) for her help setting up CESM on JUQUEEN, and ERDA developers and maintainers Jonas Bardino and Klaus Birkelund Jensen for providing the computational infrastructure to analyze the model output. The model output supporting this publication is archived at www.erda.dk, and access can be obtained upon request to the corresponding author. MBP and MJ would also like to thank Carsten Eden for constructive discussions. All authors are grateful for the critique received by two anonymous reviewers, which led to an improved manuscript.</t>
  </si>
  <si>
    <t>10.1175/JPO-D-18-0220.1</t>
  </si>
  <si>
    <t>JA6IC</t>
  </si>
  <si>
    <t>WOS:000487945100001</t>
  </si>
  <si>
    <t>Abrahamsen, EP; Meijers, AJS; Polzin, KL; Garabato, ACN; King, BA; Firing, YL; Sallée, JB; Sheen, KL; Gordon, AL; Huber, BA; Meredith, MP</t>
  </si>
  <si>
    <t>Abrahamsen, E. Povl; Meijers, Andrew J. S.; Polzin, Kurt L.; Garabato, Alberto C. Naveira; King, Brian A.; Firing, Yvonne L.; Sallee, Jean-Baptiste; Sheen, Katy L.; Gordon, Arnold L.; Huber, Bruce A.; Meredith, Michael P.</t>
  </si>
  <si>
    <t>Stabilization of dense Antarctic water supply to the Atlantic Ocean overturning circulation</t>
  </si>
  <si>
    <t>WESTERN SOUTH-ATLANTIC; SEA-LEVEL RISE; BOTTOM WATER; DEEP WATERS; VARIABILITY; TOPOGRAPHY; TRANSPORT; EXPORT</t>
  </si>
  <si>
    <t>The lower limb of the Atlantic overturning circulation is resupplied by the sinking of dense Antarctic Bottom Water (AABW) that forms via intense air-sea-ice interactions next to Antarctica, especially in the Weddell Sea(1). In the last three decades, AABW has warmed, freshened and declined in volume across the Atlantic Ocean and elsewhere(2-7), suggesting an ongoing major reorganization of oceanic overturning(8,9). However, the future contributions of AABW to the Atlantic overturning circulation are unclear. Here, using observations of AABW in the Scotia Sea, the most direct pathway from the Weddell Sea to the Atlantic Ocean, we show a recent cessation in the decline of the AABW supply to the Atlantic overturning circulation. The strongest decline was observed in the volume of the densest layers in the AABW throughflow from the early 1990s to 2014; since then, it has stabilized and partially recovered. We link these changes to variability in the densest classes of abyssal waters upstream. Our findings indicate that the previously observed decline in the supply of dense water to the Atlantic Ocean abyss may be stabilizing or reversing and thus call for a reassessment of Antarctic influences on overturning circulation, sea level, planetary-scale heat distribution and global climate(2,3,8).</t>
  </si>
  <si>
    <t>[Abrahamsen, E. Povl; Meijers, Andrew J. S.; Meredith, Michael P.] British Antarctic Survey, Cambridge, England; [Polzin, Kurt L.] Woods Hole Oceanog Inst, Woods Hole, MA 02543 USA; [Garabato, Alberto C. Naveira] Univ Southampton, Southampton, Hants, England; [King, Brian A.; Firing, Yvonne L.] Natl Oceanog Ctr, Southampton, Hants, England; [Sallee, Jean-Baptiste] Sorbonne Univ, LOCEAN, CNRS, Paris, France; [Sheen, Katy L.] Univ Exeter, Penryn, England; [Gordon, Arnold L.; Huber, Bruce A.] Columbia Univ, Lamont Doherty Earth Observ, Palisades, NY USA</t>
  </si>
  <si>
    <t>UK Research &amp; Innovation (UKRI); Natural Environment Research Council (NERC); NERC British Antarctic Survey; Woods Hole Oceanographic Institution; University of Southampton; NERC National Oceanography Centre; Museum National d'Histoire Naturelle (MNHN); Sorbonne Universite; Centre National de la Recherche Scientifique (CNRS); University of Exeter; Columbia University</t>
  </si>
  <si>
    <t>Abrahamsen, EP (corresponding author), British Antarctic Survey, Cambridge, England.</t>
  </si>
  <si>
    <t>epab@bas.ac.uk</t>
  </si>
  <si>
    <t>SALLEE, Jean baptiste/HDO-5355-2022; Abrahamsen, Povl/B-2140-2008; Garabato, Alberto Naveira/AAQ-1114-2020; Gordon, Arnold L./H-1049-2011; SALLEE, Jean baptiste/A-5837-2010</t>
  </si>
  <si>
    <t>Abrahamsen, Povl/0000-0001-5924-5350; Garabato, Alberto Naveira/0000-0001-6071-605X; Huber, Bruce/0000-0001-6413-1614; Firing, Yvonne/0000-0002-3640-3974; Gordon, Arnold L./0000-0001-6480-6095; KING, Brian/0000-0003-1338-3234; SALLEE, Jean baptiste/0000-0002-6109-5176; Meredith, Michael/0000-0002-7342-7756</t>
  </si>
  <si>
    <t>Natural Environment Research Council (NERC) [NE/K012843/1, NE/K013181/1]; NERC [NE/N018095/1]; NSF [OCE-1536779]; Royal Society; Wolfson Foundation; ORCHESTRA; Climate Observation Division, Climate Program Office, National Oceanic and Atmospheric Administration, US Department of Commerce [100007298]; NSF XSEDE resource grant [OCE130007]; NERC [NE/E007058/1, NE/N018095/1, NE/K012843/1, NE/E013341/1, NE/E005667/1, bas0100033, NE/K013181/1] Funding Source: UKRI</t>
  </si>
  <si>
    <t>Natural Environment Research Council (NERC)(UK Research &amp; Innovation (UKRI)Natural Environment Research Council (NERC)); NERC(UK Research &amp; Innovation (UKRI)Natural Environment Research Council (NERC)); NSF(National Science Foundation (NSF)); Royal Society(Royal Society); Wolfson Foundation; ORCHESTRA; Climate Observation Division, Climate Program Office, National Oceanic and Atmospheric Administration, US Department of Commerce; NSF XSEDE resource grant; NERC(UK Research &amp; Innovation (UKRI)Natural Environment Research Council (NERC))</t>
  </si>
  <si>
    <t>E.P.A., A.C.N.G. and M.P.M. were supported by Natural Environment Research Council (NERC) grant nos. NE/K012843/1 and NE/K013181/1 (Dynamics of the Orkney Passage Outflow). E.P.A., A.S.M., B.A.K., Y.L.F. and M.P.M. were supported by NERC grant no. NE/N018095/1 (Ocean Regulation of Climate by Heat and Carbon Sequestration and Transports, ORCHESTRA). K.P. was supported by NSF grant no. OCE-1536779. A.C.N.G. was supported by the Royal Society and the Wolfson Foundation. Collection of data on A23 and SR1b was supported by NERC National Capability funding including ORCHESTRA. Collection of data in Orkney Passage was supported by NERC National Capability funding including ORCHESTRA and was funded in part by the Climate Observation Division, Climate Program Office (FundRef no. 100007298), National Oceanic and Atmospheric Administration, US Department of Commerce. Computational resources for SOSE were provided by NSF XSEDE resource grant no. OCE130007.</t>
  </si>
  <si>
    <t>10.1038/s41558-019-0561-2</t>
  </si>
  <si>
    <t>JA4TV</t>
  </si>
  <si>
    <t>WOS:000487830200013</t>
  </si>
  <si>
    <t>Petrou, K; Baker, KG; Nielsen, DA; Hancock, AM; Schulz, KG; Davidson, AT</t>
  </si>
  <si>
    <t>Petrou, Katherina; Baker, Kirralee G.; Nielsen, Daniel A.; Hancock, Alyce M.; Schulz, Kai G.; Davidson, Andrew T.</t>
  </si>
  <si>
    <t>Acidification diminishes diatom silica production in the Southern Ocean</t>
  </si>
  <si>
    <t>CO2 CONCENTRATIONS; BIOGENIC SILICA; MARINE DIATOM; GROWTH-RATE; RESPONSES; CARBON; METABOLISM; PHYSIOLOGY; IMPACT</t>
  </si>
  <si>
    <t>Diatoms, large bloom-forming marine microorganisms, build frustules out of silicate, which ballasts the cells and aids their export to the deep ocean. This unique physiology forges an important link between the marine silicon and carbon cycles. However, the effect of ocean acidification on the silicification of diatoms is unclear. Here we show that diatom silicification strongly diminishes with increased acidity in a natural Antarctic community. Analyses of single cells from within the community reveal that the effect of reduced pH on silicification differs among taxa, with several species having significantly reduced silica incorporation at CO2 levels equivalent to those projected for 2100. These findings suggest that, before the end of this century, ocean acidification may influence the carbon and silicon cycle by both altering the composition of the diatom assemblages and reducing cell ballasting, which will probably alter vertical flux of these elements to the deep ocean.</t>
  </si>
  <si>
    <t>[Petrou, Katherina; Baker, Kirralee G.; Nielsen, Daniel A.] Univ Technol Sydney, Sch Life Sci, Ultimo, NSW, Australia; [Baker, Kirralee G.] Univ Essex, Sch Biol Sci, Colchester, Essex, England; [Hancock, Alyce M.] Univ Tasmania, Inst Marine &amp; Antarctic Studies, Battery Point, Tas, Australia; [Hancock, Alyce M.] Antarctic Gateway Partnership, Battery Point, Tas, Australia; [Hancock, Alyce M.; Davidson, Andrew T.] Antarctic Climate &amp; Ecosyst Cooperat Res Ctr, Battery Point, Tas, Australia; [Schulz, Kai G.] Southern Cross Univ, Ctr Coastal Biogeochem, East Lismore, NSW, Australia; [Davidson, Andrew T.] Australian Antarctic Div, Dept Environm &amp; Energy, Kingston, Tas, Australia</t>
  </si>
  <si>
    <t>University of Technology Sydney; University of Essex; University of Tasmania; Antarctic Climate &amp; Ecosystems Cooperative Research Centre (ACE CRC); Southern Cross University; Australian Antarctic Division</t>
  </si>
  <si>
    <t>Petrou, K (corresponding author), Univ Technol Sydney, Sch Life Sci, Ultimo, NSW, Australia.</t>
  </si>
  <si>
    <t>Katherina.Petrou@uts.edu.au</t>
  </si>
  <si>
    <t>Nielsen, Daniel/AAU-1065-2020; Schulz, Kai/AEZ-9073-2022</t>
  </si>
  <si>
    <t>Nielsen, Daniel/0000-0001-6678-5937; Schulz, Kai/0000-0002-8481-4639; Baker, Kirralee/0000-0003-3008-2513; Petrou, Katherina/0000-0002-2703-0694</t>
  </si>
  <si>
    <t>Australian Antarctic Science project from the Australian Antarctic Division (AAD) [AAS 4026]</t>
  </si>
  <si>
    <t>Australian Antarctic Science project from the Australian Antarctic Division (AAD)</t>
  </si>
  <si>
    <t>The work was supported by Australian Antarctic Science project AAS 4026 from the Australian Antarctic Division (AAD); samples were imported under permit no. IP13019928. We are grateful to AAD technical support for their assistance and support in designing and equipping the mesocosm facility and to the Davis Station expeditioners in the summer of 2014/2015.</t>
  </si>
  <si>
    <t>10.1038/s41558-019-0557-y</t>
  </si>
  <si>
    <t>WOS:000487830200020</t>
  </si>
  <si>
    <t>Molnár, K; Székely, C; Baska, F; Müller, T; Zuo, S; Kania, PW; Nowak, B; Buchmann, K</t>
  </si>
  <si>
    <t>Molnar, K.; Szekely, C.; Baska, F.; Muller, T.; Zuo, S.; Kania, P. W.; Nowak, B.; Buchmann, K.</t>
  </si>
  <si>
    <t>Differential survival of 3rd stage larvae of Contracaecum rudolphii type B infecting common bream (Abramis brama) and common carp (Cyprinus carpio)</t>
  </si>
  <si>
    <t>PARASITOLOGY RESEARCH</t>
  </si>
  <si>
    <t>Susceptibility; Resistance; Bream; Carp; Nematodes</t>
  </si>
  <si>
    <t>FRESH-WATER FISH; NEMATODA ANISAKIDAE; LAKE-BALATON; COPEPOD</t>
  </si>
  <si>
    <t>The main fish host reaction to an infection with third stage anisakid nematode larvae is a response in which host immune cells (macrophages, granulocytes, lymphocytes) in affected internal organs initially are attracted to the parasite whereafter fibroblasts may enclose the parasite forming granuloma. Generally, the reaction is non-lethal to the parasite which may survive for years in the fish host retaining infectivity to the final host. This may also apply for the anisakid nematode Contracaecum rudolphii (having the adult stage in cormorants, using copepods as first intermediate/paratenic host and zooplankton feeding fish as paratenic hosts). The present study has shown that most Contracaecum rudolphii larvae survive in bream (Abramis brama) (from Lake Balaton, Hungary) whereas the majority of the nematode larvae die in Cyprinus carpio (from Lake Heviz, directly connected to Lake Balaton). Both cyprinid host species interacted with the nematode larvae through establishing a marked cellular encapsulation around them but with different effects. The differential survival in common carp and bream may theoretically be explained by ecological factors, such as the environmental temperature which either directly or indirectly affect the development of nematode larvae, and/or intrinsic host factors, such as differential immune responses and host genetics.</t>
  </si>
  <si>
    <t>[Molnar, K.; Szekely, C.] Hungarian Acad Sci, Ctr Agr Res, Inst Vet Med Res, Budapest, Hungary; [Baska, F.] Univ Vet Med, Dept Exot Anim &amp; Wildlife Med, Budapest, Hungary; [Muller, T.] Szent Istvan Univ, Dept Aquaculture, Godollo, Hungary; [Zuo, S.; Kania, P. W.; Buchmann, K.] Univ Copenhagen, Fac Hlth &amp; Med Sci, Dept Vet &amp; Anim Sci, Lab Aquat Pathobiol, Copenhagen, Denmark; [Nowak, B.] Univ Tasmania, Inst Marine &amp; Antarctic Studies, Hobart, Tas, Australia</t>
  </si>
  <si>
    <t>Hungarian Academy of Sciences; Hungarian Research Network; HUN-REN Centre for Agricultural Research; HUN-REN Veterinary Medical Research Institute; University of Veterinary Medicine Budapest; Hungarian University of Agriculture &amp; Life Sciences; University of Copenhagen; University of Tasmania</t>
  </si>
  <si>
    <t>Székely, C (corresponding author), Hungarian Acad Sci, Ctr Agr Res, Inst Vet Med Res, Budapest, Hungary.</t>
  </si>
  <si>
    <t>szekely.csaba@agrar.mta.hu</t>
  </si>
  <si>
    <t>Molnar, Kinga/H-7780-2012; Nowak, Barbara/J-7261-2014; Szekely, Csaba/F-5246-2012</t>
  </si>
  <si>
    <t>Buchmann, Kurt/0000-0002-2747-237X; Nowak, Barbara/0000-0002-0347-643X; Muller, Tamas/0000-0002-0512-4315; Szekely, Csaba/0000-0001-8831-9099</t>
  </si>
  <si>
    <t>MTA Centre for Agricultural Research (MTA ATK); European Union [634429]</t>
  </si>
  <si>
    <t>MTA Centre for Agricultural Research (MTA ATK); European Union(European Union (EU))</t>
  </si>
  <si>
    <t>Open access funding provided by MTA Centre for Agricultural Research (MTA ATK). This project was performed under the European Union's Horizon 2020 research and innovation programme under grant agreement no. 634429 (ParaFishControl). This output reflects only the authors' view and the European Union cannot be held responsible for any use that may be made of the information contained herein.</t>
  </si>
  <si>
    <t>0932-0113</t>
  </si>
  <si>
    <t>1432-1955</t>
  </si>
  <si>
    <t>PARASITOL RES</t>
  </si>
  <si>
    <t>Parasitol. Res.</t>
  </si>
  <si>
    <t>10.1007/s00436-019-06441-4</t>
  </si>
  <si>
    <t>Parasitology</t>
  </si>
  <si>
    <t>IZ7XO</t>
  </si>
  <si>
    <t>WOS:000487313500008</t>
  </si>
  <si>
    <t>Kämpfer, P; Irgang, R; Fernández-Negrete, G; Busse, HJ; Poblete-Morales, M; Fuentes-Messina, D; Glaeser, SP; Avendaño-Herrera, R</t>
  </si>
  <si>
    <t>Kaempfer, Peter; Irgang, Rute; Fernandez-Negrete, Guillermo; Busse, Hans-Juergen; Poblete-Morales, Matias; Fuentes-Messina, Derie; Glaeser, Stefanie P.; Avendano-Herrera, Ruben</t>
  </si>
  <si>
    <t>Proposal of Pedobacter nototheniae sp. nov., isolated from the spleen of a black rock cod (Notothenia coriiceps, Richardson 1844) from the Chilean Antarctica</t>
  </si>
  <si>
    <t>Pedobacter; nototheniae; Antarctica; Black rock cod</t>
  </si>
  <si>
    <t>EMENDED DESCRIPTION; LIPID-COMPOSITION; GENUS PEDOBACTER; SOIL; BACTERIA; FLAVOBACTERIUM; CLASSIFICATION; IDENTIFICATION; RHIZOSPHERE; HEPARINUS</t>
  </si>
  <si>
    <t>A pink pigmented, Gram-negative, rod-shaped, non-spore-forming bacterium (strain 36B243(T)), was isolated from the spleen of a black rock cod (Notothenia coriiceps, Richardson 1844) in the Chilean Antarctica. Strain 36B243(T) has a 5.26 Mb chromosome with a DNA G + C content of 35.4 mol%. The draft genome includes the prediction and annotation of 4585 coding genes, and 46 tRNA, 1 tmRNA, and 2735 hypothetical proteins. Phylogenetic analysis based on the 16S rRNA gene sequence placed strain 36B243(T) into the genus Pedobacter with high sequence similarity to the type strains of Pedobacter sandarakinus (97.5%) and Pedobacter petrophilus (97.1%). Sequence similarities to type strains of all other current Pedobacter species were below 97.1%. Predominant fatty acids are summed feature 3 (C-16:1 omega 7c and/or C-16:1 omega 6c) and iso-C-15:0 followed by iso-C-17:0 3-OH and C-16:0. The major respiratory quinone was menaquinone MK-7. The polar lipid profile contained the major lipids phosphatidylethanolamine, five unidentified aminolipids, two lipids lacking a functional group and two minor glycolipids and one lipid lacking a functional group. An alkali-stable lipid was present. The polyamine pattern contained the predominant compound sym-homospermidine. Characterization by 16S rRNA gene sequence analysis, physiological parameters, pigment analysis, ubiquinone, polar lipid, and fatty acid composition revealed that strain 36B243(T) represents a new species of the genus Pedobacter. For this reason, we propose the name Pedobacter nototheniae sp. nov. with the type strain 36B243(T) (= LMG 30634(T) = CCM 8855(T) = CIP 111622(T)).</t>
  </si>
  <si>
    <t>[Kaempfer, Peter; Glaeser, Stefanie P.] Justus Liebig Univ Giessen, Inst Angew Mikrobiol, Heinrich Buff Ring 26-32, D-35392 Giessen, Germany; [Irgang, Rute; Poblete-Morales, Matias; Avendano-Herrera, Ruben] Univ Andres Bello, Fac Ciencias Vida, Lab Patol Organismos Acuat &amp; Biotecnol Acuicola, Vina Del Mar, Chile; [Irgang, Rute; Avendano-Herrera, Ruben] Interdisciplinary Ctr Aquaculture Res INCAR, Vina Del Mar, Chile; [Fernandez-Negrete, Guillermo] Fraunhofer Chile Res Fdn, Ctr Syst Biotechnol, Santiago, Chile; [Busse, Hans-Juergen] Vet Med Univ, Inst Mikrobiol, Vienna, Austria; [Fuentes-Messina, Derie] Fraunhofer Chile Res Fdn, Aquaculture &amp; Marine Ecosyst Div, Santiago, Chile</t>
  </si>
  <si>
    <t>Justus Liebig University Giessen; Universidad Andres Bello; University of Veterinary Medicine Vienna</t>
  </si>
  <si>
    <t>Kämpfer, P (corresponding author), Justus Liebig Univ Giessen, Inst Angew Mikrobiol, Heinrich Buff Ring 26-32, D-35392 Giessen, Germany.;Avendaño-Herrera, R (corresponding author), Univ Andres Bello, Fac Ciencias Vida, Lab Patol Organismos Acuat &amp; Biotecnol Acuicola, Vina Del Mar, Chile.;Avendaño-Herrera, R (corresponding author), Interdisciplinary Ctr Aquaculture Res INCAR, Vina Del Mar, Chile.</t>
  </si>
  <si>
    <t>peter.kaempfer@umwelt.uni-giessen.de; reavendano@yahoo.com</t>
  </si>
  <si>
    <t>Fuentes, Derie/GLS-8773-2022; Poblete-Morales, Matías/AAS-1973-2020; Irgang, Rute/H-2399-2015; Glaeser, Stefanie/ABI-5518-2020; Kampfer, Peter/P-7643-2019</t>
  </si>
  <si>
    <t>Poblete-Morales, Matías/0000-0001-9064-3285; Kampfer, Peter/0000-0002-7165-3418; Irgang, Rute/0000-0001-5608-0060; Avendano-Herrera, Ruben/0000-0001-5368-4475; Fuentes, Derie/0000-0002-8189-8515</t>
  </si>
  <si>
    <t>Chilean Antarctic Institute [INACH 86_13]; Comision Nacional de Investigacion Cientifica y Tecnologica (CONICYT, Chile) [CONICYT/FONDAP/15110027, FONDECYT 1190283]</t>
  </si>
  <si>
    <t>Chilean Antarctic Institute; Comision Nacional de Investigacion Cientifica y Tecnologica (CONICYT, Chile)(Comision Nacional de Investigacion Cientifica y Tecnologica (CONICYT))</t>
  </si>
  <si>
    <t>We thank Gundula Will, Maria Sowinsky and Katja Grebing for excellent technical assistance and Prof. Aharon Oren for his advice on the specific epithet. We are also grateful to Dr. Marcelo Cortez-San Martin for his valuable help in the fieldwork in Antarctica. This work was supported by the Chilean Antarctic Institute (Grant INACH 86_13); CONICYT/FONDAP/15110027 and FONDECYT 1190283, both awarded by the Comision Nacional de Investigacion Cientifica y Tecnologica (CONICYT, Chile).</t>
  </si>
  <si>
    <t>10.1007/s10482-019-01275-7</t>
  </si>
  <si>
    <t>IZ4FJ</t>
  </si>
  <si>
    <t>WOS:000487039400005</t>
  </si>
  <si>
    <t>Bippus, AC; Savoretti, A; Escapa, IH; Garcia-Massini, J; Guido, D</t>
  </si>
  <si>
    <t>Bippus, Alexander C.; Savoretti, Adolfina; Escapa, Ignacio H.; Garcia-Massini, Juan; Guido, Diego</t>
  </si>
  <si>
    <t>Heinrichsiella patagonica gen. et sp. nov.: A Permineralized Acrocarpous Moss from the Jurassic of Patagonia</t>
  </si>
  <si>
    <t>INTERNATIONAL JOURNAL OF PLANT SCIENCES</t>
  </si>
  <si>
    <t>evolution; fossil; Jurassic; moss; Polytrichaceae; Timmiellaceae</t>
  </si>
  <si>
    <t>VANCOUVER-ISLAND; ANTARCTIC PENINSULA; CRETACEOUS AMBER; GAMETOPHYTES; PHYLOGENY; DIVERSITY; POLYTRICHACEAE; SPOROPHYTES; BRYOPHYTE; VOLCANISM</t>
  </si>
  <si>
    <t>Premise of research. Today, mosses are the second most speciose lineage of land plants and are important components of many ecosystems. However, in spite of their diversity and ecological importance in the modern biota, mosses are rare in the fossil record, especially prior to the Cenozoic. Therefore, every new report of a pre-Cenozoic moss deeply enriches our understanding of their evolution. Pre-Cenozoic permineralized mosses represent particularly exciting discoveries because a thorough understanding of the organism is possible. Here, we present the first permineralized Jurassic moss. Methodology. A single chert block from the Canadon Nahuel locality of the Jurassic (178-151 Ma) Deseado Massif in Santa Cruz Province, Patagonia, was polished, and the plants within were examined, revealing a moss gametophyte shoot. A thin section of this chert block was cut and subsequently examined using light microscopy. Pivotal results. We describe Heinrichsiella patagonica gen. et sp. nov., an acrocarpous moss with a novel combination of gametophyte features that suggests basal affinities within either the family Polytrichaceae or the family Timmiellaceae. Both of these families are members of a grade within subphylum Bryophytina basal to subclass Bryidae. Heinrichsiella is the oldest member of this grade by at least 15 million years. Conclusions. Heinrichsiella patagonica is the first report of a moss from the Jurassic Deseado Massif hydrothermal cherts of Patagonia. This fossil reveals that stem group members of extant acrocarpous moss families lived during the Jurassic, implicating the Jurassic as a critical time for understanding the evolution of higher-level moss taxa.</t>
  </si>
  <si>
    <t>[Bippus, Alexander C.] Oregon State Univ, Dept Bot &amp; Plant Pathol, Corvallis, OR 97331 USA; [Savoretti, Adolfina] Ctr Austral Invest Cient, Ushuaia, Tierra Del Fueg, Argentina; [Savoretti, Adolfina] Consejo Nacl Invest Cient &amp; Tecn, Ushuaia, Tierra Del Fueg, Argentina; [Escapa, Ignacio H.] Museo Paleontol Egidio Feruglio, Trelew, Chubut, Argentina; [Garcia-Massini, Juan] Consejo Nacl Invest Cient &amp; Tecn, Ctr Reg Invest Cient &amp; Transferencia Tecnol CRILA, Anillaco, La Rioja, Argentina; [Guido, Diego] Univ Nacl La Plata, CONICET, Inst Recursos Minerales, La Plata, Buenos Aires, Argentina</t>
  </si>
  <si>
    <t>Oregon State University; Consejo Nacional de Investigaciones Cientificas y Tecnicas (CONICET); Consejo Nacional de Investigaciones Cientificas y Tecnicas (CONICET); Consejo Nacional de Investigaciones Cientificas y Tecnicas (CONICET); National University of La Plata</t>
  </si>
  <si>
    <t>Bippus, AC (corresponding author), Oregon State Univ, Dept Bot &amp; Plant Pathol, Corvallis, OR 97331 USA.</t>
  </si>
  <si>
    <t>bippusa@oregonstate.edu</t>
  </si>
  <si>
    <t>E., Ignacio/AAA-3569-2021</t>
  </si>
  <si>
    <t>Guido, Diego/0000-0003-4696-5644</t>
  </si>
  <si>
    <t>National Science Foundation [1546593]; Oregon State University Provost's Fellowship; Concejo Nacional de Investigaciones Cientificas yTecnicas (CONICET); Ministerio de Ciencia, Tecnologia e Innovacion Productiva (MINCyT) [PICT 20143496]; Direct For Education and Human Resources; Division Of Graduate Education [1546593] Funding Source: National Science Foundation</t>
  </si>
  <si>
    <t>National Science Foundation(National Science Foundation (NSF)); Oregon State University Provost's Fellowship; Concejo Nacional de Investigaciones Cientificas yTecnicas (CONICET)(Consejo Nacional de Investigaciones Cientificas y Tecnicas (CONICET)); Ministerio de Ciencia, Tecnologia e Innovacion Productiva (MINCyT); Direct For Education and Human Resources; Division Of Graduate Education(National Science Foundation (NSF)NSF - Directorate for STEM Education (EDU))</t>
  </si>
  <si>
    <t>This article is dedicated to Gar W. Rothwell, Ohio University and Oregon State University, whose discovery of permineralized bryophyte gametophytes in Cretaceous marine carbonate concretions has deeply enriched our understanding of bryophyte evolution and inspired us to search for permineralized bryophyte gametophytes in the Jurassic cherts of the Deseado Massif. We thank Gar W. Rothwell and Ruth A. Stockey, Oregon State University; Misha Ignatov, Russian Academy of SciencesMoscow; andMihai Tomescu, Humboldt StateUniversity, for insightful discussions. We also thank Kelly C. Pfeiler for collecting living material of Timmiella crassinervis. Special thanks to the Secretaria de Cultura of Santa Cruz Province for the authorization to study the geothermal deposits of the Deseado Massif. This work was funded by a National Science Foundation Graduate Research Fellowship (1546593) and an Oregon State University Provost's Fellowship to A. C. Bippus and from funds from the Concejo Nacional de Investigaciones Cientificas yTecnicas (CONICET) to J. Garcia-Massini and from the Ministerio de Ciencia, Tecnologia e Innovacion Productiva (MINCyT) to J. Garcia-Massini and D. Guido (PICT 20143496).</t>
  </si>
  <si>
    <t>1058-5893</t>
  </si>
  <si>
    <t>1537-5315</t>
  </si>
  <si>
    <t>INT J PLANT SCI</t>
  </si>
  <si>
    <t>Int. J. Plant Sci.</t>
  </si>
  <si>
    <t>10.1086/704832</t>
  </si>
  <si>
    <t>IZ5IG</t>
  </si>
  <si>
    <t>WOS:000487116000006</t>
  </si>
  <si>
    <t>Jones, ME; Bromvvich, DH; Nicolas, JP; Carrasco, J; Plavcová, E; Zou, X; Wang, SH</t>
  </si>
  <si>
    <t>Jones, Megan E.; Bromvvich, David H.; Nicolas, Julien P.; Carrasco, Jorge; Plavcova, Eva; Zou, Xun; Wang, Sheng-Hung</t>
  </si>
  <si>
    <t>Sixty Years of Widespread Warming in the Southern Middle and High Latitudes (1957-2016)</t>
  </si>
  <si>
    <t>Atmosphere; Antarctica; Southern Hemisphere; Antarctic Oscillation; Climate change; Climate variability</t>
  </si>
  <si>
    <t>SEA-ICE TRENDS; ANNULAR MODE; ANTARCTIC PENINSULA; CLIMATE-CHANGE; PART II; SURFACE; VARIABILITY; HEMISPHERE; CMIP5; SAM</t>
  </si>
  <si>
    <t>Temperature trends across Antarctica over the last few decades reveal strong and statistically significant warming in West Antarctica and the Antarctic Peninsula (AP) contrasting with no significant change overall in East Antarctica. However, recent studies have documented cooling in the AP since the late 1990s. This study aims to place temperature changes in the AP and West Antarctica into a larger spatial and temporal perspective by analyzing monthly station-based surface temperature observations since 1957 across the extratropical Southern Hemisphere, along with sea surface temperature (SST) data and mean sea level pressure reanalysis data. The results confirm statistically significant cooling in station observations and SST trends throughout the AP region since 1999. However, the full 60-yr period shows statistically significant, widespread warming across most of the Southern Hemisphere middle and high latitudes. Positive SST trends broadly reflect these warming trends, especially in the midlatitudes. After confirming the importance of the southern annular mode (SAM) on southern high-latitude climate variability, the influence is removed from the station temperature records, revealing statistically significant background warming across all of the extratropical Southern Hemisphere. Antarctic temperature trends in a suite of climate models from phase 5 of the Coupled Model Intercomparison Project (CMIP5) are then investigated. Consistent with previous work the CMIP5 models warm Antarctica at the background temperature rate that is 2 times faster than that observed. However, removing the SAM influence from both CMIP5 and observed temperatures results in Antarctic trends that differ only modestly, perhaps due to natural multidecadal variability remaining in the observations.</t>
  </si>
  <si>
    <t>[Jones, Megan E.; Bromvvich, David H.; Nicolas, Julien P.; Zou, Xun; Wang, Sheng-Hung] Ohio State Univ, Polar Meteorol Grp, Byrd Polar &amp; Climate Res Ctr, Columbus, OH 43210 USA; [Jones, Megan E.; Bromvvich, David H.; Zou, Xun] Ohio State Univ, Dept Geog, Atmospher Sci Program, Columbus, OH 43210 USA; [Carrasco, Jorge] Univ Magallanes, Ctr Invest GAIA Antartica, Punta Arenas, Chile; [Plavcova, Eva] Acad Sci Czech Republ, Inst Atmospher Phys, Prague, Czech Republic; [Jones, Megan E.] Natl Weather Serv, Bismarck, ND USA; [Nicolas, Julien P.] European Ctr Medium Range Weather Forecasts, Reading, Berks, England</t>
  </si>
  <si>
    <t>University System of Ohio; Ohio State University; University System of Ohio; Ohio State University; Universidad de Magallanes; Czech Academy of Sciences; Institute of Atmospheric Physics of the Czech Academy of Sciences; National Oceanic Atmospheric Admin (NOAA) - USA; European Centre for Medium-Range Weather Forecasts (ECMWF)</t>
  </si>
  <si>
    <t>Bromvvich, DH (corresponding author), Ohio State Univ, Polar Meteorol Grp, Byrd Polar &amp; Climate Res Ctr, Columbus, OH 43210 USA.;Bromvvich, DH (corresponding author), Ohio State Univ, Dept Geog, Atmospher Sci Program, Columbus, OH 43210 USA.</t>
  </si>
  <si>
    <t>bromwich@polarmet1.mps.ohio-state.edu</t>
  </si>
  <si>
    <t>Carrasco, Jorge/AAC-4799-2021; Carrasco, Jorge/ACG-6766-2022; Plavcova, Eva Pejchova/H-6308-2014; zou, xun/AAV-1306-2020; zou, xun/I-2438-2015</t>
  </si>
  <si>
    <t>Carrasco, Jorge/0000-0003-2154-5483; Carrasco, Jorge/0000-0003-2154-5483; zou, xun/0000-0003-1620-3198</t>
  </si>
  <si>
    <t>NSF [PLR1341695, PLR1443443]; Ohio State University Department of Geography</t>
  </si>
  <si>
    <t>NSF(National Science Foundation (NSF)); Ohio State University Department of Geography</t>
  </si>
  <si>
    <t>This research was supported by NSF Grants PLR1341695 and PLR1443443. M.E. Jones was primarily funded as a Graduate Teaching Associate with the Ohio State University Department of Geography. This is contribution number 1582 of Byrd Polar and Climate Center. Temperature time series for Diego Ramirez, Evangelistas, and Punta Dungeness are available from PANGAEA at https://doi.pangaea.de/10.1594/PANGAEA.893166.</t>
  </si>
  <si>
    <t>10.1175/JCLI-D-18-0565.1</t>
  </si>
  <si>
    <t>IY2ZL</t>
  </si>
  <si>
    <t>WOS:000486261000001</t>
  </si>
  <si>
    <t>Gossart, A; Helsen, S; Lenaerts, JTM; Vanden Broucke, S; van Lipzig, NPM; Souverijns, N</t>
  </si>
  <si>
    <t>Gossart, A.; Helsen, S.; Lenaerts, J. T. M.; Vanden Broucke, S.; van Lipzig, N. P. M.; Souverijns, N.</t>
  </si>
  <si>
    <t>An Evaluation of Surface Climatology in State-of-the-Art Reanalyses over the Antarctic Ice Sheet</t>
  </si>
  <si>
    <t>Climate models; Data assimilation; Model comparison; Model evaluation; performance; Reanalysis data; Regional models</t>
  </si>
  <si>
    <t>BOUNDARY-LAYER SIMULATIONS; DRONNING MAUD LAND; WEST ANTARCTICA; MASS-BALANCE; SNOW ACCUMULATION; MODEL; SHELF; TEMPERATURES; VARIABILITY</t>
  </si>
  <si>
    <t>In this study, we evaluate output of near-surface atmospheric variables over the Antarctic Ice Sheet from four reanalyses: the new European Centre for Medium-Range Weather Forecasts ERA-5 and its predecessor ERA-Interim, the Climate Forecast System Reanalysis (CFSR), and the Modern-Era Retrospective Analysis for Research and Applications, version 2 (MERRA-2). The near-surface temperature, wind speed, and relative humidity are compared with datasets of in situ observations, together with an assessment of the simulated surface mass balance (approximated by precipitation minus evaporation). No reanalysis clearly stands out as the best performing for all areas, seasons, and variables, and each of the reanalyses displays different biases. CFSR strongly overestimates the relative humidity during all seasons whereas ERA-5 and MERRA-2 (and, to a lesser extent, ERA-Interim) strongly underestimate relative humidity during winter. ERA-5 captures the seasonal cycle of near-surface temperature best and shows the smallest bias relative to the observations. The other reanalyses show a general temperature underestimation during the winter months in the Antarctic interior and overestimation in the coastal areas. All reanalyses underestimate the mean near-surface winds in the interior (except MERRA-2) and along the coast during the entire year. The winds at the Antarctic Peninsula are overestimated by all reanalyses except MERRA-2. All models are able to capture snowfall patterns related to atmospheric rivers, with varying accuracy. Accumulation is best represented by ERA-5, although it underestimates observed surface mass balance and there is some variability in the accumulation over the different elevation classes, for all reanalyses.</t>
  </si>
  <si>
    <t>[Gossart, A.; Helsen, S.; Vanden Broucke, S.; van Lipzig, N. P. M.; Souverijns, N.] Katholieke Univ Leuven, Dept Earth &amp; Environm Sci, Leuven, Belgium; [Lenaerts, J. T. M.] Univ Colorado, Dept Atmospher &amp; Ocean Sci, Boulder, CO 80309 USA</t>
  </si>
  <si>
    <t>KU Leuven; University of Colorado System; University of Colorado Boulder</t>
  </si>
  <si>
    <t>Gossart, A (corresponding author), Katholieke Univ Leuven, Dept Earth &amp; Environm Sci, Leuven, Belgium.</t>
  </si>
  <si>
    <t>alexandra.gossart@kuleuven.be</t>
  </si>
  <si>
    <t>Souverijns, Niels/AAB-2142-2019; Lenaerts, Jan/D-9423-2012; Gossart, Alexandra/AAK-8903-2020; van Lipzig, Nicole/ABF-2964-2021</t>
  </si>
  <si>
    <t>Souverijns, Niels/0000-0003-4695-9754; Lenaerts, Jan/0000-0003-4309-4011; Gossart, Alexandra/0000-0002-1927-2685; van Lipzig, Nicole/0000-0003-2899-4046</t>
  </si>
  <si>
    <t>Belgian Science Policy Office (BELSPO) [R/143/A2/AEROCLOUD]; Research Foundation Flanders (FWO) [G0C2215N]; EOS programme of the National Fund for Scientific Research (NFSR) [FNRS EOS 30454083]; University of Wisconsin-Madison Automatic Weather Station Program (NSF) [ANT-1543305]</t>
  </si>
  <si>
    <t>Belgian Science Policy Office (BELSPO)(Belgian Federal Science Policy Office); Research Foundation Flanders (FWO)(FWO); EOS programme of the National Fund for Scientific Research (NFSR); University of Wisconsin-Madison Automatic Weather Station Program (NSF)</t>
  </si>
  <si>
    <t>This work was supported by the Belgian Science Policy Office (BELSPO; Grant R/143/A2/AEROCLOUD) and the Research Foundation Flanders (FWO; Grant G0C2215N). It was also supported by the EOS programme of the National Fund for Scientific Research (NFSR) through the project FNRS EOS 30454083 Decadal predictability and variability of polar climate: The role of atmosphere-oceancryosphere multiscale interactions (PARAMOUR)''. We thank Wim Boot, Carleen Reijmer, and Michiel van den Broeke (Institute for Marine and Atmospheric Research Utrecht) for the development of the automatic weather stations, technical support, and raw data processing. Part of the observational data was obtained from MeteoClimatological Observatory atMario Zucchelli Station and Victoria Land'' of PNRA (http://www.climantartide.it) and the Australian Antarctic Division Glaciology Program. The authors appreciate the support of the University of Wisconsin-Madison Automatic Weather Station Program for the dataset, data display, and information (NSF Grant ANT-1543305).</t>
  </si>
  <si>
    <t>10.1175/JCLI-D-19-0030.1</t>
  </si>
  <si>
    <t>WOS:000486261000002</t>
  </si>
  <si>
    <t>Sharawy, ZZ; Hufnagl, M; Temming, A</t>
  </si>
  <si>
    <t>Sharawy, Zaki Zaki; Hufnagl, Marc; Temming, Axel</t>
  </si>
  <si>
    <t>A condition index based on dry weight as a tool to estimate in-situ moult increments of decapod shrimp: Investigating the effects of sex, year and measuring methods in brown shrimp (Crangon crangon)</t>
  </si>
  <si>
    <t>JOURNAL OF SEA RESEARCH</t>
  </si>
  <si>
    <t>Crangon crangon; North Sea; Growth increment; Intermoult period; Condition based on dry weight; Sex</t>
  </si>
  <si>
    <t>KRILL EUPHAUSIA-SUPERBA; ANTARCTIC KRILL; COMMON SHRIMP; GROWTH; TEMPERATURE; FISHERY; SUMMER; SIZE</t>
  </si>
  <si>
    <t>The determination of in situ growth rates in crustaceans is a major obstacle for stock assessment, especially in short lived small shrimp species such as Crangon crangon. Here a new method is presented, which uses a condition index based on dry weight to predict growth increments. The method is based on a simple equation relating dry weights of shrimp and exuvia directly after moult with length measurements before and after moult. The parameter estimation of the model requires controlled moult experiments in the laboratory. In total 272 individuals moulted successfully within the first 2 days after capture, hence the increments reflected the feeding situation of the prior feeding period in the field. The results confirmed the validity of the method with data from two different years and demonstrated that in C. crangon the model parameters differ significantly between the two sexes. As a side product also moult intervals were estimated as a function of length and temperature. Moult increments were relatively shorter and more variable than previously found.</t>
  </si>
  <si>
    <t>[Sharawy, Zaki Zaki] NIOF, Suez, Egypt; [Hufnagl, Marc; Temming, Axel] Inst Marine Ecosyst &amp; Fisheries Sci IMF, Hamburg, Germany</t>
  </si>
  <si>
    <t>Egyptian Knowledge Bank (EKB); National Institute of Oceanography &amp; Fisheries (NIOF)</t>
  </si>
  <si>
    <t>Temming, A (corresponding author), Inst Marine Ecosyst &amp; Fisheries Sci IMF, Hamburg, Germany.</t>
  </si>
  <si>
    <t>atemming@uni-hamburg.de</t>
  </si>
  <si>
    <t>Sharawy, Zaki Zaki/AAQ-6237-2021; Hufnagl, Marc/B-4511-2011</t>
  </si>
  <si>
    <t>Sharawy, Zaki Zaki/0000-0003-2876-3176;</t>
  </si>
  <si>
    <t>Egyptian government</t>
  </si>
  <si>
    <t>The first author is grateful for a PhD grant of the Egyptian government.</t>
  </si>
  <si>
    <t>1385-1101</t>
  </si>
  <si>
    <t>1873-1414</t>
  </si>
  <si>
    <t>J SEA RES</t>
  </si>
  <si>
    <t>J. Sea Res.</t>
  </si>
  <si>
    <t>10.1016/j.seares.2019.05.004</t>
  </si>
  <si>
    <t>IY4KB</t>
  </si>
  <si>
    <t>WOS:000486358800001</t>
  </si>
  <si>
    <t>Sanhueza, C; Fuentes, F; Cortés, DI; Bascunan-Godoy, L; Sáez, PL; Bravo, LA; Cavieres, LA</t>
  </si>
  <si>
    <t>Sanhueza, Carolina; Fuentes, Francisca; Cortes, Dan Iela; Bascunan-Godoy, Luisa; Saez, Patricia L.; Bravo, Leon A.; Cavieres, Lohengrin A.</t>
  </si>
  <si>
    <t>Contrasting thermal acclimation of leaf dark respiration and photosynthesis of Antarctic vascular plant species exposed to nocturnal warming</t>
  </si>
  <si>
    <t>PHYSIOLOGIA PLANTARUM</t>
  </si>
  <si>
    <t>COLOBANTHUS-QUITENSIS; TEMPERATURE RESPONSE; ELECTRON-TRANSPORT; FOLIAR RESPIRATION; COLD-ACCLIMATION; ALPINE MEADOW; CARBON; LEAVES; NITROGEN; GROWTH</t>
  </si>
  <si>
    <t>Leaf respiration and photosynthesis will respond differently to an increase in temperature during night, which can be more relevant in sensitive ecosystems such as Antarctica. We postulate that the plant species able to colonize the Antarctic Peninsula - Colobanthus quitensis (Kunth) Bartl. and Deschampsia antarctica Desv. - are able to acclimate their foliar respiration and to maintain photosynthesis under nocturnal warming to sustain a positive foliar carbon balance. We conducted a laboratory experiment to evaluate the effect of time of day (day and night) and nocturnal warming on dark respiration. Short (E-0 and Q(10)) and long-term acclimation of respiration, leaf carbohydrates, photosynthesis (A(sat)) and foliar carbon balance (R/A) were evaluated. The results suggest that the two species have differential thermal acclimation respiration, where D. antarctica showed more thermosensitivity to short-term changes in temperature than C. quitensis. Experimental nocturnal warming affected respiration at daytime differentially between the two species, with a significant increase of R-10 and A(sat) in D. antarctica, while no changes on respiration were observed in C. quitensis. Long thermal treatments of the plants indicated that nocturnal but not diurnal respiration could acclimate in both species, and to a greater extent in C. quitensis. Non-structural carbohydrates were related with respiration in C. quitensis but not in D. antarctica, suggesting that respiration in the former species is likely controlled by total soluble sugars and starch during day and night, respectively. Finally, foliar carbon balance was differentially improved under warming conditions in Antarctic plants by different mechanisms, with C. quitensis deploying respiratory acclimation, while D. antarctica increased its A(sat.)</t>
  </si>
  <si>
    <t>[Sanhueza, Carolina; Bascunan-Godoy, Luisa; Cavieres, Lohengrin A.] Univ Concepcion, Fac Ciencias Nat &amp; Oceanog, Dept Bot, Concepcion, Chile; [Fuentes, Francisca; Cortes, Dan Iela; Saez, Patricia L.] Univ Concepcion, Fac Ciencias Forestales, Dept Silvicultura, Ctr Biotecnol,Lab Cult Tejidos Vegetales, Concepcion, Chile; [Bascunan-Godoy, Luisa] Univ La Serena, Inst Invest Multidisciplinar Ciencia &amp; Tecnol, Coquimbo, Chile; [Bravo, Leon A.] Univ La Frontera, Fac Ciencias Agr &amp; Forestales, Dept Ciencias Agronom &amp; Recursos Nat, Inst Agroind,Lab Fisiol &amp; Biol Mol Vegetal, Temuco, Chile; [Bravo, Leon A.] Univ La Frontera, Ctr Plant Soil Interact &amp; Nat Resources Biotechno, Sci &amp; Technol Bioresource Nucleus, Temuco, Chile; [Cavieres, Lohengrin A.] Univ Chile, Inst Ecol &amp; Biodiversidad IEB, Fac Ciencias, Dept Ciencias Ecol, Santiago, Chile</t>
  </si>
  <si>
    <t>Universidad de Concepcion; Universidad de Concepcion; Universidad de La Serena; Universidad de La Frontera; Universidad de La Frontera; Universidad de Chile</t>
  </si>
  <si>
    <t>Sanhueza, C (corresponding author), Univ Concepcion, Fac Ciencias Nat &amp; Oceanog, Dept Bot, Concepcion, Chile.</t>
  </si>
  <si>
    <t>csanhuez@udec.cl</t>
  </si>
  <si>
    <t>Bravo, León/AAO-8437-2020; Sanhueza, Carolina/JQW-9959-2023; Sanhueza, Carolina/AAG-7456-2019; Cavieres, Lohengrin A./A-9542-2010; Godoy, Luisa Bascunan/AAF-2978-2019</t>
  </si>
  <si>
    <t>Bravo, León/0000-0003-4705-4842; Sanhueza, Carolina/0000-0002-1564-2490; Cavieres, Lohengrin A./0000-0001-9122-3020; Godoy, Luisa Bascunan/0000-0001-8346-7295</t>
  </si>
  <si>
    <t>National Fund for Scientific and Technological Development CONICYT/FONDECYT/Postdoctoral Grant [N3150221]; CONICYT-PIA [ART 1102]; Chilean Antarctic Institute (INACH); Polish Academy of Sciences; [CONICYT-PIA AFB 170008]</t>
  </si>
  <si>
    <t>National Fund for Scientific and Technological Development CONICYT/FONDECYT/Postdoctoral Grant; CONICYT-PIA; Chilean Antarctic Institute (INACH); Polish Academy of Sciences;</t>
  </si>
  <si>
    <t>This research was funded by The National Fund for Scientific and Technological Development CONICYT/FONDECYT/Postdoctoral Grant N3150221, CONICYT-PIA ART 1102 and The Chilean Antarctic Institute (INACH). L.C. also acknowledge financial support from the grant CONICYT-PIA AFB 170008. Special thanks to the Arctowski Station crew and the Polish Academy of Sciences for their support and help during our field work. The authors thank Dr Stephanie Searle for English editing. Permits for entrance and plant collection in the ASPA 128 were provided by INACH.</t>
  </si>
  <si>
    <t>0031-9317</t>
  </si>
  <si>
    <t>1399-3054</t>
  </si>
  <si>
    <t>PHYSIOL PLANTARUM</t>
  </si>
  <si>
    <t>Physiol. Plant.</t>
  </si>
  <si>
    <t>10.1111/ppl.12881</t>
  </si>
  <si>
    <t>IY2CZ</t>
  </si>
  <si>
    <t>WOS:000486199300005</t>
  </si>
  <si>
    <t>Pertierra, LR; Hughes, KA</t>
  </si>
  <si>
    <t>Pertierra, Luis R.; Hughes, Kevin A.</t>
  </si>
  <si>
    <t>Evaluating ecosystem services in Antarctica - why are we falling behind?</t>
  </si>
  <si>
    <t>Hughes, Kevin/JVZ-0793-2024; Pertierra, Luis R./K-3727-2017</t>
  </si>
  <si>
    <t>Pertierra, Luis R./0000-0002-2232-428X</t>
  </si>
  <si>
    <t>NERC [bas010011] Funding Source: UKRI</t>
  </si>
  <si>
    <t>10.1017/S0954102019000312</t>
  </si>
  <si>
    <t>WOS:000508355900001</t>
  </si>
  <si>
    <t>Florencio, M; Lobo, JM; Bini, LM</t>
  </si>
  <si>
    <t>Florencio, Margarita; Lobo, Jorge M.; Bini, Luis Mauricio</t>
  </si>
  <si>
    <t>Biases in global effects of exotic species on local invertebrates: a systematic review</t>
  </si>
  <si>
    <t>Arthropods; Biogeographical regions; Human disturbance; Insects; Invader impacts; Trophic groups</t>
  </si>
  <si>
    <t>POTENTIAL CONSERVATION VALUE; INVASIVE ALIEN PLANTS; BIOLOGICAL INVASIONS; ECOLOGICAL IMPACTS; SONORAN DESERT; COMMUNITIES; METAANALYSIS; PATTERNS; CLIMATE; TERRESTRIAL</t>
  </si>
  <si>
    <t>Historical gaps and biases in the literature may have influenced the current knowledge of the impacts of invaders on global biodiversity. We performed a systematic review and compiled the main gaps and biases in the literature and the reported negative, neutral and positive effects of exotic species on local invertebrates worldwide. We analysed the relation of these reported effects to the biogeographical origin of the exotic species, the environmental characteristics of the invaded area, the trophic level of the exotic species and of the invaded local fauna, and the elapsed time after first introduction. We analysed 1276 publications comprising 2984 study cases. From these, 1786 cases included control situations (without exotics) and provided quantitative supporting evidence of the effects of exotic species on local invertebrates. The main gaps in the literature included tropical and arid climates, estuaries and marine ecosystems, as well as exotic species coming from Neotropical, Australian, Oriental, Ethiopian and Antarctic regions. Carnivorous and herbivorous species were underreported as exotic species and as impacted invertebrates. The considered variables were mostly unrelated to the reported effects, suggesting that the effects of exotic species on local invertebrates are heterogeneous and not unidirectional. Many impacted invertebrates were assemblages of undefined composition in terms of the native or exotic nature of the invaded organisms. Further avenues to reduce the identified biases in the current knowledge about the effects of exotic species on local invertebrates are also indicated.</t>
  </si>
  <si>
    <t>[Florencio, Margarita; Bini, Luis Mauricio] Univ Fed Goias, Inst Ciencias Biol, Dept Ecologia, Goiania, Go, Brazil; [Florencio, Margarita] Univ Alcala, Dept Ciencias Vida, Madrid 28805, Spain; [Florencio, Margarita] UAM, Ctr Invest Biodiversidad &amp; Cambio Global, CIBC, Madrid 28049, Spain; [Florencio, Margarita] Univ Autonoma Madrid, Dept Ecol, Madrid, Spain; [Lobo, Jorge M.] CSIC, Museo Nacl Ciencias Nat, Dept Biogeog &amp; Cambio Global, Madrid 28006, Spain</t>
  </si>
  <si>
    <t>Universidade Federal de Goias; Universidad de Alcala; Autonomous University of Madrid; Autonomous University of Madrid; Consejo Superior de Investigaciones Cientificas (CSIC); CSIC - Museo Nacional de Ciencias Naturales (MNCN)</t>
  </si>
  <si>
    <t>Florencio, M (corresponding author), Univ Fed Goias, Inst Ciencias Biol, Dept Ecologia, Goiania, Go, Brazil.</t>
  </si>
  <si>
    <t>mflorenciodiaz@gmail.com</t>
  </si>
  <si>
    <t>Bini, Luis Mauricio/D-5865-2013; Florencio, Margarita/J-5566-2016; Lobo, Jorge M./E-2309-2013</t>
  </si>
  <si>
    <t>Bini, Luis Mauricio/0000-0003-3398-9399; Florencio, Margarita/0000-0002-6688-7770; Lobo, Jorge M./0000-0002-3152-4769</t>
  </si>
  <si>
    <t>Conselho Nacional de Desenvolvimento Cientifico e Tecnologico-CNPq [401045/2014-5]; program Ciencia sem Fronteiras; Universidad de Alcala; Universidad Autonoma de Madrid; National Institutes for Science and Technology (INCT) in Ecology, Evolution and Biodiversity Conservation (MCTIC/CNPq, FAPEG) [465610/2014-5]; CNPq [304314/2014-5]</t>
  </si>
  <si>
    <t>Conselho Nacional de Desenvolvimento Cientifico e Tecnologico-CNPq(Conselho Nacional de Desenvolvimento Cientifico e Tecnologico (CNPQ)); program Ciencia sem Fronteiras; Universidad de Alcala; Universidad Autonoma de Madrid; National Institutes for Science and Technology (INCT) in Ecology, Evolution and Biodiversity Conservation (MCTIC/CNPq, FAPEG); CNPq(Conselho Nacional de Desenvolvimento Cientifico e Tecnologico (CNPQ))</t>
  </si>
  <si>
    <t>The MF's grant was supported by the Conselho Nacional de Desenvolvimento Cientifico e Tecnologico-CNPq (401045/2014-5), program Ciencia sem Fronteiras, and by the Universidad de Alcala. MF's contract is currently supported by the Universidad Autonoma de Madrid. We are grateful to Bruno R. Ribeiro, Geiziane Tessarolo and Marcelo Weber for helping with map formatting, and to Javier Seoane Pinilla and Elena Velado Alonso for statistical suggestions. Regular meetings with Asuncion Saldana, Pilar Castro-Diez and Alvaro Alonso (group of Invasive Species of the Universidad de Alcala) also provided useful comments for the elaboration of an early version of this manuscript. LMB has been supported by the National Institutes for Science and Technology (INCT) in Ecology, Evolution and Biodiversity Conservation (MCTIC/CNPq, 465610/2014-5, FAPEG) and by a CNPq Grant (304314/2014-5).</t>
  </si>
  <si>
    <t>10.1007/s10530-019-02062-1</t>
  </si>
  <si>
    <t>IU6JJ</t>
  </si>
  <si>
    <t>WOS:000483692300004</t>
  </si>
  <si>
    <t>Moles, J; Avila, C; Malaquias, MAE</t>
  </si>
  <si>
    <t>Moles, Juan; Avila, Conxita; Malaquias, Manuel Antonio E.</t>
  </si>
  <si>
    <t>Unmasking Antarctic mollusc lineages: novel evidence from philinoid snails (Gastropoda: Cephalaspidea)</t>
  </si>
  <si>
    <t>CLADISTICS</t>
  </si>
  <si>
    <t>OPISTHOBRANCHIA CEPHALASPIDEA; SYSTEMATIC REVISION; ATLANTIC-OCEAN; PACIFIC-OCEAN; GENUS; SEA; PHYLOGENY; PLATYHELMINTHES; INVERTEBRATES; BIOGEOGRAPHY</t>
  </si>
  <si>
    <t>Since its introduction, the genus Philine has epitomized numerous mollusc snails with strong morphological convergence. Recently, a molecular analysis including a wide taxon sampling split this group into four non-sister families. Although they are especially diverse in cold and deep waters, no comprehensive studies are available for the Antarctic counterparts. Here, our morpho-anatomical and molecular data suggest major changes in the systematics of the group. From the eight known species, two are synonymized, Antarctophiline amoena with A. alata, and A. gouldi with A. gibba, and two are transferred to the genus Antarctophiline, namely A. apertissima comb.n. and A. falklandica comb.n. Two new species are described, A. easmithi sp.n. and A. amundseni sp.n. from different depths in the eastern Weddell Sea. The elusive P. antarctica from the Ross Sea was found in the Weddell Sea and Waegelea gen.n. is erected to place this species. Both phylogenetic and morphological data support the erection of Antarctophilinidae fam.n. to embrace most of the Philinoidea species described in the Southern Ocean. Only two species of Philinidae are found in Antarctic waters, Spiraphiline bathyalis gen. et sp.n. from bathyal depths in the Weddell Sea and S. kerguelensis comb.n. from the Kerguelen Islands. In light of the new data provided for all described species and the phylogenetic framework proposed herein, we briefly discuss the diversification and biogeographical patterns of Antarctic philinoid snails. Overall, antarctophilinid species seem to have restricted and grossly nonoverlapping distributions suggesting allopatric speciation connected possibly to geographical or bathymetric isolation.</t>
  </si>
  <si>
    <t>[Moles, Juan] Harvard Univ, Dept Organism &amp; Evolutionary Biol, Museum Comparat Zool, 26 Oxford St, Cambridge, MA 02138 USA; [Avila, Conxita] Univ Barcelona, Dept Evolutionary Biol Ecol &amp; Environm Sci, Fac Biol, 643 Diagonal Av, E-08028 Barcelona, Catalonia, Spain; [Avila, Conxita] Univ Barcelona, Biodivers Res Inst IRBio, 643 Diagonal Av, E-08028 Barcelona, Catalonia, Spain; [Malaquias, Manuel Antonio E.] Univ Bergen, Phylogenet Systemat &amp; Evolut Res Grp, Sect Taxon &amp; Evolut, Dept Nat Hist,Univ Musewn Bergen, PB7800, N-5020 Bergen, Norway</t>
  </si>
  <si>
    <t>Harvard University; University of Barcelona; University of Barcelona; University of Bergen</t>
  </si>
  <si>
    <t>Moles, J (corresponding author), Harvard Univ, Dept Organism &amp; Evolutionary Biol, Museum Comparat Zool, 26 Oxford St, Cambridge, MA 02138 USA.</t>
  </si>
  <si>
    <t>moles.sanchez@gmail.com</t>
  </si>
  <si>
    <t>Avila, Conxita/B-9466-2008; Moles, Juan/H-4786-2018; Malaquias, Manuel/N-2450-2019</t>
  </si>
  <si>
    <t>Avila, Conxita/0000-0002-5489-8376; Moles, Juan/0000-0003-4511-4055; Malaquias, Manuel/0000-0002-9668-945X</t>
  </si>
  <si>
    <t>Ministerio de Economía y Competitividad [ECOQUIM (REN2003-00545, REN2002-12006E, CGL2004-03), ESEPAC (ANT97-0273), ACTIQUIM (CGL2007-65453, CTM2010-17415), DISTANTCOM (CTM2013-42667)] Funding Source: Medline; Fundación Ramón Areces Funding Source: Medline; Universitat de Barcelona Funding Source: Medline</t>
  </si>
  <si>
    <t>Ministerio de Economía y Competitividad; Fundación Ramón Areces; Universitat de Barcelona</t>
  </si>
  <si>
    <t>0748-3007</t>
  </si>
  <si>
    <t>1096-0031</t>
  </si>
  <si>
    <t>Cladistics</t>
  </si>
  <si>
    <t>10.1111/cla.12364</t>
  </si>
  <si>
    <t>Evolutionary Biology; Zoology</t>
  </si>
  <si>
    <t>JA2TI</t>
  </si>
  <si>
    <t>WOS:000487670000003</t>
  </si>
  <si>
    <t>Aguirre, ML; Richiano, S; Voelker, AHL; Dettman, DL; Schöne, BR; Panarello, HO; Donato, M; Peral, LG; Castro, LE; Medina, R</t>
  </si>
  <si>
    <t>Aguirre, M. L.; Richiano, S.; Voelker, A. H. L.; Dettman, D. L.; Schoene, B. R.; Panarello, H. O.; Donato, M.; Gomez Peral, L.; Castro, L. E.; Medina, R.</t>
  </si>
  <si>
    <t>Late Quaternary nearshore molluscan patterns from Patagonia: Windows to southern southwestern Atlantic-Southern Ocean palaeoclimate and, biodiversity changes?</t>
  </si>
  <si>
    <t>Pleistocene; Holocene; P. antlqua; T. atra; Palaeoproductivity; ocean fronts; Mar Argentine</t>
  </si>
  <si>
    <t>ANTARCTIC INTERMEDIATE WATER; LAST GLACIAL MAXIMUM; METABOLIC CARBON CONTRIBUTION; SAN-JORGE GULF; ICE-SHEET; SEA-LEVEL; CLIMATE-CHANGE; COASTAL EVOLUTION; ENVIRONMENTAL-CONDITIONS; CONTINENTAL-SHELF</t>
  </si>
  <si>
    <t>Varied approaches (palaeobiodiversity, palaeobiogeography, bioerosion, geochemistry) to unique Patagonian late Quaternary molluscan assemblages in the southwestern Atlantic, with ages especially from interglacial Marine Isotope Stage (MIS) 5e and MIS 1, provide large-scale and long-temporal palaeoenvironmental data for the southern SWA. Together with new patterns of delta O-18 and delta C-13 variations in modern, mid-Holocene, and Late to Middle Pleistocene shells of Protothaca antigun (Bivalvia) and the coeval Pleistocene Tegula atra (Gastropoda), the overall sources of evidence illustrate possible responses to recent palaeoclimate and sea-ice changes around the southernmost SWA-western Antarctica, leading to modern conditions. For the mid-Holocene, the influence of the Hypsithermal is confirmed. In the northern Golfo San Matias, the highest delta O-18 and delta C-13 values support higher salinity and sea surface temperatures (SST), and a Golfo San Matias Front stronger than today. Lower delta O-18 values in the northern Golfo San Jorge (GSJ) compared to the Late to Middle Pleistocene suggest warmer mid-Holocene waters, independently supported by thermally anomalous molluscan taxa, geographical shifts of areas of endemism and absence of T. atra (cold water proxy); overall higher delta C-13 values compared to present suggest higher productivity. For the Late to Middle Pleistocene (particularly MIS Se), highest delta C-13 values (relative to modern and mid-Holocene trends) match with the location of tidal fronts and areas of maximum chlorophyll-a concentrations today. Accordingly, these fronts may have been already active and significantly intensified due to the prevailing climate conditions that included colder waters and stronger upwelling from the southern GSJ southwards. This is independently supported by palaeobiogeographical and bioerosion trends and the dominance of the cold water species T. atra during the Pleistocene, which is dispersed from the SE Pacific into the SWA by rafting on kelps and whose occurrence is controlled by SST, light, winds, and nutrient concentration/productivity. Repeated, abrupt climate oscillations during the last glacial cycle with significant impact on SST, ice melting and surface-ocean stratification in the western Antarctica-Weddell Sea-Antarctic Circumpolar Current realm are so far the only available plausible explanations to account for the different mid Holocene and modern patterns, and for the regional disappearance of T. atra after MIS 5e. Further palaeoceanographic research in this key area is needed to understand how all these mechanisms operated in the past, potentially influencing the Patagonian shelf waters and coastal fronts.</t>
  </si>
  <si>
    <t>[Aguirre, M. L.; Richiano, S.; Panarello, H. O.; Donato, M.] Consejo Nacl Invest Cient &amp; Tecn, Lab 6,Calle 64 3, RA-1900 La Plata, Buenos Aires, Argentina; [Aguirre, M. L.; Donato, M.; Gomez Peral, L.] UNLP, Fac Ciencias Nat &amp; Museo FCNyM, Lab 6,Calle 64 3, RA-1900 La Plata, Buenos Aires, Argentina; [Richiano, S.] Inst Patagon Geol &amp; Paleontol CONICET CENPAT, Blvd Brown 2915, Puerto Madryn, Chubut, Argentina; [Voelker, A. H. L.] IPMA, Div Geol &amp; Georecursos Marinhos, Ave Doutor Magalhaes Ramalho 6, P-1495165 Alges, Portugal; [Voelker, A. H. L.] Univ Algarve, Ctr Marine Sci CCMAR, Campus Gambelas, P-8005139 Faro, Portugal; [Dettman, D. L.] Univ Arizona, Dept Geosci, Environm Isotope Lab, Tucson, AZ 85721 USA; [Schoene, B. R.] Johannes Gutenberg Univ Mainz, Inst Geosci, Mainz, Germany; [Panarello, H. O.] CONICET UBA, Inst Geocronol &amp; Geol Aplicada, Buenos Aires, DF, Argentina; [Donato, M.] CONICET FCNYM, Inst Limnol Raul A Ringuelet, La Plata, Buenos Aires, Argentina; [Gomez Peral, L.] CONICET UNLP, Ctr Invest Geol, Diag 113 Esq 64, RA-1900 La Plata, Buenos Aires, Argentina; [Castro, L. E.] FCNyM UNLP, Catedra Geoestadist, Buenos Aires, DF, Argentina; [Medina, R.] Univ Buenos Aires, Fac Ciencias Exactas &amp; Nat, Dept Ciencias Geol, Buenos Aires, DF, Argentina; [Medina, R.] Univ Buenos Aires, Dept Agrimensura, FI, Buenos Aires, DF, Argentina</t>
  </si>
  <si>
    <t>Consejo Nacional de Investigaciones Cientificas y Tecnicas (CONICET); National University of La Plata; Instituto Portugues do Mar e da Atmosfera; Universidade do Algarve; University of Arizona; Johannes Gutenberg University of Mainz; Consejo Nacional de Investigaciones Cientificas y Tecnicas (CONICET); University of Buenos Aires; Consejo Nacional de Investigaciones Cientificas y Tecnicas (CONICET); University of Buenos Aires; University of Buenos Aires</t>
  </si>
  <si>
    <t>Aguirre, ML (corresponding author), Consejo Nacl Invest Cient &amp; Tecn, Lab 6,Calle 64 3, RA-1900 La Plata, Buenos Aires, Argentina.;Aguirre, ML (corresponding author), UNLP, Fac Ciencias Nat &amp; Museo FCNyM, Lab 6,Calle 64 3, RA-1900 La Plata, Buenos Aires, Argentina.</t>
  </si>
  <si>
    <t>maguirre@fcnym.unlp.edu.ar</t>
  </si>
  <si>
    <t>Medina, Rubén/JEP-5494-2023; richiano, sebastian/AAN-9080-2020; GOMEZ PERAL, LUCIA/JBS-5105-2023; Voelker, Antje/C-5427-2012; Schöne, Bernd R/B-6294-2011; Richiano, Sebastian/AAG-7077-2019</t>
  </si>
  <si>
    <t>GOMEZ PERAL, LUCIA/0000-0002-6303-6604; Voelker, Antje/0000-0001-6465-6023; Schöne, Bernd R/0000-0002-6879-1633; Donato, Mariano/0000-0003-2227-0928; Richiano, Sebastian/0000-0002-7386-5684</t>
  </si>
  <si>
    <t>Agencia Nacional de Promocion Cientifica y Tecnologica [PICT 2006-468, PICT 2013-1298]; CONICET [PIP 0080, 0372, 0729]; Universidad Nacional de La Plata [PI N11/587, N11/726]; Universidad Nacional del Sur [PGI 24/H123]; DAAD-Conicet; FCT [IF/01500/2014, UID/Multi/04326/2019]; DFG -Conicet</t>
  </si>
  <si>
    <t>Agencia Nacional de Promocion Cientifica y Tecnologica(ANPCyTSpanish Government); CONICET(Consejo Nacional de Investigaciones Cientificas y Tecnicas (CONICET)); Universidad Nacional de La Plata(National University of La Plata); Universidad Nacional del Sur; DAAD-Conicet; FCT(Fundacao para a Ciencia e a Tecnologia (FCT)); DFG -Conicet(German Research Foundation (DFG))</t>
  </si>
  <si>
    <t>Special thanks are due to Mike Kaplan and Carlos Silva for their valuable and helpful suggestions. Also to F. Marret-Davies for her editorial work. To A. Piola, M. Acha and F. Paparazzo for useful discussions on features of the Mar Argentino and for putting their knowledge at our disposal. To L. Zapata and M. S. Raigemborn, S. Vizcaino and S. Bargo for their help with bibliographic sources. We thank J. O. Codignotto, R. Kokot, J. Hlebzsebitch, P. I. Castellanos, K. Davies, M. Soriano, A. Cortina, J. Heupel, E. Mussachio (+) for their help in the field trips and with logistics. To E. Ducos and L. Mormeneo for their help concerning cleaning and selection of shell materials. To A. Kang and S. Noval for assistance with the SEM photographs. To P. Hearty, T. Algeo, I. Winograd, G. de Lange and E. Gomez for useful comments and bibliography. This work was benefitted by grants from Agencia Nacional de PromociOn Cientifica y Tecnologica (PICT 2006-468, PICT 2013-1298), CONICET (PIP 0080, 0372 and 0729), Universidad Nacional de La Plata (PI N11/587 and N11/726), Universidad Nacional del Sur (PGI 24/H123), and DAAD-Conicet and DFG -Conicet bilateral cooperation projects. A. Voelker acknowledges support from FCT through her Investigador FCT grant (IF/01500/2014) arid CCMAR (UID/Multi/04326/2019).</t>
  </si>
  <si>
    <t>10.1016/j.gloplacha.2019.102990</t>
  </si>
  <si>
    <t>WOS:000488666200008</t>
  </si>
  <si>
    <t>Barbat, MM; Wesche, C; Werhli, AV; Mata, MM</t>
  </si>
  <si>
    <t>Barbat, Mauro M.; Wesche, Christine; Werhli, Adriano V.; Mata, Mauricio M.</t>
  </si>
  <si>
    <t>An adaptive machine learning approach to improve automatic iceberg detection from SAR images</t>
  </si>
  <si>
    <t>ISPRS JOURNAL OF PHOTOGRAMMETRY AND REMOTE SENSING</t>
  </si>
  <si>
    <t>Icebergs; Detection; SAR; Southern Ocean; Machine learning</t>
  </si>
  <si>
    <t>RANDOM FOREST; ANTARCTIC ICEBERGS; CLASSIFICATION; SEA; TRACKING; FEATURES; SIZE; ALGORITHM; REGIONS; COLOR</t>
  </si>
  <si>
    <t>Iceberg distribution, dispersion and melting patterns are fundamental aspects in the balance of heat and freshwater in the Southern Ocean; yet these features are not fully understood. This lack of understanding is, in part, due to the difficulties in accurately identifying icebergs in different environmental conditions. To improve the understanding, reliable iceberg detection tools are necessary to achieve a detailed picture of iceberg drift and disintegration patterns, an thus to gain further information on the freshwater input into the Southern Ocean. Here, we present an accurate automatic large-scale iceberg detection method using an alternative machine learning architecture applied to high resolution Synthetic Aperture Radar (SAR) images. Our method is based on the concept of adaptability and focuses on improving the performance of identifying icebergs in ambiguous environmental contexts with wide radiometric, textural, size and shape variability. The fundamentals of the method are centred on superpixel segmentation, ensemble learning and incremental learning. The method is applied to a dataset containing 586 ENVISAT Advanced SAR images acquired during 2003-2005 (Weddell Sea region) and to the Radarsat-1 Antarctic Mapping Project (RAMP) mosaic, covering the Antarctic wide near coastal zone. These images cover scenes under heterogenous backscattering signatures for all seasons with variable meteorological, oceanographic and acquisition parameters (e.g. band, polarization). Our method is highly adaptable to distinguish icebergs from ambiguous objects hidden in the images. The average false positive rate and miss rate are 2.3 +/- 0.4% and 3.3 +/- 0.4%, respectively. Overall, 9512 icebergs with sizes varying from 0.1 to 4567.82 km(2) are detected with average classification accuracy of 97.5 +/- 0.6%. The results confirm that the method presented here is robust for widespread iceberg detection in the Antarctic seas.</t>
  </si>
  <si>
    <t>[Barbat, Mauro M.; Mata, Mauricio M.] Fed Univ Rio Grande FURG, Inst Oceanog, BR-96203900 Rio Grande, RS, Brazil; [Werhli, Adriano V.] Fed Univ Rio Grande FURG, Comp Sci Ctr, BR-96203900 Rio Grande, RS, Brazil; [Wesche, Christine] Alfred Wegener Inst Polar &amp; Marine Res AWI, D-27570 Bremerhaven, Germany</t>
  </si>
  <si>
    <t>Universidade Federal do Rio Grande; Universidade Federal do Rio Grande; Helmholtz Association; Alfred Wegener Institute, Helmholtz Centre for Polar &amp; Marine Research</t>
  </si>
  <si>
    <t>Barbat, MM (corresponding author), Fed Univ Rio Grande FURG, Inst Oceanog, BR-96203900 Rio Grande, RS, Brazil.</t>
  </si>
  <si>
    <t>maurobarbat@furg.br</t>
  </si>
  <si>
    <t>Barbat, Mauro/AAB-9829-2020; Werhli, Adriano/I-1980-2013; Mata, Mauricio/H-4605-2011</t>
  </si>
  <si>
    <t>Barbat, Mauro/0000-0001-7930-1612; Werhli, Adriano/0000-0001-7107-5024; Mata, Mauricio/0000-0002-9028-8284; Wesche, Christine/0000-0002-9786-4010</t>
  </si>
  <si>
    <t>Brazilian Antarctic Program (PROANTAR) through the Brazilian Ministry of the Environment (MMA); Brazilian Ministry of Science, Technology, Innovation and Communication (MCTIC); Council for Research and Scientific Development of Brazil (CNPq) [442628/2018-8]; CAPES Foundation [AUXPE 1995/2014, 88881.177236/2018-01]; CNPq [140910/2016-6, 306896/2015-0]</t>
  </si>
  <si>
    <t>Brazilian Antarctic Program (PROANTAR) through the Brazilian Ministry of the Environment (MMA); Brazilian Ministry of Science, Technology, Innovation and Communication (MCTIC); Council for Research and Scientific Development of Brazil (CNPq)(Conselho Nacional de Desenvolvimento Cientifico e Tecnologico (CNPQ)Fundacao de Apoio a Pesquisa do Distrito Federal (FAPDF)); CAPES Foundation(Coordenacao de Aperfeicoamento de Pessoal de Nivel Superior (CAPES)); CNPq(Conselho Nacional de Desenvolvimento Cientifico e Tecnologico (CNPQ))</t>
  </si>
  <si>
    <t>This study is a contribution to the activities of the Brazilian High Latitudes Oceanography Group (GOAL) and the Brazilian National Institute of Science and Technology of the Cryosphere (INCT-CRIOSFERA; CNPq 465680/2014-3, FAPERGS 17/2551-0000518-0). The GOAL has been funded by the Brazilian Antarctic Program (PROANTAR) through the Brazilian Ministry of the Environment (MMA), the Brazilian Ministry of Science, Technology, Innovation and Communication (MCTIC), the Council for Research and Scientific Development of Brazil (CNPq; 442628/2018-8), and CAPES Foundation (AUXPE 1995/2014). M. M. Barbat acknowledges the fellowships from CNPq (140910/2016-6) and CAPES Foundation (88881.177236/2018-01). M. M. Mata acknowledges CNPq grant 306896/2015-0. We also thank the European Space Agency (ESA) and the Canadian Cryospheric Information Network (CCIN) for providing the Envisat ASAR images and the RAMP AMM-1 mosaic used in this study. In addition, we have uploaded the source-code for the presented method to the institutional website of Federal University of Rio Grande, Brazil at https://goal.furg.br/producao-cientifica/supplements/202-b2019-icedt-repository.</t>
  </si>
  <si>
    <t>0924-2716</t>
  </si>
  <si>
    <t>1872-8235</t>
  </si>
  <si>
    <t>ISPRS J PHOTOGRAMM</t>
  </si>
  <si>
    <t>ISPRS-J. Photogramm. Remote Sens.</t>
  </si>
  <si>
    <t>10.1016/j.isprsjprs.2019.08.015</t>
  </si>
  <si>
    <t>JA3YP</t>
  </si>
  <si>
    <t>WOS:000487765800018</t>
  </si>
  <si>
    <t>Martinez-Moreno, J; Hogg, AM; Kiss, AE; Constantinou, NC; Morrison, AK</t>
  </si>
  <si>
    <t>Martinez-Moreno, Josue; Hogg, Andrew McC.; Kiss, Andrew E.; Constantinou, Navid C.; Morrison, Adele K.</t>
  </si>
  <si>
    <t>Kinetic Energy of Eddy-Like Features From Sea Surface Altimetry</t>
  </si>
  <si>
    <t>coherent eddies; kinetic energy; eddy tracking</t>
  </si>
  <si>
    <t>ANTARCTIC CIRCUMPOLAR CURRENT; SOUTHERN-OCEAN; MESOSCALE EDDIES; COHERENT VORTICES; WIND STRESS; NORTH-ATLANTIC; VARIABILITY; TRANSPORT; TRENDS; QUANTIFICATION</t>
  </si>
  <si>
    <t>The mesoscale eddy field plays a key role in the mixing and transport of physical and biological properties and redistribution of energy in the ocean. Eddy kinetic energy is commonly defined as the kinetic energy of the time-varying component of the velocity field. However, this definition contains all processes that vary in time, including coherent mesoscale eddies, jets, waves, and large-scale motions. The focus of this paper is on the eddy kinetic energy contained in coherent mesoscale eddies. We present a new method to decompose eddy kinetic energy into oceanic processes. The proposed method uses a new eddy identification algorithm (TrackEddy). This algorithm is based on the premise that the sea level signature of a coherent eddy can be approximated as a Gaussian feature. The eddy Gaussian signature then allows for the calculation of kinetic energy of the eddy field through the geostrophic approximation. TrackEddy has been validated using synthetic sea surface height data and then used to investigate trends of eddy kinetic energy in the Southern Ocean using satellite sea surface height anomaly (AVISO+). We detect an increasing trend of eddy kinetic energy associated with mesoscale eddies in the Southern Ocean. This trend is correlated with an increase in the coherent eddy amplitude and the strengthening of wind stress over the last two decades. Plain Language Summary It is well accepted that climate change results in the intensification of the winds, in particular of those blowing over the Southern Ocean. Despite previous research showing an increase in the high-frequency motions in the Southern Ocean due to the intensification of the winds, we still do not know how swirling vortices of tens to hundreds of kilometers in the ocean have responded to climate change. In this study, we use satellite observations of the sea surface height from 1993 to 2017 to look for changes in the swirling vortices. The focus of our study is on the Southern Ocean as it is one of the areas with more vortices and also plays a key role in controlling the climate. We find that the energy of the vortices has increased over the past two decades. Using our method, we are able to pinpoint that the energy increase occurs due to an increase in the mean amplitude of the vortices rather than in an increase in their number. Finally, the vortices show a clear response to the strengthening of winds in the Southern Ocean.</t>
  </si>
  <si>
    <t>[Martinez-Moreno, Josue; Hogg, Andrew McC.; Kiss, Andrew E.; Constantinou, Navid C.; Morrison, Adele K.] Australian Natl Univ, Res Sch Earth Sci, Canberra, ACT, Australia; [Martinez-Moreno, Josue; Hogg, Andrew McC.; Kiss, Andrew E.; Constantinou, Navid C.; Morrison, Adele K.] Australian Natl Univ, ARC Ctr Excellence Climate Extremes, Canberra, ACT, Australia</t>
  </si>
  <si>
    <t>Martinez-Moreno, J (corresponding author), Australian Natl Univ, Res Sch Earth Sci, Canberra, ACT, Australia.;Martinez-Moreno, J (corresponding author), Australian Natl Univ, ARC Ctr Excellence Climate Extremes, Canberra, ACT, Australia.</t>
  </si>
  <si>
    <t>josue.martinezmoreno@anu.edu.au</t>
  </si>
  <si>
    <t>Moreno, Josué Martínez/AAM-7717-2021; Hogg, Andy/AAZ-8733-2021; Kiss, Andrew E/E-7733-2016; Constantinou, Navid C/GVS-6295-2022; Hogg, Andy McC./A-7553-2011; Morrison, Adele/C-1774-2012</t>
  </si>
  <si>
    <t>Moreno, Josué Martínez/0000-0002-8348-1588; Hogg, Andy/0000-0001-5898-7635; Kiss, Andrew E/0000-0001-8960-9557; Constantinou, Navid C/0000-0002-8149-4094; Hogg, Andy McC./0000-0001-5898-7635; Morrison, Adele/0000-0002-9904-4980</t>
  </si>
  <si>
    <t>Consejo Nacional de Ciencia y Tecnologia (CONACYT), Mexico; Australian Research Council DECRA Fellowship [DE170100184]; CNES; Australian Research Council [DE170100184] Funding Source: Australian Research Council</t>
  </si>
  <si>
    <t>Consejo Nacional de Ciencia y Tecnologia (CONACYT), Mexico(Consejo Nacional de Ciencia y Tecnologia (CONACyT)); Australian Research Council DECRA Fellowship(Australian Research Council); CNES(Centre National D'etudes Spatiales); Australian Research Council(Australian Research Council)</t>
  </si>
  <si>
    <t>The satellite altimeter products were produced by Ssalto/Duacs and distributed by AVISO+, with support from CNES (https://www.aviso.altimetry.fr/en/data/products/seasurface-height-products/global/gridded-sea-level-heights-and-derivedvariables.html). The identified eddies are available in CSV, parquet, HDF5, and netCDF format (https://doi.org/10.25914/5cb6859e4df3e). Some examples on how to load and postprocess the TrackEddy output can be found at the TrackEddy GitHub repository (https://github.com/josuemtzmo/trackeddy). Murray Fang provided constructive criticism on the first draft of this manuscript. We thank the three anonymous reviewers for their insightful comments that increased the quality and clarity of this paper. J. M.-M. was supported by the Consejo Nacional de Ciencia y Tecnologia (CONACYT), Mexico funding. A. K. M. was supported by the Australian Research Council DECRA Fellowship DE170100184. Computations were undertaken on the National Computational Infrastructure (NCI) in Canberra, Australia, which is supported by the Australian Commonwealth Government.</t>
  </si>
  <si>
    <t>10.1029/2019MS001769</t>
  </si>
  <si>
    <t>WOS:000498767000002</t>
  </si>
  <si>
    <t>Fraass, AJ; Leckie, RM; Lowery, CM; DeConto, R</t>
  </si>
  <si>
    <t>Fraass, Andrew J.; Leckie, R. Mark; Lowery, Christopher M.; DeConto, Robert</t>
  </si>
  <si>
    <t>PRECISION IN BIOSTRATIGRAPHY: EVIDENCE FOR A TEMPORARY FLOW REVERSAL IN THE CENTRAL AMERICAN SEAWAY DURING OR AFTER THE OLIGOCENE-MIOCENE TRANSITION</t>
  </si>
  <si>
    <t>ANTARCTIC ICE-SHEET; EQUATORIAL PACIFIC; CALCAREOUS NANNOFOSSILS; GRAPHIC CORRELATION; OCEAN CIRCULATION; DRAKE PASSAGE; SITE U1334; CLIMATE; EVOLUTION; PANAMA</t>
  </si>
  <si>
    <t>The Oligocene-Miocene Transition (OMT) was a time of significant oceanic, climatic, and biotic change, but there is still a great deal we do not understand about its effects, particularly in terms of ocean circulation. The Central American Seaway (CAS) was an important ocean gateway at this time; recent fully coupled modeling results have suggested a possible temporary reversal of surface flow, from westward to eastward, during the OMT. Such a flow reversal would have altered numerous oceanographic properties and the dispersal of marine taxa. Here, we find a mismatch in the timing of the Atlantic vs. Pacific first appearances of the tropical mixed layer planktic foraminifer Paragloborotalia kugleri, a key zonal marker for the OMT. The first appearance ages for P. kugleri from fourteen ocean drilling sites vary from similar to 23.2-23.05 Ma in the Pacific to similar to 23.05-22.7 Ma in the Atlantic. Key requirements for including a site in this compilation are: 1) sampling resolution; 2) independent non-biostratigraphic chronology, such as magnetostratigraphy or orbital tuning; and 3) a preference for shore-based biostratigraphic analyses rather than shipboard estimates. Although we explore alternative explanations, we conclude that, given the restricted nature of the CAS gateway, timing of dispersal, and results from previous modeling efforts, CAS flow reversal is the most parsimonious explanation for the delayed first appearance of P. kugleri in the Atlantic relative to the Pacific. We suggest that after originating in the tropical Pacific, P. kugleri was initially blocked from dispersal into the Atlantic by westward surface circulation through the CAS during the latest Oligocene. During the OMT, circulation reversed and Pacific surface water flowed through the CAS into the Atlantic, allowing P. kugleri to disperse into the Atlantic. Previously published ocean-climate simulations suggest that the cause of this reversed flow may be related to the progressive constriction of Tethys and opening of the Drake Passage at the time of the OMT, compounded by a short-lived glaciation event in Antarctica and possible change in meridional temperature gradient and prevailing wind patterns in the tropics.</t>
  </si>
  <si>
    <t>[Fraass, Andrew J.; Leckie, R. Mark; DeConto, Robert] Univ Massachusetts, Dept Geosci, 627 North Pleasant St,233 Morrill Sci Ctr, Amherst, MA 01003 USA; [Fraass, Andrew J.] Univ Bristol, Sch Earth Sci, Willis Mem Bldg,Queens Rd, Bristol BS8 1RJ, Avon, England; [Lowery, Christopher M.] Univ Texas Austin, Jackson Sch Geosci, Inst Geophys, 2305 Speedway Stop C1160, Austin, TX 78712 USA</t>
  </si>
  <si>
    <t>University of Massachusetts System; University of Massachusetts Amherst; University of Bristol; University of Texas System; University of Texas Austin</t>
  </si>
  <si>
    <t>Fraass, AJ (corresponding author), Univ Massachusetts, Dept Geosci, 627 North Pleasant St,233 Morrill Sci Ctr, Amherst, MA 01003 USA.;Fraass, AJ (corresponding author), Univ Bristol, Sch Earth Sci, Willis Mem Bldg,Queens Rd, Bristol BS8 1RJ, Avon, England.</t>
  </si>
  <si>
    <t>andy.fraass@bristol.ac.uk</t>
  </si>
  <si>
    <t>Fraass, Andrew/0000-0002-2007-3616</t>
  </si>
  <si>
    <t>Loeblich &amp; Tappan Student Research Award from the Cushman Foundation for Foraminiferal Research; Ed Picou Fellowship from the Gulf Coast Section of the Society of Economic Paleontologists and Mineralogists; National Science Foundation [AGS P2C2 1203910]</t>
  </si>
  <si>
    <t>Loeblich &amp; Tappan Student Research Award from the Cushman Foundation for Foraminiferal Research; Ed Picou Fellowship from the Gulf Coast Section of the Society of Economic Paleontologists and Mineralogists; National Science Foundation(National Science Foundation (NSF))</t>
  </si>
  <si>
    <t>The authors would like to acknowledge the participants of scientific ocean drilling, but particularly of Legs 73, 82, 94, 115, 122, 130, 150, 154, and 199 of the Deep Sea Drilling Project, Ocean Drilling Program, and Expedition 342 of the Integrated Ocean Drilling Program. The authors would also like to highlight the vital role that the technical, ship, and support staff play, both off and onshore. This work was improved by Anna von der Heydt, Tracy Aze, Bridget Wade, and three anonymous reviewers. We would also like to thank Susanna Fraass for editorial comments. This work was funded by a Loeblich &amp; Tappan Student Research Award from the Cushman Foundation for Foraminiferal Research, an Ed Picou Fellowship from the Gulf Coast Section of the Society of Economic Paleontologists and Mineralogists, and funding from the National Science Foundation (AGS P2C2 1203910 to PI DeConto and Co-PI Leckie). Additional discussion of individual site stratigraphies can be found in the online appendix (http://www.cushmanfoundation.org/jfr/index.html, item number JFR_DR).</t>
  </si>
  <si>
    <t>10.2113/gsjfr.49.4.357</t>
  </si>
  <si>
    <t>WOS:000492676900001</t>
  </si>
  <si>
    <t>Sickmann, ZT; Schwartz, TM; Malkowski, MA; Dobbs, SC; Graham, SA</t>
  </si>
  <si>
    <t>Sickmann, Zachary T.; Schwartz, Theresa M.; Malkowski, Matthew A.; Dobbs, Stephen C.; Graham, Stephan A.</t>
  </si>
  <si>
    <t>Interpreting large detrital geochronology data sets in retroarc foreland basins: An example from the Magallanes-Austral Basin, southernmost Patagonia</t>
  </si>
  <si>
    <t>LITHOSPHERE</t>
  </si>
  <si>
    <t>CERRO-TORO FORMATION; TRES PASOS FORMATION; ZIRCON U-PB; INTEGRATED PROVENANCE ANALYSIS; ULTIMA-ESPERANZA-DISTRICT; BACK-ARC; STRATIGRAPHIC RECORD; ANTARCTIC PENINSULA; CHANNEL SYSTEMS; NORTHERN ANDES</t>
  </si>
  <si>
    <t>The Magallanes-Austral retroarc foreland basin of southernmost South America presents an excellent setting in which to examine interpretive methods for large detrital zircon data sets. The source regions for retroarc foreland basins generally, and the Magallanes-Austral Basin specifically, can be broadly divided into (1) the magmatic arc, (2) the fold-and-thrust belt, and (3) sources around the periphery of foreland flexural subsidence. In this study, we used an extensive detrital zircon data set (30 new, 87 previously published samples) that is complemented by a large modal provenance data set of 183 sandstone petrography samples (32 new, 151 previously published) and rare earth element geochemical analyses (130 previously published samples) to compare the results of empirical (multidimensional scaling) and interpretive (age binning based on source regions) treatments of detrital zircon data, ultimately to interpret the detailed evolution of sediment dispersal patterns and their tectonic controls in the Magallanes-Austral Basin. Detrital zircon sample groupings based on both a priori age binning and multidimensional scaling are required to maximize the potential of the Magallanes-Austral Basin data set. Multidimensional scaling results are sensitive to differences in major unimodal arc-related U-Pb detrital zircon ages and less sensitive to differences in multimodal, thrust belt-related age peaks. These sensitivities complicate basin-scale interpretations when data from poorly understood, less densely sampled sectors are compared to data from better-understood, more densely sampled sectors. Source region age binning alleviates these biases and compares well with multidimensional scaling results when samples from the less well-understood southern basin sector are excluded. Sample groupings generated by both multidimensional scaling and interpretive methods are also compatible with compositional provenance data. Together, this integration of provenance data and methods facilitates a detailed interpretation of sediment dispersal patterns and their tectonic controls for the Late Cretaceous to Eocene fill of the Magallanes-Austral retroarc foreland basin. We interpret that provenance signatures and dispersal patterns during the retroarc foreland phase were fundamentally controlled by conditions set by a predecessor extensional basin phase, including (1) variable magnitude of extension with latitude, (2) the composition of lithologies emplaced on the antecedent western flank, and (3) long-lasting structural discontinuities associated with early rifting that may have partitioned dispersal systems or controlled the location of long-lived drainage networks.</t>
  </si>
  <si>
    <t>[Sickmann, Zachary T.] Univ Texas Austin, Jackson Sch Geosci, Dept Geol Sci, Austin, TX 78712 USA; [Schwartz, Theresa M.] Colorado Sch Mines, Dept Geol &amp; Geol Engn, Golden, CO 80401 USA; [Malkowski, Matthew A.; Dobbs, Stephen C.; Graham, Stephan A.] Stanford Univ, Dept Geol Sci, Stanford, CA 94305 USA</t>
  </si>
  <si>
    <t>University of Texas System; University of Texas Austin; Colorado School of Mines; Stanford University</t>
  </si>
  <si>
    <t>Sickmann, ZT (corresponding author), Univ Texas Austin, Jackson Sch Geosci, Dept Geol Sci, Austin, TX 78712 USA.</t>
  </si>
  <si>
    <t>Sickmann, Zachary/0000-0003-0964-3988; Schwartz, Theresa/0000-0001-6606-4072</t>
  </si>
  <si>
    <t>Stanford McGee Levorsen Grant; Stanford Project on Deep Water Depositional Systems (SPODDS); National Science Foundation Instrumentation and Facilities Division (NSF) [EAR-1338583]</t>
  </si>
  <si>
    <t>Stanford McGee Levorsen Grant; Stanford Project on Deep Water Depositional Systems (SPODDS); National Science Foundation Instrumentation and Facilities Division (NSF)(National Science Foundation (NSF))</t>
  </si>
  <si>
    <t>Funding for this work was provided by the Stanford McGee Levorsen Grant and the Stanford Project on Deep Water Depositional Systems (SPODDS). The Arizona LaserChron Center is funded in part by the National Science Foundation Instrumentation and Facilities Division (NSF grant EAR-1338583). Field assistance was provided by Glenn Sharman, Aaron Reimchen, Devon Orme, and Jared Gooley. Discussions with Jared Gooley, Brian Horton, and Kristina Butler significantly improved this manuscript. Reviews by Ben Daniels, Joel Saylor, Ryan Leary, an anonymous reviewer, and Science Editor Damian Nance also significantly improved this work.</t>
  </si>
  <si>
    <t>1941-8264</t>
  </si>
  <si>
    <t>1947-4253</t>
  </si>
  <si>
    <t>LITHOSPHERE-US</t>
  </si>
  <si>
    <t>Lithosphere</t>
  </si>
  <si>
    <t>10.1130/L1060.1</t>
  </si>
  <si>
    <t>Geochemistry &amp; Geophysics; Geology</t>
  </si>
  <si>
    <t>JB0GG</t>
  </si>
  <si>
    <t>WOS:000488229500003</t>
  </si>
  <si>
    <t>Barnes, TC; Rogers, PJ; Wolf, Y; Madonna, A; Holman, D; Ferguson, GJ; Hutchinson, W; Loisier, A; Sortino, D; Sumner, M; Gillanders, BM</t>
  </si>
  <si>
    <t>Barnes, Thomas C.; Rogers, Paul J.; Wolf, Yasmin; Madonna, Alessandro; Holman, Dirk; Ferguson, Greg J.; Hutchinson, Wayne; Loisier, Aude; Sortino, Dylan; Sumner, Michael; Gillanders, Bronwyn M.</t>
  </si>
  <si>
    <t>Dispersal of an exploited demersal fish species (Argyrosomus japonicus, Sciaenidae) inferred from satellite telemetry</t>
  </si>
  <si>
    <t>LIFE-HISTORY; POPULATION-STRUCTURE; MULLOWAY; MOVEMENTS; ESTUARINE; BEHAVIOR; HIPPOGLOSSUS; GEOLOCATION; VALIDATION; MANAGEMENT</t>
  </si>
  <si>
    <t>Mulloway (Argyrosomus japonicus) are an iconic recreational, indigenous, and commercial fishery species with declining numbers across some parts of their range, with relatively little known about their movements. During the Austral summers and autumns from 2011 to 2014, we deployed 19 pop-up satellite archival tags (PSATs) on mature mulloway at an aggregation site within the Great Australian Bight Marine Park (GABMP), to examine their movement patterns. Twelve tags provided data from deployments ranging from 8 to 110 days including five tags that gathered data over autumn and seven over summer. Five of the seven mulloway tagged during summer likely remained in the vicinity of the tagging location and hence within or in close proximity to marine-protected areas (MPAs) over summer; however, relatively large horizontal movements were observed over autumn for most fish, including a maximum net displacement of similar to 550 km. The median pop-up distance from deployment was 51 and 212 km for summer-and autumn-tagged fish, respectively. Depths encountered by the tagged mulloway ranged from the surface to 56.5 m deep. Our study provides new information on the dispersal of a poorly understood fish species which could aid their conservation.</t>
  </si>
  <si>
    <t>[Barnes, Thomas C.; Gillanders, Bronwyn M.] Univ Adelaide, Sch Biol Sci, Southern Seas Ecol Labs, Adelaide, SA 5005, Australia; [Barnes, Thomas C.] Univ Tasmania, Inst Marine &amp; Antarctic Studies, Hobart, Tas 7001, Australia; [Barnes, Thomas C.] Port Stephens Fisheries Inst, New South Wales Dept Primary Ind, Locked Bag 1, Nelson Bay, NSW 2315, Australia; [Rogers, Paul J.; Ferguson, Greg J.; Hutchinson, Wayne] South Australian Res &amp; Dev Inst, Aquat Sci, POB 120, Henley Beach, SA 5022, Australia; [Rogers, Paul J.; Ferguson, Greg J.] Univ Adelaide, Sch Biol Sci, Adelaide, SA 5005, Australia; [Wolf, Yasmin; Loisier, Aude] Nat Resources Alinytjara Wilurara, Dept Environm Water &amp; Nat Resources, Level 2 Richmond Rd, Keswick, SA 5001, Australia; [Madonna, Alessandro] Yalata Land Management, Yalata Indigenous Protected Area, PMB 31, Ceduna, SA 5690, Australia; [Holman, Dirk] Nat Resources Eyre Peninsula, Great Australian Bight Marine Pk, Dept Environm Water &amp; Nat Resources, 86 Tasman Terrace, Port Lincoln, SA 5606, Australia; [Sumner, Michael] Australian Antarctic Div, Channel Highway, Kingston, Tas 7050, Australia; [Gillanders, Bronwyn M.] Univ Adelaide, Environm Inst, Adelaide, SA 5005, Australia</t>
  </si>
  <si>
    <t>University of Adelaide; University of Tasmania; NSW Department of Primary Industries; South Australian Research &amp; Development Institute (SARDI); University of Adelaide; Australian Antarctic Division; University of Adelaide</t>
  </si>
  <si>
    <t>Barnes, TC (corresponding author), Univ Adelaide, Sch Biol Sci, Southern Seas Ecol Labs, Adelaide, SA 5005, Australia.;Barnes, TC (corresponding author), Univ Tasmania, Inst Marine &amp; Antarctic Studies, Hobart, Tas 7001, Australia.;Barnes, TC (corresponding author), Port Stephens Fisheries Inst, New South Wales Dept Primary Ind, Locked Bag 1, Nelson Bay, NSW 2315, Australia.</t>
  </si>
  <si>
    <t>thomas.barnes@utas.edu.au</t>
  </si>
  <si>
    <t>Ferguson, Greg J/G-6912-2011; Sumner, Michael D/J-3478-2013</t>
  </si>
  <si>
    <t>Ferguson, Greg J/0000-0002-9886-3036; Barnes, Thomas C./0000-0003-1493-1407; Sumner, Michael/0000-0002-2471-7511</t>
  </si>
  <si>
    <t>Yalata Land Management, Department for Environment, Water and Natural Resources-Alinytjara Wilurara; University of Adelaide; Australian Research Council [FT100100767]; Nature Foundation; Australian Research Council [FT100100767] Funding Source: Australian Research Council</t>
  </si>
  <si>
    <t>Yalata Land Management, Department for Environment, Water and Natural Resources-Alinytjara Wilurara; University of Adelaide; Australian Research Council(Australian Research Council); Nature Foundation; Australian Research Council(Australian Research Council)</t>
  </si>
  <si>
    <t>Animal ethics approval was via: Primary Industries and Regions South Australia Animal Ethics Application 19/11 and the University of Adelaide S-2009-129. This project was funded by Yalata Land Management, Department for Environment, Water and Natural Resources-Alinytjara Wilurara, the University of Adelaide, the Australian Research Council (FT100100767) (awarded to BMG) and the Nature Foundation.</t>
  </si>
  <si>
    <t>10.1007/s00227-019-3575-4</t>
  </si>
  <si>
    <t>IZ4RC</t>
  </si>
  <si>
    <t>WOS:000487069900001</t>
  </si>
  <si>
    <t>Mangoni, O; Saggiomo, M; Bolinesi, F; Castellano, M; Povero, P; Saggiomo, V; DiTullio, GR</t>
  </si>
  <si>
    <t>Mangoni, Olga; Saggiomo, Maria; Bolinesi, Francesco; Castellano, Michela; Povero, Paolo; Saggiomo, Vincenzo; DiTullio, Giacomo R.</t>
  </si>
  <si>
    <t>Phaeocystis antarctica unusual summer bloom in stratified antarctic coastal waters (Terra Nova Bay, Ross Sea)</t>
  </si>
  <si>
    <t>Phytoplankton; Biomarker pigments; Climate change</t>
  </si>
  <si>
    <t>FRAGILARIOPSIS-CYLINDRUS BACILLARIOPHYCEAE; SOUTHERN-OCEAN; PHYTOPLANKTON BIOMASS; MESOSCALE VARIABILITY; MARINE-PHYTOPLANKTON; PIGMENT COMPOSITION; SPATIAL-PATTERNS; IRON; ICE; PRYMNESIOPHYCEAE</t>
  </si>
  <si>
    <t>This study focuses on the potential explanations for a Phaeocystis antarctica summer bloom occurred in stratified waters of Terra Nova Bay (TNB) - which is part of the Antarctic Special Protected Area (n.161) in the Ross Sea trough a multi-parameter correlative approach. Many previous studies have highlighted that water column stratification typically favors diatom dominance compared to the colonial haptophyte P. antarctica, in the Ross Sea, and this correlation has often been used to explain the historic dominance of diatoms in TNB. To explore the spatial and temporal progression of P. antarctica bloom in coastal waters, four stations were sampled three times each between December 31, 2009 and January 13, 2010. Taxonomic and pigment composition of phytoplankton communities, macro-nutrient concentrations and various different indices, all indicated the relative dominance of P. antarctica. Cell abundances revealed that P. antarctica contributed 79% of total cell counts in the upper 25 m and 93% in the lower photic zone. Similarly, a strong correlation was observed between Chl-a and the Hex:Fuco pigment ratio, corroborating the microscopic analyses. Recent studies have shown that iron can trigger colonial P. antarctica blooms. Based on the Hex:Chl-c(3) proxy for iron limitation in P. antarctica, we hypothesize that anomalously higher iron fluxes were responsible for the unusual bloom of colonial P. antarctica observed in TNB.</t>
  </si>
  <si>
    <t>[Mangoni, Olga; Bolinesi, Francesco] Univ Napoli Federico II, Dipartimento Biol, Complesso Monte St Angelo,Via Cinthia 21, I-80126 Naples, Italy; [Mangoni, Olga] CoNISMa, Piazzale Flaminio 9, I-00196 Rome, Italy; [Saggiomo, Maria; Saggiomo, Vincenzo] Stn Zool Anton Dohrn, Villa Comunale 1, I-80122 Naples, Italy; [Castellano, Michela; Povero, Paolo] Univ Genoa, Dipartimento Sci Terra Ambiente &amp; Vita, Corso Europa 26, I-16132 Genoa, Italy; [DiTullio, Giacomo R.] Coll Charleston, Hollings Marine Lab, 331 Ft Johnson Rd, Charleston, SC 29412 USA</t>
  </si>
  <si>
    <t>University of Naples Federico II; CoNISMa; Stazione Zoologica Anton Dohrn di Napoli; University of Genoa; College of Charleston</t>
  </si>
  <si>
    <t>Saggiomo, M (corresponding author), Stn Zool Anton Dohrn, Villa Comunale 1, I-80122 Naples, Italy.</t>
  </si>
  <si>
    <t>m.saggio@szn.it</t>
  </si>
  <si>
    <t>Saggiomo, Maria/0000-0001-5794-0050; Castellano, Michela/0000-0001-6101-0112</t>
  </si>
  <si>
    <t>Italian National Program for Antarctic Research (PNRA) [2009/A1.13]</t>
  </si>
  <si>
    <t>This study was carried out within the framework of the Italian National Program for Antarctic Research (PNRA, 2009/A1.13), which provided financial and logistic support. We thank the officers, crew, and technical personnel on board of the M/V Malippo for their support during the seagoing operations. The authors are grateful to Augusto Passarelli for nutrient analyses made in Italy. Our special thanks to Prof Gian Carlo Carrada for his valuable criticism on this work and to anonymous referees for their suggestions.</t>
  </si>
  <si>
    <t>10.1016/j.marenvres.2019.05.012</t>
  </si>
  <si>
    <t>WOS:000497258600006</t>
  </si>
  <si>
    <t>Jourdan, F; Nomade, S; Wingate, MTD; Eroglu, E; Deino, A</t>
  </si>
  <si>
    <t>Jourdan, Fred; Nomade, Sebastien; Wingate, Michael T. D.; Eroglu, Ela; Deino, Al</t>
  </si>
  <si>
    <t>Ultraprecise age and formation temperature of the Australasian tektites constrained by 40Ar/39Ar analyses</t>
  </si>
  <si>
    <t>CANYON SANIDINE STANDARD; K-40 DECAY CONSTANTS; IMPACT CRATER; JOINT DETERMINATION; IMPROVED ACCURACY; PARENT CRATER; AR; INTERCALIBRATION; GEOCHRONOLOGY; DIFFUSION</t>
  </si>
  <si>
    <t>The Australasian tektites are quench melt glass ejecta particles distributed over the Asian, Australian, and Antarctic regions, the source crater of which is currently elusive. New 40Ar/39Ar age data from four tektites: one each from Thailand, China, Vietnam, and Australia measured using three different instruments from two different laboratories and combined with published 40Ar/39Ar data yield a weighted mean age of 788.1 +/- 2.8 ka (+/- 3.0 ka, including all sources of uncertainties) (P = 0.54). This age is five times more precise compared to previous results thanks, in part, to the multicollection capabilities of the ARGUS VI noble gas mass spectrometer, which allows an improvement of almost fourfold on a single plateau age measurement. Diffusion experiments on tektites combined with synthetic age spectra and Monte Carlo diffusion models suggest that the minimum temperature of formation of the Thai tektite is between 2350 degrees C and 3950 degrees C, hence a strict minimum value of 2350 degrees C.</t>
  </si>
  <si>
    <t>[Jourdan, Fred] Curtin Univ, JdL Ctr, Western Australian Argon Isotope Facil, GPO Box U1987, Perth, WA 6845, Australia; [Jourdan, Fred] Curtin Univ, Sch Earth &amp; Planetary Sci, GPO Box U1987, Perth, WA 6845, Australia; [Nomade, Sebastien] Univ Paris Saclay, Lab Sci Climat &amp; Environm, UMR 8212, LSCE IPSL,CEA CNRS UVSQ, Gif Sur Yvette, France; [Wingate, Michael T. D.] Geol Survey Western Australia, Dept Mines Ind Regulat &amp; Safety, East Perth, WA 6004, Australia; [Eroglu, Ela] Curtin Univ, Dept Chem Engn, Perth, WA 6845, Australia; [Deino, Al] Berkeley Geochronol Ctr, 2455 Ridge Rd, Berkeley, CA 94709 USA</t>
  </si>
  <si>
    <t>Curtin University; Curtin University; Centre National de la Recherche Scientifique (CNRS); CNRS - National Institute for Earth Sciences &amp; Astronomy (INSU); CEA; Universite Paris Saclay; Universite Paris Cite; Geological Survey of Western Australia; Curtin University; Berkeley Geochronolgy Center</t>
  </si>
  <si>
    <t>Jourdan, F (corresponding author), Curtin Univ, JdL Ctr, Western Australian Argon Isotope Facil, GPO Box U1987, Perth, WA 6845, Australia.;Jourdan, F (corresponding author), Curtin Univ, Sch Earth &amp; Planetary Sci, GPO Box U1987, Perth, WA 6845, Australia.</t>
  </si>
  <si>
    <t>f.jourdan@curtin.edu.au</t>
  </si>
  <si>
    <t>Eroglu, Ela/B-3323-2013</t>
  </si>
  <si>
    <t>nomade, sebastien/0000-0001-7373-0571; Eroglu, Ela/0000-0002-6080-2879; Jourdan, Fred/0000-0001-5626-4521</t>
  </si>
  <si>
    <t>10.1111/maps.13305</t>
  </si>
  <si>
    <t>JB5OQ</t>
  </si>
  <si>
    <t>WOS:000488614800023</t>
  </si>
  <si>
    <t>de Menezes, GCA; Amorim, SS; Goncalves, VN; Godinho, VM; Simoes, JC; Rosa, CA; Rosa, LH</t>
  </si>
  <si>
    <t>de Menezes, Graciele C. A.; Amorim, Soraya S.; Goncalves, Vivian N.; Godinho, Valeria M.; Simoes, Jefferson C.; Rosa, Carlos A.; Rosa, Luiz H.</t>
  </si>
  <si>
    <t>Diversity, Distribution, and Ecology of Fungi in the Seasonal Snow of Antarctica</t>
  </si>
  <si>
    <t>Antarctica; ecology; fungi; snow</t>
  </si>
  <si>
    <t>DESCHAMPSIA-ANTARCTICA; BASIDIOMYCETOUS YEAST; DEBARYOMYCES-HANSENII; INVASIVE INFECTION; CANDIDA-FAMATA; SP-NOV.; COMMUNITIES; MACROALGAE; SOILS; ENVIRONMENTS</t>
  </si>
  <si>
    <t>We characterized the fungal community found in the winter seasonal snow of the Antarctic Peninsula. From the samples of snow, 234 fungal isolates were obtained and could be assigned to 51 taxa of 26 genera. Eleven yeast species displayed the highest densities; among them, Phenoliferia glacialis showed a broad distribution and was detected at all sites that were sampled. Fungi known to be opportunistic in humans were subjected to antifungal minimal inhibition concentration. Debaryomyces hansenii, Rhodotorula mucilaginosa, Penicillium chrysogenum, Penicillium sp. 3, and Penicillium sp. 4 displayed resistance against the antifungals benomyl and fluconazole. Among them, R. mucilaginosa isolates were able to grow at 37 degrees C. Our results show that the winter seasonal snow of the Antarctic Peninsula contains a diverse fungal community dominated by cosmopolitan ubiquitous fungal species previously found in tropical, temperate, and polar ecosystems. The high densities of these cosmopolitan fungi suggest that they could be present in the air that arrives at the Antarctic Peninsula by air masses from outside Antarctica. Additionally, we detected environmental fungal isolates that were resistant to agricultural and clinical antifungals and able to grow at 37 degrees C. Further studies will be needed to characterize the virulence potential of these fungi in humans and animals.</t>
  </si>
  <si>
    <t>[de Menezes, Graciele C. A.; Amorim, Soraya S.; Goncalves, Vivian N.; Godinho, Valeria M.; Rosa, Carlos A.; Rosa, Luiz H.] Univ Fed Minas Gerais, Inst Ciencias Biol, Dept Microbiol, BR-31270901 Belo Horizonte, MG, Brazil; [Simoes, Jefferson C.] Univ Fed Rio Grande do Sul, Ctr Polar &amp; Climat, BR-91201970 Porto Alegre, RS, Brazil</t>
  </si>
  <si>
    <t>Universidade Federal de Minas Gerais; Universidade Federal do Rio Grande do Sul</t>
  </si>
  <si>
    <t>Rosa, LH (corresponding author), Univ Fed Minas Gerais, Inst Ciencias Biol, Dept Microbiol, BR-31270901 Belo Horizonte, MG, Brazil.</t>
  </si>
  <si>
    <t>graciele.cunhaalves@gmail.com; sorayasander@gmail.com; viviannicolau@yahoo.com.br; valeriagods@gmail.com; jefferson.simoes@ufrgs.br; carlrosa@icb.ufmg.br; lhrosa@icb.ufmg.br</t>
  </si>
  <si>
    <t>Simoes, Jefferson Cardia/D-7232-2013</t>
  </si>
  <si>
    <t>Simoes, Jefferson Cardia/0000-0001-5555-3401; Cunha Alves de Menezes, Graciele/0000-0002-9427-1893</t>
  </si>
  <si>
    <t>PROANTAR CNPq [442258/2018-6]; INCT Criosfera; CAPES [88887.136384/2017-00, 88887.314457/2019-00]; FNDCT; PRPq-UFMG; CNPq [142341/2018-5]; FAPEMIG [418]; FAPEMIG</t>
  </si>
  <si>
    <t>PROANTAR CNPq(Conselho Nacional de Desenvolvimento Cientifico e Tecnologico (CNPQ)); INCT Criosfera; CAPES(Coordenacao de Aperfeicoamento de Pessoal de Nivel Superior (CAPES)); FNDCT; PRPq-UFMG; CNPq(Conselho Nacional de Desenvolvimento Cientifico e Tecnologico (CNPQ)); FAPEMIG(Fundacao de Amparo a Pesquisa do Estado de Minas Gerais (FAPEMIG)); FAPEMIG(Fundacao de Amparo a Pesquisa do Estado de Minas Gerais (FAPEMIG))</t>
  </si>
  <si>
    <t>The financial support from PROANTAR CNPq (442258/2018-6), INCT Criosfera, FAPEMIG, CAPES (88887.136384/2017-00 and 88887.314457/2019-00), FNDCT, and PRPq-UFMG. GCA de Menezes scholarship was supported by CNPq (142341/2018-5) and FAPEMIG (418).</t>
  </si>
  <si>
    <t>10.3390/microorganisms7100445</t>
  </si>
  <si>
    <t>WOS:000498223100074</t>
  </si>
  <si>
    <t>Stark, JS; Langdon, C</t>
  </si>
  <si>
    <t>Stark, Jonathan S.; Langdon, Chris</t>
  </si>
  <si>
    <t>Coral reef pH altered in situ</t>
  </si>
  <si>
    <t>NATURE ECOLOGY &amp; EVOLUTION</t>
  </si>
  <si>
    <t>OCEAN ACIDIFICATION; LESSONS</t>
  </si>
  <si>
    <t>A Free Ocean Carbon Enrichment experiment that manipulates seawater pH on a coral reef flat shows that the level of ocean acidification at which net dissolution of corals occurs may arrive much sooner than expected.</t>
  </si>
  <si>
    <t>[Stark, Jonathan S.] Australian Antarctic Div, Kingston, Tas, Australia; [Langdon, Chris] Univ Miami, Rosenstiel Sch Marine &amp; Atmospher Sci, Coral Gables, FL 33124 USA</t>
  </si>
  <si>
    <t>Australian Antarctic Division; University of Miami</t>
  </si>
  <si>
    <t>Stark, JS (corresponding author), Australian Antarctic Div, Kingston, Tas, Australia.</t>
  </si>
  <si>
    <t>jonny.stark@aad.gov.au</t>
  </si>
  <si>
    <t>Stark, Jonathan/ABF-4025-2020; Langdon, Chris/A-1543-2016</t>
  </si>
  <si>
    <t>Stark, Jonathan/0000-0002-4268-8072; Langdon, Chris/0000-0002-3043-3806</t>
  </si>
  <si>
    <t>2397-334X</t>
  </si>
  <si>
    <t>NAT ECOL EVOL</t>
  </si>
  <si>
    <t>Nat. Ecol. Evol.</t>
  </si>
  <si>
    <t>10.1038/s41559-019-1000-5</t>
  </si>
  <si>
    <t>JB1ER</t>
  </si>
  <si>
    <t>WOS:000488304100006</t>
  </si>
  <si>
    <t>Lavers, JL</t>
  </si>
  <si>
    <t>Lavers, Jennifer L.</t>
  </si>
  <si>
    <t>Career satisfaction falls prey to bottomless demands</t>
  </si>
  <si>
    <t>NATURE HUMAN BEHAVIOUR</t>
  </si>
  <si>
    <t>The pressure to publish during PhD training is only the beginning of a career in an environment that places intractable expectations on academics, argues Jennifer Lavers, a Lecturer in Marine Science; unrealistic demands to excel in publications, grants and outreach lead even outwardly successful academics to question their career choices.</t>
  </si>
  <si>
    <t>[Lavers, Jennifer L.] Univ Tasmania, Inst Marine &amp; Antarctic Studies, Hobart, Tas, Australia</t>
  </si>
  <si>
    <t>Lavers, JL (corresponding author), Univ Tasmania, Inst Marine &amp; Antarctic Studies, Hobart, Tas, Australia.</t>
  </si>
  <si>
    <t>Lavers, Jennifer/O-4831-2017; Lavers, Jennifer/IWM-5417-2023</t>
  </si>
  <si>
    <t>Lavers, Jennifer/0000-0001-7596-6588;</t>
  </si>
  <si>
    <t>2397-3374</t>
  </si>
  <si>
    <t>NAT HUM BEHAV</t>
  </si>
  <si>
    <t>Nat. Hum. Behav.</t>
  </si>
  <si>
    <t>10.1038/s41562-019-0695-2</t>
  </si>
  <si>
    <t>Psychology, Biological; Multidisciplinary Sciences; Neurosciences; Psychology, Experimental</t>
  </si>
  <si>
    <t>Psychology; Science &amp; Technology - Other Topics; Neurosciences &amp; Neurology</t>
  </si>
  <si>
    <t>JD0AH</t>
  </si>
  <si>
    <t>WOS:000489637200015</t>
  </si>
  <si>
    <t>Ruiz-Fernández, J; Oliva, M; Hughes, P</t>
  </si>
  <si>
    <t>Ruiz-Fernandez, Jesus; Oliva, Marc; Hughes, Philip</t>
  </si>
  <si>
    <t>Permafrost and periglacial processes in mid- and low-latitude mountain regions</t>
  </si>
  <si>
    <t>PERMAFROST AND PERIGLACIAL PROCESSES</t>
  </si>
  <si>
    <t>mid- and low-latitude mountains; periglacial processes; permafrost</t>
  </si>
  <si>
    <t>The Special Issue that justifies this Editorial has been designed to commemorate the 25th anniversary of the first Spanish scientific meeting of the International Permafrost Association organized in 1994 in Madrid. This Special Issue, entitled Permafrost and periglacial processes in mid- and low-latitude mountains regions, includes nine papers from various mountain regions around the world, such as the Pyrenees, Sierra Nevada, Galician and Cantabrian Mountains in the Iberian Peninsula, Atacama and Central Andes in South America, Absaroka ranges in North America, and Seckauer Tauern Range in the European Alps. These articles provide new methodologies and approaches focusing on a wide range of periglacial phenomena, such as past cryogenic environments, active periglacial processes, permafrost and ground thermal regime, as well as rock glaciers. As a result of this Special Issue, we have detected several knowledge gaps that should be addressed in the future by the scientific community studying permafrost and periglacial processes in mid- and low-latitude mountains regions, namely: (a) improving the geochronology of past periglacial environments and associated paleoclimatic implications; (b) the study of periglacial features existing in low-altitude mountain environments and/or in the lowlands; (c) improve our current knowledge of active periglacial processes, permafrost distribution and ground thermal regime in mid-altitude mountains; (d) the monitoring of periglacial mass wasting processes and mechanisms of sediment transfer; (e) the interaction between glaciers and periglacial processes; and (f) geoecological dynamics in response to climate scenarios anticipating significant changes of temperature and moisture in periglacial regions.</t>
  </si>
  <si>
    <t>[Ruiz-Fernandez, Jesus] Univ Oviedo, Dept Geog, C Amparo Pedregal S-N, Oviedo 33011, Spain; [Oliva, Marc] Univ Barcelona, Dept Geog, Catalonia, Spain; [Hughes, Philip] Univ Manchester, Sch Environm Educ &amp; Dev, Dept Geog, Manchester, Lancs, England</t>
  </si>
  <si>
    <t>University of Oviedo; University of Barcelona; University of Manchester</t>
  </si>
  <si>
    <t>Ruiz-Fernández, J (corresponding author), Univ Oviedo, Dept Geog, C Amparo Pedregal S-N, Oviedo 33011, Spain.</t>
  </si>
  <si>
    <t>ruizjesus@uniovi.es</t>
  </si>
  <si>
    <t>; Oliva, Marc/K-5423-2014</t>
  </si>
  <si>
    <t>Hughes, Philip/0000-0002-8284-0219; Ruiz-Fernandez, Jesus/0000-0001-7161-3320; Oliva, Marc/0000-0001-6521-6388</t>
  </si>
  <si>
    <t>Spanish Ministry of Economy, Industry and Competitiveness [CTM2016-77878-P, CTM2017-87976-P]; Fundacao para a Ciencia e a Tecnologia of Portugal [02/SAICT/2017-32002]; Ramon y Cajal Program [RYC-2015-17597]; Research Group ANTALP (Antarctic, Arctic, Alpine Environments) - Government of Catalonia through the AGAUR agency [2017-SGR-1102]</t>
  </si>
  <si>
    <t>Spanish Ministry of Economy, Industry and Competitiveness(Spanish Government); Fundacao para a Ciencia e a Tecnologia of Portugal(Fundacao para a Ciencia e a Tecnologia (FCT)); Ramon y Cajal Program(Spanish Government); Research Group ANTALP (Antarctic, Arctic, Alpine Environments) - Government of Catalonia through the AGAUR agency</t>
  </si>
  <si>
    <t>The guest editors appreciate the opportunity given by the journal Permafrost and Periglacial Processes, particularly by the editor-in-chief Prof Dr Mauro Guglielmin, to organize this Special Issue on Permafrost and Periglacial Processes in Mid- and Low-latitude Mountain Regions. We would like to congratulate all the authors for the research papers submitted and acknowledge all reviewers for their work in reviewing the manuscripts. This work fits within the research topics of the CRONOANTAR (CTM2016-77878-P) and PALEOGREEN (CTM2017-87976-P) projects of the Spanish Ministry of Economy, Industry and Competitiveness, and the NUNANTAR project (02/SAICT/2017-32002) of the FundacAo para a Ciencia e a Tecnologia of Portugal. Marc Oliva is supported by the Ramon y Cajal Program (RYC-2015-17597) and the Research Group ANTALP (Antarctic, Arctic, Alpine Environments; 2017-SGR-1102) funded by the Government of Catalonia through the AGAUR agency.</t>
  </si>
  <si>
    <t>1045-6740</t>
  </si>
  <si>
    <t>1099-1530</t>
  </si>
  <si>
    <t>PERMAFROST PERIGLAC</t>
  </si>
  <si>
    <t>Permafrost Periglacial Process.</t>
  </si>
  <si>
    <t>10.1002/ppp.2034</t>
  </si>
  <si>
    <t>Geography, Physical; Geology</t>
  </si>
  <si>
    <t>1P8ZQ</t>
  </si>
  <si>
    <t>WOS:000802292100002</t>
  </si>
  <si>
    <t>Gómez-Ortiz, A; Oliva, M; Salvador-Franch, F; Palacios, D; Tanarro, LM; Sanjose-Blasco, JJ; Salva-Catarineu, M</t>
  </si>
  <si>
    <t>Gomez-Ortiz, Antonio; Oliva, Marc; Salvador-Franch, Ferran; Palacios, David; Miguel Tanarro, Luis; Juan Sanjose-Blasco, Jose; Salva-Catarineu, Montserrat</t>
  </si>
  <si>
    <t>Monitoring permafrost and periglacial processes in Sierra Nevada (Spain) from 2001 to 2016</t>
  </si>
  <si>
    <t>Little Ice Age; periglacial processes; permafrost; seasonal frozen ground; Sierra Nevada</t>
  </si>
  <si>
    <t>Outside the Alps, the Sierra Nevada is probably the best studied European massif with respect to its past and current environmental dynamics. A multi-approach research program started in the early 2000s focused on the monitoring of frozen ground conditions in this National Park. Here, we present data on the thermal state and distribution of permafrost and seasonal frozen ground in different sites across the highest areas of the massif. New results confirm the absence of widespread permafrost conditions, with seasonal frost prevailing above 2500 m. Small permafrost patches have been only detected in glaciated areas of the Veleta and Mulhacen cirques during the Little Ice Age at elevations of 3000-3100 m. The remnants of those glaciers are still preserved under the thick debris layer covering the cirque floors. Geomatic and geophysical surveying of a rock glacier existing in the Veleta cirque, together with the monitoring of soil temperature at different depths, have revealed permanently frozen conditions undergoing a process of degradation. In the rest of the massif, a seasonal frost regime prevails, even at the highest plateaus at 3300-3400 m, where annual soil temperatures average 2.5 degrees C. The monitoring of soil temperatures in other different periglacial features has also revealed positive average values ranging between 2 degrees C (inactive sorted-circles) and 3-4 degrees C (inactive and weakly active solifluction lobes). Consequently, we conclude that the present-day climatic regime does not allow the existence of permafrost in the Sierra Nevada, and environmental dynamics is controlled by the intensity and duration of seasonal frost in the ground.</t>
  </si>
  <si>
    <t>[Gomez-Ortiz, Antonio; Oliva, Marc; Salvador-Franch, Ferran; Salva-Catarineu, Montserrat] Univ Barcelona, Dept Geog, Barcelona, Spain; [Palacios, David; Miguel Tanarro, Luis] Univ Complutense Madrid, Dept Geog, Madrid, Spain; [Juan Sanjose-Blasco, Jose] Univ Extremadura, Dept Expres Graf, Caceres, Spain</t>
  </si>
  <si>
    <t>University of Barcelona; Complutense University of Madrid; Universidad de Extremadura</t>
  </si>
  <si>
    <t>Oliva, M (corresponding author), Univ Barcelona, Fac Geog &amp; Hist, Dept Geog, C Montalegre 6, Barcelona 08001, Spain.</t>
  </si>
  <si>
    <t>marcoliva@ub.edu</t>
  </si>
  <si>
    <t>PALACIOS, DAVID/H-3737-2015; Salvà-Catarineu, Montserrat/AHC-1313-2022; Oliva, Marc/K-5423-2014</t>
  </si>
  <si>
    <t>Salvà-Catarineu, Montserrat/0000-0002-2815-1375; Salvador Franch, Ferran/0000-0002-0695-3326; Oliva, Marc/0000-0001-6521-6388</t>
  </si>
  <si>
    <t>Agencia de Gestio d'Ajuts Universitaris i de Recerca [2017-SGR-1]; Ministry of Economy, Industry and Competitiveness, Spain [CTM2017-87976-P]; Ramon y Cajal Program [RYC-2015-17597]</t>
  </si>
  <si>
    <t>Agencia de Gestio d'Ajuts Universitaris i de Recerca(Agencia de Gestio D'Ajuts Universitaris de Recerca Agaur (AGAUR)); Ministry of Economy, Industry and Competitiveness, Spain(Spanish Government); Ramon y Cajal Program(Spanish Government)</t>
  </si>
  <si>
    <t>Agencia de Gestio d'Ajuts Universitaris i de Recerca, Grant/Award Number: Antarctic, Arctic, Alpine Environments; 2017-SGR-1; Ministry of Economy, Industry and Competitiveness, Spain, Grant/Award Number: PALEOGREEN project (CTM2017-87976-P); Ramon y Cajal Program, Grant/Award Number: RYC-2015-17597</t>
  </si>
  <si>
    <t>10.1002/ppp.2002</t>
  </si>
  <si>
    <t>WOS:000802292100005</t>
  </si>
  <si>
    <t>Lopatka, A</t>
  </si>
  <si>
    <t>Lopatka, Alex</t>
  </si>
  <si>
    <t>Wind analysis links West Antarctic ice loss to humans</t>
  </si>
  <si>
    <t>PHYSICS TODAY</t>
  </si>
  <si>
    <t>VARIABILITY; PATTERNS; CLIMATE</t>
  </si>
  <si>
    <t>Anthropogenic warming is reversing the predominant winds over the region and could explain the ice sheet's destabilization.</t>
  </si>
  <si>
    <t>0031-9228</t>
  </si>
  <si>
    <t>1945-0699</t>
  </si>
  <si>
    <t>PHYS TODAY</t>
  </si>
  <si>
    <t>Phys. Today</t>
  </si>
  <si>
    <t>10.1063/PT.3.4311</t>
  </si>
  <si>
    <t>Physics, Multidisciplinary</t>
  </si>
  <si>
    <t>JB8QS</t>
  </si>
  <si>
    <t>WOS:000488839400003</t>
  </si>
  <si>
    <t>Zerbini, AN; Adams, G; Best, J; Clapham, PJ; Jackson, JA; Punt, AE</t>
  </si>
  <si>
    <t>Zerbini, Alexandre N.; Adams, Grant; Best, John; Clapham, Phillip J.; Jackson, Jennifer A.; Punt, Andre E.</t>
  </si>
  <si>
    <t>Assessing the recovery of an Antarctic predator from historical exploitation</t>
  </si>
  <si>
    <t>humpback whales; Antarctic krill; population assessment; Bayesian modelling; South Atlantic Ocean; Antarctic</t>
  </si>
  <si>
    <t>WHALES MEGAPTERA-NOVAEANGLIAE; PENGUINS EUDYPTES-CHRYSOLOPHUS; FEMALE HUMPBACK WHALE; SPATIAL MODELS; SOUTH GEORGIA; RELATIVE ABUNDANCE; BREEDING GROUNDS; STOCK ASSESSMENT; BALEEN WHALES; FUR SEALS</t>
  </si>
  <si>
    <t>The recovery of whale populations from centuries of exploitation will have important management and ecological implications due to greater exposure to anthropogenic activities and increasing prey consumption. Here, a Bayesian population model integrates catch data, estimates of abundance, and information on genetics and biology to assess the recovery of western South Atlantic (WSA) humpback whales (Megaptera novaeangliae). Modelling scenarios evaluated the sensitivity of model outputs resulting from the use of different data, different model assumptions and uncertainty in catch allocation and in accounting for whales killed but not landed. A long period of exploitation drove WSA humpback whales to the brink of extinction. They declined from nearly 27 000 (95% PI = 22 800-33 000) individuals in 1830 to only 450 (95% PI = 200-1400) whales in the mid-1950s. Protection led to a strong recovery and the current population is estimated to be at 93% (95% PI = 73-100%) of its pre-exploitation size. The recovery of WSA humpback whales may result in large removals of their primary prey, the Antarctic krill (Euphausia superba), and has the potential to modify the community structure in their feeding grounds. Continued monitoring is needed to understand how these whales will respond to modern threats and to climate-driven changes to their habitats.</t>
  </si>
  <si>
    <t>[Zerbini, Alexandre N.] NOAA, Marine Mammal Lab, Alaska Fisheries Sci Ctr, Natl Marine Fisheries Serv, 7600 Sand Point Way NE, Seattle, WA 98115 USA; [Zerbini, Alexandre N.] Marine Ecol &amp; Telemetry Res, 2468 Camp McKenzie Tr NW, Seabeck, WA 98380 USA; [Zerbini, Alexandre N.] Cascadia Res Collect, 218 1-2 4th Ave W, Olympia, WA 98501 USA; [Zerbini, Alexandre N.] Inst Aqualie, Ave Doutor Paulo Japiassu Coelho 714,Sala 202, Juiz De Fora, MG, Brazil; [Adams, Grant; Punt, Andre E.] Univ Washington, Sch Aquat &amp; Fishery Sci, 1122 NE Boat St, Seattle, WA 98105 USA; [Best, John] Univ Washington, Quantitat Ecol &amp; Resource Management, 1503 NE Boat St, Seattle, WA 98105 USA; [Clapham, Phillip J.] Seastar Sci, 27605 Hake Rd SW, Vashon, WA 98070 USA; [Jackson, Jennifer A.] British Antarctic Survey, NERC, High Cross,Madingley Rd, Cambridge, England</t>
  </si>
  <si>
    <t>National Oceanic Atmospheric Admin (NOAA) - USA; University of Washington; University of Washington Seattle; University of Washington; University of Washington Seattle; UK Research &amp; Innovation (UKRI); Natural Environment Research Council (NERC); NERC British Antarctic Survey</t>
  </si>
  <si>
    <t>Zerbini, AN (corresponding author), NOAA, Marine Mammal Lab, Alaska Fisheries Sci Ctr, Natl Marine Fisheries Serv, 7600 Sand Point Way NE, Seattle, WA 98115 USA.;Zerbini, AN (corresponding author), Marine Ecol &amp; Telemetry Res, 2468 Camp McKenzie Tr NW, Seabeck, WA 98380 USA.;Zerbini, AN (corresponding author), Cascadia Res Collect, 218 1-2 4th Ave W, Olympia, WA 98501 USA.;Zerbini, AN (corresponding author), Inst Aqualie, Ave Doutor Paulo Japiassu Coelho 714,Sala 202, Juiz De Fora, MG, Brazil.</t>
  </si>
  <si>
    <t>alex.zerbini@noaa.gov</t>
  </si>
  <si>
    <t>Jackson, Jennifer A/E-7997-2013; Zerbini, Alexandre/ABH-3916-2020</t>
  </si>
  <si>
    <t>Zerbini, Alexandre/0000-0002-9776-6605; Jackson, Jennifer/0000-0003-4158-1924; Best, John/0000-0002-8920-0900</t>
  </si>
  <si>
    <t>Pew Bertarelli Ocean Legacy Project; US National Marine Fisheries Service-National Oceanic and Atmospheric Administration; University of Washington; British Antarctic Survey; NERC [bas0100035] Funding Source: UKRI</t>
  </si>
  <si>
    <t>Pew Bertarelli Ocean Legacy Project; US National Marine Fisheries Service-National Oceanic and Atmospheric Administration; University of Washington(University of Washington); British Antarctic Survey; NERC(UK Research &amp; Innovation (UKRI)Natural Environment Research Council (NERC))</t>
  </si>
  <si>
    <t>Support for this study was provided by the Pew Bertarelli Ocean Legacy Project. P.J.C., J.A.J. and A.E.P. were funded, respectively, by the US National Marine Fisheries Service-National Oceanic and Atmospheric Administration, the British Antarctic Survey and the University of Washington.</t>
  </si>
  <si>
    <t>10.1098/rsos.190368</t>
  </si>
  <si>
    <t>WOS:000510431100012</t>
  </si>
  <si>
    <t>Mearns, AJ; Bissell, M; Morrison, AM; Rempel-Hester, MA; Arthur, C; Rutherford, N</t>
  </si>
  <si>
    <t>Mearns, Alan J.; Bissell, Mathew; Morrison, Ann Michelle; Rempel-Hester, Mary Ann; Arthur, Courtney; Rutherford, Nicolle</t>
  </si>
  <si>
    <t>Effects of pollution on marine organisms</t>
  </si>
  <si>
    <t>WATER ENVIRONMENT RESEARCH</t>
  </si>
  <si>
    <t>Antarctic; Arctic; bioaccumulation; biomagnification; biomarkers; birds; dispersants; dredging; ecological risk assessment; endocrine disrupters; entanglement; eutrophication; field survey methods; fish; fishing impacts; human disturbance; intertidal; invertebrates; mammals; mangroves; marine biocides; marine debris; marshes; metals; microbes; nanoparticles; noise and light pollution; oil spills; PAHs; PBDEs; PCBs; personal care products; pesticides; pharmaceuticals; plankton; POPs; radionuclides; sediment quality; sewage; tissue residues; toxicity; trace metals; turtles</t>
  </si>
  <si>
    <t>GULF-OF-MEXICO; PRINCE-WILLIAM-SOUND; DISPERSED CRUDE-OIL; NORTHERN GULF; PLASTIC INGESTION; GASTROINTESTINAL-TRACT; SPATIOTEMPORAL MODELS; MICROPLASTIC DEBRIS; COMMUNICATION SPACE; SOLEA-SENEGALENSIS</t>
  </si>
  <si>
    <t>This review covers selected 2018 articles on the biological effects of pollutants, including human physical disturbances, on marine and estuarine plants, animals, ecosystems, and habitats. The review, based largely on journal articles, covers field and laboratory measurement activities (bioaccumulation of contaminants, field assessment surveys, toxicity testing, and biomarkers) as well as pollution issues of current interest including endocrine disrupters, emerging contaminants, wastewater discharges, marine debris, dredging, and disposal. Special emphasis is placed on effects of oil spills and marine debris due largely to the 2010 Deepwater Horizon oil blowout in the Gulf of Mexico and proliferation of data on the assimilation and effects of marine debris. Several topical areas reviewed in the past (e.g., mass mortalities ocean acidification) were dropped this year. The focus of this review is on effects, not on pollutant sources, chemistry, fate, or transport. There is considerable overlap across subject areas (e.g., some bioaccumulation data may be appear in other topical categories such as effects of wastewater discharges, or biomarker studies appearing in oil toxicity literature). Therefore, we strongly urge readers to use keyword searching of the text and references to locate related but distributed information. Although nearly 400 papers are cited, these now represent a fraction of the literature on these subjects. Use this review mainly as a starting point. And please consult the original papers before citing them.</t>
  </si>
  <si>
    <t>[Mearns, Alan J.; Bissell, Mathew; Rutherford, Nicolle] NOAA, Emergency Response Div, Seattle, WA 98115 USA; [Morrison, Ann Michelle] Exponent Inc, Sedona, AZ USA; [Rempel-Hester, Mary Ann] Aquat Toxicol Support, Bremerton, WA USA; [Arthur, Courtney] Ind Econ Inc, Cambridge, MA USA</t>
  </si>
  <si>
    <t>National Oceanic Atmospheric Admin (NOAA) - USA; Exponent; Industrial Economics, Incorporated</t>
  </si>
  <si>
    <t>Mearns, AJ (corresponding author), NOAA, Emergency Response Div, Seattle, WA 98115 USA.</t>
  </si>
  <si>
    <t>alan.mearns@noaa.gov</t>
  </si>
  <si>
    <t>1061-4303</t>
  </si>
  <si>
    <t>1554-7531</t>
  </si>
  <si>
    <t>WATER ENVIRON RES</t>
  </si>
  <si>
    <t>Water Environ. Res.</t>
  </si>
  <si>
    <t>10.1002/wer.1218</t>
  </si>
  <si>
    <t>Engineering, Environmental; Environmental Sciences; Limnology; Water Resources</t>
  </si>
  <si>
    <t>Engineering; Environmental Sciences &amp; Ecology; Marine &amp; Freshwater Biology; Water Resources</t>
  </si>
  <si>
    <t>NI8OC</t>
  </si>
  <si>
    <t>WOS:000565605400025</t>
  </si>
  <si>
    <t>Qu, CF; Wang, WY; Dong, JJ; Wang, XX; Gao, XX; Zhang, HH; Zheng, Z; Yin, H; Miao, JL</t>
  </si>
  <si>
    <t>Qu, Changfeng; Wang, Wenyu; Dong, Jianjun; Wang, Xixi; Gao, Xuxu; Zhang, Honghai; Zheng, Zhou; Yin, Hua; Miao, Jinlai</t>
  </si>
  <si>
    <t>Complete genome sequence of Rhodococcus sp. NJ-530, a DMSP-degrading actinobacterium isolated from Antarctic sea ice</t>
  </si>
  <si>
    <t>3 BIOTECH</t>
  </si>
  <si>
    <t>Antarctic marine bacteria; Rhodococcus; Complete genome sequence; DMSP cleavage; DMS; dddD</t>
  </si>
  <si>
    <t>DIMETHYL SULFIDE; MARINE-BACTERIA; FOOD-WEB; DIMETHYLSULFONIOPROPIONATE; SULFUR; LYASE; PHYTOPLANKTON; ANNOTATION; CATABOLISM; MOLECULE</t>
  </si>
  <si>
    <t>Dimethylsulfide (DMS), a climatically important gas generated by dimethylsulfoniopropionate (DMSP) degradation, plays an important role in the global sulfur cycle and affects the global climate. Marine bacteria are the primary mediators of DMSP degradation and DMS production. Here, we present the complete genome sequence of Rhodococcus sp. NJ-530, isolated from Antarctic sea ice, which utilizes DMSP as a sole carbon and energy source, degrading DMSP into DMS. The genome of strain NJ-530 consists of 7371 protein-coding sequences (CDSs) with 54 tRNA genes and 15 rRNA operons as 5S-16S-23S rRNA. The strain has one circular chromosome of 6,408,544 bp with 6331 CDSs and 62.41% GC content. Genomic annotation revealed that Rhodococcus sp. NJ-530 may have a DMSP cleavage gene cluster, including dddD, dddB and dddC, suggesting the existence of the DddD-type DMSP cleavage pathway. The complete genome sequence of Rhodococcus sp. NJ-530 will provide useful information for better understanding of the molecular mechanism underlying marine DMSP degradation and Antarctic DMS production.</t>
  </si>
  <si>
    <t>[Qu, Changfeng; Dong, Jianjun; Yin, Hua] State Key Lab Biol Fermentat Engn Beer, Qingdao 266100, Shandong, Peoples R China; [Qu, Changfeng; Wang, Wenyu; Wang, Xixi; Zheng, Zhou; Miao, Jinlai] Minist Nat Resources, Inst Oceanog 1, Qingdao 266061, Shandong, Peoples R China; [Qu, Changfeng; Zheng, Zhou; Miao, Jinlai] Qingdao Natl Lab Marine Sci &amp; Technol, Lab Marine Drugs &amp; Bioprod, Qingdao 266071, Shandong, Peoples R China; [Gao, Xuxu; Zhang, Honghai] Ocean Univ China, Minist Educ, Key Lab Marine Chem Theory &amp; Technol, Qingdao 266100, Shandong, Peoples R China</t>
  </si>
  <si>
    <t>Ministry of Natural Resources of the People's Republic of China; First Institute of Oceanography, Ministry of Natural Resources; Laoshan Laboratory; Ocean University of China</t>
  </si>
  <si>
    <t>Yin, H (corresponding author), State Key Lab Biol Fermentat Engn Beer, Qingdao 266100, Shandong, Peoples R China.;Miao, JL (corresponding author), Minist Nat Resources, Inst Oceanog 1, Qingdao 266061, Shandong, Peoples R China.;Miao, JL (corresponding author), Qingdao Natl Lab Marine Sci &amp; Technol, Lab Marine Drugs &amp; Bioprod, Qingdao 266071, Shandong, Peoples R China.</t>
  </si>
  <si>
    <t>yinhua@tsingtao.com.cn; miaojinlai@fio.org.cn</t>
  </si>
  <si>
    <t>Zheng, Zhou/JJD-0602-2023</t>
  </si>
  <si>
    <t>Zhang, Hong-Hai/0000-0001-9576-4035</t>
  </si>
  <si>
    <t>National Key Research and Development Program of China [2018YFD0900705, 2018YFD0901103]; China Ocean Mineral Resources RD Association [DY135-B2-14]; Open Research Fund of State Key Laboratory of Biological Fermentation Engineering of Beer [K201801]; Natural Science Foundation of China [41576187]; Natural Science Foundation of Shandong [ZR2019BD023]; Key Research and Development Program of Shandong Province [2018GHY115034]; Ningbo Public Service Platform for High-Value Utilization of Marine Biological Resources [NBHY-2017-P2]</t>
  </si>
  <si>
    <t>National Key Research and Development Program of China; China Ocean Mineral Resources RD Association; Open Research Fund of State Key Laboratory of Biological Fermentation Engineering of Beer; Natural Science Foundation of China(National Natural Science Foundation of China (NSFC)); Natural Science Foundation of Shandong(Natural Science Foundation of Shandong Province); Key Research and Development Program of Shandong Province; Ningbo Public Service Platform for High-Value Utilization of Marine Biological Resources</t>
  </si>
  <si>
    <t>This work was supported by the National Key Research and Development Program of China (2018YFD0901103), China Ocean Mineral Resources R&amp;D Association (DY135-B2-14), Open Research Fund of State Key Laboratory of Biological Fermentation Engineering of Beer (K201801), National Key Research and Development Program of China (2018YFD0900705), Natural Science Foundation of China (41576187), Natural Science Foundation of Shandong (ZR2019BD023), Key Research and Development Program of Shandong Province (2018GHY115034) and Ningbo Public Service Platform for High-Value Utilization of Marine Biological Resources (NBHY-2017-P2).</t>
  </si>
  <si>
    <t>2190-572X</t>
  </si>
  <si>
    <t>2190-5738</t>
  </si>
  <si>
    <t>3 Biotech</t>
  </si>
  <si>
    <t>10.1007/s13205-019-1889-z</t>
  </si>
  <si>
    <t>IY9SE</t>
  </si>
  <si>
    <t>WOS:000486732300001</t>
  </si>
  <si>
    <t>Frugone, MJ; López, ME; Segovia, NI; Cole, TL; Lowther, A; Pistorius, P; Dantas, GPM; Petry, MV; Bonadonna, F; Trathan, P; Polanowski, A; Wienecke, B; Bi, K; Wang-Claypool, CY; Waters, JM; Bowie, RCK; Poulin, E; Vianna, JA</t>
  </si>
  <si>
    <t>Jose Frugone, Maria; Eugenia Lopez, Maria; Segovia, Nicolas I.; Cole, Theresa L.; Lowther, Andrew; Pistorius, Pierre; Dantas, Gisele P. M.; Petry, Maria Virginia; Bonadonna, Francesco; Trathan, Phil; Polanowski, Andrea; Wienecke, Barbara; Bi, Ke; Wang-Claypool, Cynthia Y.; Waters, Jonathan M.; Bowie, Rauri C. K.; Poulin, Elie; Vianna, Juliana A.</t>
  </si>
  <si>
    <t>More than the eye can see: Genomic insights into the drivers of genetic differentiation in Royal/Macaroni penguins across the Southern Ocean</t>
  </si>
  <si>
    <t>MOLECULAR PHYLOGENETICS AND EVOLUTION</t>
  </si>
  <si>
    <t>ddRAD; Single nucleotide polymorphisms; Speciation; Population structure; Eudyptes chrysolophus; Eudyptes schlegeli</t>
  </si>
  <si>
    <t>POPULATION-STRUCTURE; EUDYPTES-SCHLEGELI; TOOL SET; EVOLUTIONARY; DISPERSAL; INFERENCE; REVEALS; PLUMAGE; GENTOO; ISLAND</t>
  </si>
  <si>
    <t>The study of systematics in wide-ranging seabirds can be challenging due to the vast geographic scales involved, as well as the possible discordance between molecular, morphological and behavioral data. In the Southern Ocean, macaroni penguins (Eudyptes chrysolophus) are distributed over a circumpolar range including populations in Antarctic and sub-Antarctic areas. Macquarie Island, in its relative isolation, is home to a closely related endemic taxon - the royal penguin (Eudyptes schlegeli), which is distinguishable from E. chrysolophus mainly by facial coloration. Although these sister taxa are widely accepted as representing distinct species based on morphological grounds, the extent of their genome-wide differentiation remains uncertain. In this study, we use genome-wide Single Nucleotide Polymorphisms to test genetic differentiation between these geographically isolated taxa and evaluate the main drivers of population structure among breeding colonies of macaroni/royal penguins. Genetic similarity observed between macaroni and royal penguins suggests they constitute a single evolutionary unit. Nevertheless, royal penguins exhibited a tendency to cluster only with macaroni individuals from Kerguelen Island, suggesting that dispersal occurs mainly between these neighboring colonies. A stepping stone model of differentiation of macaroni/royal populations was further supported by a strong pattern of isolation by distance detected across its whole distribution range, possibly driven by large geographic distances between colonies as well as natal philopatry. However, we also detected intraspecific genomic differentiation between Antarctic and sub-Antarctic populations of macaroni penguins, highlighting the role of environmental factors together with geographic distance in the processes of genetic differentiation between Antarctic and sub-Antarctic waters.</t>
  </si>
  <si>
    <t>[Jose Frugone, Maria; Poulin, Elie] Univ Chile, Fac Ciencias, Dept Ciencias Ecol, Lab Ecol Mol, Las Palmeras 3425, Santiago, Chile; [Jose Frugone, Maria; Segovia, Nicolas I.; Poulin, Elie] IEB, Las Palmeras 3425, Santiago, Chile; [Jose Frugone, Maria; Vianna, Juliana A.] Pontificia Univ Catolica Chile, Fac Agron &amp; Ingn Forestal, Dept Ecosistemas &amp; Medio Ambiente, Vicuna Mackenna 4860, Santiago, Chile; [Eugenia Lopez, Maria] Swedish Univ Agr Sci, Dept Anim Breeding &amp; Genet, Uppsala, Sweden; [Eugenia Lopez, Maria] Univ Chile, Fac Ciencias Vet &amp; Pecuarias, Santiago 8820808, Chile; [Segovia, Nicolas I.] Univ Catolica Norte, Fac Ciencias Mar, Dept Biol Marina, Coquimbo, Chile; [Cole, Theresa L.; Waters, Jonathan M.] Univ Otago, Dept Zool, POB 56, Dunedin 9054, New Zealand; [Cole, Theresa L.] Manaaki Whenua Landcare Res, POB 69040, Canterbury 7640, New Zealand; [Lowther, Andrew] Norwegian Polar Res Inst, N-9297 Tromso, Norway; [Pistorius, Pierre] Nelson Mandela Univ, Dept Zool, Percy Fitzpatrick Inst African Ornithol, DST NRF Ctr Excellence, ZA-6031 Port Elizabeth, South Africa; [Dantas, Gisele P. M.] Pontificia Univ Catolica Minas Gerais, PPG Vertebrate Biol, Belo Horizonte, MG, Brazil; [Petry, Maria Virginia] Univ Vale Rio dos Sinos, Lab Ornitol &amp; Anim Marinhos, Av Unisinos 950, Sao Leopoldo, RS, Brazil; [Bonadonna, Francesco] Univ Paul Valery Montpellier, Univ Montpellier, CNRS, EPHE,CEFE,UMR 5175, Montpellier 5, France; [Trathan, Phil] British Antarctic Survey, Madingley Rd, Cambridge CB3 0ET, England; [Polanowski, Andrea; Wienecke, Barbara] Australian Antarctic Div, 203 Channel Highway, Kingston, Tas 7050, Australia; [Bi, Ke; Wang-Claypool, Cynthia Y.; Bowie, Rauri C. K.] Univ Calif Berkeley, Museum Vertebrate Zool, 3101 Valley Life Sci Bldg, Berkeley, CA 94720 USA; [Bi, Ke; Wang-Claypool, Cynthia Y.; Bowie, Rauri C. K.] Univ Calif Berkeley, Dept Integrat Biol, 3101 Valley Life Sci Bldg, Berkeley, CA 94720 USA</t>
  </si>
  <si>
    <t>Universidad de Chile; Pontificia Universidad Catolica de Chile; Swedish University of Agricultural Sciences; Universidad de Chile; Universidad Catolica del Norte; University of Otago; Landcare Research - New Zealand; Norwegian Polar Institute; Nelson Mandela University; National Research Foundation - South Africa; Pontificia Universidade Catolica de Minas Gerais; Universidade do Vale do Rio dos Sinos (Unisinos); Universite PSL; Ecole Pratique des Hautes Etudes (EPHE); Institut Agro; Montpellier SupAgro; CIRAD; Centre National de la Recherche Scientifique (CNRS); Institut de Recherche pour le Developpement (IRD); Universite Paul-Valery; Universite de Montpellier; UK Research &amp; Innovation (UKRI); Natural Environment Research Council (NERC); NERC British Antarctic Survey; Australian Antarctic Division; University of California System; University of California Berkeley; University of California System; University of California Berkeley</t>
  </si>
  <si>
    <t>Vianna, JA (corresponding author), Pontificia Univ Catolica Chile, Fac Agron &amp; Ingn Forestal, Dept Ecosistemas &amp; Medio Ambiente, Vicuna Mackenna 4860, Santiago, Chile.</t>
  </si>
  <si>
    <t>jvianna@uc.cl</t>
  </si>
  <si>
    <t>Dinamarca, Maria Eugenia Lopez/H-4449-2013; Waters, Jonathan/B-4983-2009; bi, ke/KBB-4145-2024; Bowie, Rauri/H-9165-2019; Frugone, María José/AAH-2930-2019; Petry, Maria Virginia/AAG-5333-2021; Poulin, Elie/C-2654-2012; petry, maria/K-8410-2013; Vianna, Juliana/E-9847-2015; Dantas, Gisele/B-6822-2014</t>
  </si>
  <si>
    <t>Waters, Jonathan/0000-0002-1514-7916; Bowie, Rauri/0000-0001-8328-6021; Frugone, María José/0000-0002-8302-0386; Poulin, Elie/0000-0001-7736-0969; Cole, Theresa/0000-0002-0197-286X; petry, maria/0000-0002-7870-7394; Vianna, Juliana/0000-0003-2330-7825; Polanowski, Andrea/0000-0002-9612-220X; Lowther, Andrew/0000-0003-4294-3157; Pistorius, Pierre/0000-0001-6561-7069; Dantas, Gisele/0000-0001-5282-7577</t>
  </si>
  <si>
    <t>Instituto Antartico Chileno [DT-11_17, INACH RT_12-14]; Comision Nacional de Ciencia y Tecnologia de Chile [21160387]; FONDECYT [1150517, 1151336]; CONICYT PIA [ACT172065 GAB, AFB170008 IEB]; French Polar Institute (IPEV) [ETHOTAAF 354]; INCT-APA from Brazil (CNPq); INCT-APA from Brazil (FAPERJ); Council National Research from Brazil [CNPq 574018/2008-5, CNPq 442702/2018-3]; NERC [bas0100035] Funding Source: UKRI</t>
  </si>
  <si>
    <t>Instituto Antartico Chileno; Comision Nacional de Ciencia y Tecnologia de Chile; FONDECYT(Comision Nacional de Investigacion Cientifica y Tecnologica (CONICYT)CONICYT FONDECYT); CONICYT PIA; French Polar Institute (IPEV); INCT-APA from Brazil (CNPq)(Conselho Nacional de Desenvolvimento Cientifico e Tecnologico (CNPQ)Fundacao de Apoio a Pesquisa do Distrito Federal (FAPDF)); INCT-APA from Brazil (FAPERJ)(Fundacao Carlos Chagas Filho de Amparo a Pesquisa do Estado do Rio De Janeiro (FAPERJ)); Council National Research from Brazil; NERC(UK Research &amp; Innovation (UKRI)Natural Environment Research Council (NERC))</t>
  </si>
  <si>
    <t>This study received funding support from several institutions. We are grateful to Instituto Antartico Chileno [DT-11_17 and INACH RT_12-14]; Comision Nacional de Ciencia y Tecnologia de Chile [21160387]; FONDECYT [1150517 and 1151336]; CONICYT PIA [ACT172065 GAB and AFB170008 IEB]; French Polar Institute (IPEV) [ETHOTAAF 354]; INCT-APA from Brazil (CNPq and FAPERJ); The Council National Research from Brazil [CNPq 574018/2008-5, CNPq 442702/2018-3]. Logistical support was provided by the Brazilian Secretary of the Inter-Ministry on Marine Resources (SECIRM) and Armada de Chile.</t>
  </si>
  <si>
    <t>1055-7903</t>
  </si>
  <si>
    <t>1095-9513</t>
  </si>
  <si>
    <t>MOL PHYLOGENET EVOL</t>
  </si>
  <si>
    <t>Mol. Phylogenet. Evol.</t>
  </si>
  <si>
    <t>10.1016/j.ympev.2019.106563</t>
  </si>
  <si>
    <t>Biochemistry &amp; Molecular Biology; Evolutionary Biology; Genetics &amp; Heredity</t>
  </si>
  <si>
    <t>IW5TW</t>
  </si>
  <si>
    <t>WOS:000485041900047</t>
  </si>
  <si>
    <t>Kharitonov, VV</t>
  </si>
  <si>
    <t>Kharitonov, Victor V.</t>
  </si>
  <si>
    <t>On the results of studying ice ridges in the Shokal'skogo Strait, part II: Porosity</t>
  </si>
  <si>
    <t>COLD REGIONS SCIENCE AND TECHNOLOGY</t>
  </si>
  <si>
    <t>Ice ridge; Thermal drilling; Internal structure; Consolidated layer; Porosity</t>
  </si>
  <si>
    <t>STRENGTH</t>
  </si>
  <si>
    <t>The paper describes the morphometric characteristics of three first-year ice ridges investigated in April and May 2016 in the Shokal'skogo Strait (Severnaya Zemlya Archipelago). These studies were conducted using hot water thermal drilling with computer recording of the penetration rate. Boreholes were drilled along the cross-section of the ridge crest mainly at 0.25 m intervals. The main results of the ice ridges studies are given in Part I. Cross-sectional profiles of ice ridges are illustrated. In each borehole, porosity of an ice ridge was calculated as the ratio of the length of all voids to total length of the borehole. Processing of the results showed that when studying ice ridges for obtaining the porosity values close to the true ones, the boreholes should be drilled with a spacing not exceeding two meters. Away from the point where the keel has the maximum draft, the average porosity of the unconsolidated part of the keel tends to increase. This feature is a consequence of the effect of the Archimedes force and agrees with the model of porosity changes from the theory of granular media.</t>
  </si>
  <si>
    <t>[Kharitonov, Victor V.] Arctic &amp; Antarctic Res Inst, 38 Beringa St, St Petersburg 199397, Russia</t>
  </si>
  <si>
    <t>Kharitonov, VV (corresponding author), Arctic &amp; Antarctic Res Inst, 38 Beringa St, St Petersburg 199397, Russia.</t>
  </si>
  <si>
    <t>sogra.kharitonov@mail.ru</t>
  </si>
  <si>
    <t>Kharitonov, Victor/0000-0003-1847-9980</t>
  </si>
  <si>
    <t>0165-232X</t>
  </si>
  <si>
    <t>1872-7441</t>
  </si>
  <si>
    <t>COLD REG SCI TECHNOL</t>
  </si>
  <si>
    <t>Cold Reg. Sci. Tech.</t>
  </si>
  <si>
    <t>10.1016/j.coldregions.2019.102842</t>
  </si>
  <si>
    <t>Engineering, Environmental; Engineering, Civil; Geosciences, Multidisciplinary</t>
  </si>
  <si>
    <t>Engineering; Geology</t>
  </si>
  <si>
    <t>IU9QO</t>
  </si>
  <si>
    <t>WOS:000483915700006</t>
  </si>
  <si>
    <t>Dreyer, A; Neugebauer, F; Lohmann, N; Rüdel, H; Teubner, D; Grotti, M; Rauert, C; Koschorreck, J</t>
  </si>
  <si>
    <t>Dreyer, Annekatrin; Neugebauer, Frank; Lohmann, Nina; Ruedel, Heinz; Teubner, Diana; Grotti, Marco; Rauert, Caren; Koschorreck, Jan</t>
  </si>
  <si>
    <t>Recent findings of halogenated flame retardants (HFR) in the German and Polar environment</t>
  </si>
  <si>
    <t>Chlorinated flame retardants; BFR; Dechlorane plus; DBDPE; DPTE; PBDE</t>
  </si>
  <si>
    <t>DIPHENYL ETHERS PBDES; DONANA NATURAL SPACE; DECHLORANE PLUS; FOOD-WEB; DECHLORINATED ANALOGS; TISSUE DISTRIBUTION; ORGANIC POLLUTANTS; TROPHIC TRANSFER; TEMPORAL TRENDS; MULTI-MATRICES</t>
  </si>
  <si>
    <t>To get an overview about distribution, levels and temporal trends of polybrominated diphenyl ethers (PBDE) and halogenated flame retardants (HFR) of emerging concern, different types of environmental samples archived in the German Environment Specimen Bank as well as fish filet samples from the Arctic (n = 13) and Antarctica (n = 5) were analysed for 43 substances (24 PBDE, 19 HFR) using a multi-column clean-up and GC-API-MS/MS or GC-MS. Sample types were herring gull egg (n = 3), blue mussel (n = 3) and eelpout filet (n = 3) from the German North- and Baltic Sea, bream filet (n = 7), zebra mussel (n = 6) and suspended particulate matter (SPM, n = 7) from German freshwater ecosystems as well as tree leaves (n = 9)/shoots (n =10), soil (n = 4), earthworm (n = 4) and deer liver (n = 7) as representatives of German terrestrial ecosystems. PBDE and emerging HFR were present in each investigated matrices from Germany and Polar regions showing their widespread distribution. The presence in Arctic and Antarctic fish samples confirms their long-range transport potential. Average concentrations of total emerging HFR were highest in SPM (26 ng g(-1) dry weight (dw)), zebra mussel (10 ng g(-1) dw) and herring gull egg (2.6 ng g(-1) dw). Lowest levels were measured in fish filet samples from Antarctica (0.02 ng g (-1) dw). Average total PBDE concentrations were highest in bream filet (154 ng g (-1)), herring gull egg (61 ng g(-1) dw), SPM (21 ng g(-1) dw), and zebra mussel 18 (ng g(-1)) and lowest in deer liver (0.04 ng g(-1) dw). The patterns of non-fauna terrestrial samples (leaves, shoots, soil) as well as SPM were dominated by DBDPE and BDE209. Elevated proportions of DPTE and in most cases the absence of DBDPE characterized all fauna samples with the exception of Polar samples. Overall, emerging HFR appeared to be less bioaccumulative than PBDE. Temporal trends were generally decreasing with few exceptions such as DBDPE. (C) 2019 Elsevier Ltd. All rights reserved.</t>
  </si>
  <si>
    <t>[Dreyer, Annekatrin] Eurofins GfA GmbH, Air Monitoring, Hamburg, Germany; [Neugebauer, Frank; Lohmann, Nina] Eurofins GfA Lab Serv GmbH, D-21079 Hamburg, Germany; [Ruedel, Heinz] Fraunhofer Inst Mol Biol &amp; Appl Ecol Fraunhofer I, Schmallenberg, Germany; [Teubner, Diana] Trier Univ, Biogeog, Trier, Germany; [Grotti, Marco] Univ Genoa, Dept Chem &amp; Ind Chem, I-16146 Genoa, Italy; [Rauert, Caren; Koschorreck, Jan] German Environm Agcy, Berlin, Germany; [Dreyer, Annekatrin] ANECO Inst Umweltschutz GmbH &amp; Co, Hamburg, Germany</t>
  </si>
  <si>
    <t>Fraunhofer Gesellschaft; Universitat Trier; University of Genoa</t>
  </si>
  <si>
    <t>Dreyer, A (corresponding author), Eurofins GfA GmbH, Air Monitoring, Hamburg, Germany.;Dreyer, A (corresponding author), ANECO Inst Umweltschutz GmbH &amp; Co, Hamburg, Germany.</t>
  </si>
  <si>
    <t>annekatrindreyer@eurofins.de</t>
  </si>
  <si>
    <t>Grotti, Marco/HGU-3949-2022</t>
  </si>
  <si>
    <t>Grotti, Marco/0000-0001-6956-5761; Rudel, Heinz/0000-0002-4175-4787; Koschorreck, Jan/0000-0002-1043-3278</t>
  </si>
  <si>
    <t>German Environment Agency [53997]; Italian National Antarctic Research Programme (PNRA)</t>
  </si>
  <si>
    <t>German Environment Agency; Italian National Antarctic Research Programme (PNRA)</t>
  </si>
  <si>
    <t>This study was funded by the German Environment Agency (Project Number 53997). The authors thank CIENS - Oslo Centre for Interdisciplinary Environmental and Social Research for enabling the analyses of Arctic samples. Sample collection in Antarctica was financially supported by the Italian National Antarctic Research Programme (PNRA). The authors wish to thank Dr. Armando Macali, the PNRA logistic staff, the CIENS staff, and research vessel crews for the field work activities as well as the laboratory staff of Eurofins GfA Lab Service, particularly Judith Sohler, for analyzing the samples. Sonja Uhlig and Georg Radermacher (both Fraunhofer IME) is thanked for the preparation of the Antarctic fish samples. The dedicated work of the ESB teams at all partner organizations is acknowledged.</t>
  </si>
  <si>
    <t>10.1016/j.envpol.2019.07.070</t>
  </si>
  <si>
    <t>IU2JQ</t>
  </si>
  <si>
    <t>WOS:000483406700084</t>
  </si>
  <si>
    <t>Sutilli, M; Ferreira, PAL; Figueira, RCL; Martins, CC</t>
  </si>
  <si>
    <t>Sutilli, Marina; Ferreira, Paulo A. L.; Figueira, Rubens C. L.; Martins, Cesar C.</t>
  </si>
  <si>
    <t>Depositional input of hydrocarbons recorded in sedimentary cores from Deception and Penguin Islands (South Shetland Archipelago, Antarctica)</t>
  </si>
  <si>
    <t>Sediment core; Coal deposits; Antarctica</t>
  </si>
  <si>
    <t>POLYCYCLIC AROMATIC-HYDROCARBONS; KING GEORGE ISLAND; MARINE-SEDIMENTS; PETROLEUM-HYDROCARBONS; ORGANIC-COMPOUNDS; MCMURDO-STATION; ADMIRALTY BAY; CONTAMINATION; SOILS; PAH</t>
  </si>
  <si>
    <t>Polycyclic aromatic hydrocarbons (PAHs) and aliphatic hydrocarbons (AHs), including petroleum biomarkers, were studied in four sediment cores collected around Deception and Penguin Islands, Antarctica. Total PAH5 in Deception Island (DCP) samples ranged from 2.0 to 26.8 ng g(-1), and in Penguin Island (PGI) varied between 13.2 and 60.3 ng g(-1). Multiple sources of PAHs were verified in DCP, with petrogenic-derived compounds being predominant over the last 10 years. In PGI, PAHs related to natural contributions from the erosion of coal deposits were reported. Total AHs in DCP ranged from 4.5 to 19 mu g g(-1) and in PGI varied between 5.3 and 21.9 mu g g(-1) . In DCP, the n-alkanes distribution pattern showed the presence of petroleum residues in the top sections and both terpanes and hopanes were detected, related to the use of fossil fuels for power generation and in different types of vessels. In PGI, the main source of n-alkanes was marine inputs and only terpanes were detected. The slight increase in hydrocarbon levels observed from 1980 onward in DCP was assumed to be due to the development of tourism in the region and to the scientific station activities. In PGI, anthropogenic-related hydrocarbons were detected in the recent sections and were linked to the development of tourism near the island, scientific activities and the increase in vessel traffic. In general, the concentrations of hydrocarbons found around both islands were comparable to those found in uncontaminated Antarctic regions. (C) 2019 Elsevier Ltd. All rights reserved.</t>
  </si>
  <si>
    <t>[Sutilli, Marina] Univ Fed Parana, Programa Posgrad Sistemas Costeiros &amp; Oceanicos P, Caixa Postal 61, BR-83255976 Pontal Do Parana, PR, Brazil; [Sutilli, Marina; Martins, Cesar C.] Univ Fed Parana, Ctr Estudos Mar, Caixa Postal 61, BR-83255976 Pontal Do Parana, PR, Brazil; [Ferreira, Paulo A. L.; Figueira, Rubens C. L.] Univ Sao Paulo, Inst Oceanog, Praca Oceanog 191, BR-05508900 Sao Paulo, SP, Brazil</t>
  </si>
  <si>
    <t>Universidade Federal do Parana; Universidade Federal do Parana; Universidade de Sao Paulo</t>
  </si>
  <si>
    <t>Martins, CC (corresponding author), Univ Fed Parana, Ctr Estudos Mar, Caixa Postal 61, BR-83255976 Pontal Do Parana, PR, Brazil.</t>
  </si>
  <si>
    <t>ccmart@ufpr.br</t>
  </si>
  <si>
    <t>Ferreira, Paulo/H-3654-2012</t>
  </si>
  <si>
    <t>Ferreira, Paulo/0000-0001-9723-3166; de Castro Martins, Cesar/0000-0002-2515-5565</t>
  </si>
  <si>
    <t>Antarctic Brazilian Program (PROANTAR); Secretaria da Comissao Interministerial para os Recursos do Mar (SECIRM); Conselho Nacional de Desenvolvimento Cientifico e Tecnologico (CNPq) [550014/2007-1, 442692/2018-8]; CAPES (Coordenacao de Aperfeicoamento de Pessoal de Ensino Superior)</t>
  </si>
  <si>
    <t>Antarctic Brazilian Program (PROANTAR); Secretaria da Comissao Interministerial para os Recursos do Mar (SECIRM); Conselho Nacional de Desenvolvimento Cientifico e Tecnologico (CNPq)(Conselho Nacional de Desenvolvimento Cientifico e Tecnologico (CNPQ)); CAPES (Coordenacao de Aperfeicoamento de Pessoal de Ensino Superior)(Coordenacao de Aperfeicoamento de Pessoal de Nivel Superior (CAPES))</t>
  </si>
  <si>
    <t>The work was supported by the Antarctic Brazilian Program (PROANTAR), Secretaria da Comissao Interministerial para os Recursos do Mar (SECIRM) and Conselho Nacional de Desenvolvimento Cientifico e Tecnologico (CNPq, 550014/2007-1 and 442692/2018-8). M. Sutilli would like to thank CAPES (Coordenacao de Aperfeicoamento de Pessoal de Ensino Superior) for the M.Sc. Scholarship. The authors wish to thank the NApOc Ary Rongel staff and J.A. Ferreira for support during the sampling activities. The authors also thank A.L.L. Dauner for the map and M.R. Garcia for assistance in PBMs analyses. This study was developed as part of the Graduate program in estuarine and ocean systems at the Federal University of Parana (PGSISCO-UFPR).</t>
  </si>
  <si>
    <t>10.1016/j.envpol.2019.07.057</t>
  </si>
  <si>
    <t>WOS:000483406700098</t>
  </si>
  <si>
    <t>Ouknine, L; Khiri, F; Ibhi, A; Heikal, MTS; Saint-Gerant, T; Medjkane, M</t>
  </si>
  <si>
    <t>Ouknine, Lahcen; Khiri, Fouad; Ibhi, Abderrahmane; Heikal, Mohamed Th S.; Saint-Gerant, Thierry; Medjkane, Mohand</t>
  </si>
  <si>
    <t>Insight into African meteorite finds: Typology, mass distribution and weathering process</t>
  </si>
  <si>
    <t>JOURNAL OF AFRICAN EARTH SCIENCES</t>
  </si>
  <si>
    <t>Meteorite finds; Africa; Classification; Mass distribution; Weathering grades</t>
  </si>
  <si>
    <t>NON-ANTARCTIC METEORITES; ORDINARY CHONDRITES; HOT DESERT; SHOCK METAMORPHISM; TERRESTRIAL AGES; COLLECTION AREA; CLASSIFICATION; ORIGIN; IMPACT; REGION</t>
  </si>
  <si>
    <t>Africa is a favorable site for meteorites recovery in which the total number of meteorites represents more than 1/6 of all extra-terrestrial rocks recovered from the entire world. This work studies the classification of the African meteorite finds, their masses' distribution and their alteration grades to verify some factors influencing the weathering processes. The African population comprises an abundance of stony meteorites with high percentages of rare meteorites of the world collection: Martian meteorites (62%), Ureilites (51%), Rumuruti (59%), Lunar (47%), and HED (46%). Furthermore, throughout the last two decades, the authors noted an important increase of achondrite meteorites compared to the Australian and Antarctic collections. The mass distribution of African population shows that most of the recoveries (72%) have masses more than 100 g. It peaks at about 1 kg, compared to about 0.1 kg for the Australian collection and 0.01 kg for the Antarctic finds. On the other hand, the distribution of weathering grades (W) shows the predominant of W1 (32%) and W2 (34%) which proves a better preservation of meteorites. The factors influencing the mechanism and rate of alteration of African finds include the climate, which is the main factor, the mass, the terrestrial age and the initial porosity of the samples.</t>
  </si>
  <si>
    <t>[Ouknine, Lahcen; Khiri, Fouad; Ibhi, Abderrahmane] Ibn Zohr Univ, Fac Sci, Petrol Metallogeny &amp; Meteorites Team, Agadir, Morocco; [Heikal, Mohamed Th S.] Tanta Univ, Fac Sci, Dept Geol, Tanta, Egypt; [Saint-Gerant, Thierry; Medjkane, Mohand] Univ Caen, IDEES, Caen, France; [Ouknine, Lahcen] Fac Sci, Dept Geol, BP 8106, Cite Dakhla 80000, Agadir, Morocco</t>
  </si>
  <si>
    <t>Ibn Zohr University of Agadir; Egyptian Knowledge Bank (EKB); Tanta University; Universite de Caen Normandie; Ibn Zohr University of Agadir</t>
  </si>
  <si>
    <t>Ouknine, L (corresponding author), Ibn Zohr Univ, Fac Sci, Petrol Metallogeny &amp; Meteorites Team, Agadir, Morocco.;Ouknine, L (corresponding author), Fac Sci, Dept Geol, BP 8106, Cite Dakhla 80000, Agadir, Morocco.</t>
  </si>
  <si>
    <t>lahcen.ouknine@edu.uiz.ac.ma; fkhiri2009@gmail.com; a.ibhi@uiz.ac.ma; mohamed.hekal1@science.tanta.edu.eg; thierry.saint-gerand@unicaen.fr</t>
  </si>
  <si>
    <t>Ibhi, Abderrahmane/AAD-3549-2022</t>
  </si>
  <si>
    <t>Medjkane, Mohand/0000-0001-9691-1797; Ouknine, Lahcen/0000-0002-1780-6946</t>
  </si>
  <si>
    <t>1464-343X</t>
  </si>
  <si>
    <t>1879-1956</t>
  </si>
  <si>
    <t>J AFR EARTH SCI</t>
  </si>
  <si>
    <t>J. Afr. Earth Sci.</t>
  </si>
  <si>
    <t>10.1016/j.jafrearsci.2019.103551</t>
  </si>
  <si>
    <t>IU3CQ</t>
  </si>
  <si>
    <t>WOS:000483456700014</t>
  </si>
  <si>
    <t>Lago, V; England, MH</t>
  </si>
  <si>
    <t>Lago, Veronique; England, Matthew H.</t>
  </si>
  <si>
    <t>Projected Slowdown of Antarctic Bottom Water Formation in Response to Amplified Meltwater Contributions</t>
  </si>
  <si>
    <t>Southern Ocean; Abyssal circulation; Meridional overturning circulation; Ocean circulation; Freshwater; Coupled models</t>
  </si>
  <si>
    <t>SEA-LEVEL RISE; SOUTHERN-OCEAN; THERMOHALINE CIRCULATION; CLIMATE MODEL; ICE-SHEET; FLUX; ABYSSAL; DEEP; SENSITIVITY; CONVECTION</t>
  </si>
  <si>
    <t>The sinking and recirculation of Antarctic Bottom Water (AABW) are a major regulator of the storage of heat, carbon, and nutrients in the ocean. This sinking is sensitive to changes in surface buoyancy, in particular because of freshening since salinity plays a greater role in determining density at cold temperatures. Acceleration in Antarctic ice-shelf and land-ice melt could thus significantly impact the ventilation of the world's oceans, yet future projections do not usually include this effect in models. Here we use an ocean-sea ice model to investigate the potential long-term impact of Antarctic meltwater on ocean circulation and heat storage. The freshwater forcing is derived from present-day estimates of meltwater input from drifting icebergs and basal melt, combined with RCP2.6, RCP4.5, and RCP8.5 scenarios of projected amplification of Antarctic meltwater. We find that the additional freshwater induces a substantial slowdown in the formation rate of AABW, reducing ventilation of the abyssal ocean. Under both the RCP4.5 and RCP8.5 meltwater scenarios, there is a near-complete shutdown of AABW formation within just 50 years, something that is not captured by climate model projections. The abyssal overturning at similar to 30 degrees S also weakens, with an similar to 20-yr delay relative to the onset of AABW slowdown. After 200 years, up to similar to 50% of the original volume of AABW has disappeared as a result of abyssal warming, induced by vertical mixing in the absence of AABW ventilation. This result suggests that climate change could induce the disappearance of present-day abyssal water masses, with implications for the global distribution of heat, carbon, and nutrients.</t>
  </si>
  <si>
    <t>[Lago, Veronique; England, Matthew H.] Univ New South Wales, Climate Change Res Ctr, Sydney, NSW, Australia; [Lago, Veronique; England, Matthew H.] Univ New South Wales, Australian Res Council, Ctr Excellence Climate Syst Sci, Sydney, NSW, Australia</t>
  </si>
  <si>
    <t>Lago, V (corresponding author), Univ New South Wales, Climate Change Res Ctr, Sydney, NSW, Australia.</t>
  </si>
  <si>
    <t>v.lago@unsw.edu.au</t>
  </si>
  <si>
    <t>England, Matthew/A-7539-2011</t>
  </si>
  <si>
    <t>England, Matthew/0000-0001-9696-2930</t>
  </si>
  <si>
    <t>Australian Research Council; ARC Centre of Excellence for Climate System Science [CE110001028]; Centre for Southern Hemisphere Oceans Research (CSHOR); Australian government</t>
  </si>
  <si>
    <t>Australian Research Council(Australian Research Council); ARC Centre of Excellence for Climate System Science(Australian Research Council); Centre for Southern Hemisphere Oceans Research (CSHOR); Australian government(Australian Government)</t>
  </si>
  <si>
    <t>This work was supported by the Australian Research Council, including the ARC Centre of Excellence for Climate System Science (CE110001028). Author MHE is also supported by the Centre for Southern Hemisphere Oceans Research (CSHOR), a joint research center between QNLM, CSIRO, UNSW, and UTAS. Numerical simulations were conducted at the NCI National Facility systems at the Australian National University through the National Computational Merit Allocation Scheme supported by the Australian government. We thank Nacho Merino and Julien Le Sommer for generously providing their Antarctic iceberg melt climatology ahead of public release and the GFDL/NOAA for ongoing provision and support of the Modular Ocean Model (MOM). We acknowledge helpful discussions with Adele Morrison, Andy Hogg, Paul Spence, and other members of the COSIMA consortium (http://www.cosima.org.au).</t>
  </si>
  <si>
    <t>10.1175/JCLI-D-18-0622.1</t>
  </si>
  <si>
    <t>IT6AH</t>
  </si>
  <si>
    <t>WOS:000482951300001</t>
  </si>
  <si>
    <t>O'Gorman, JP; Santillana, S; Otero, R; Reguero, M</t>
  </si>
  <si>
    <t>O'Gorman, J. P.; Santillana, S.; Otero, R.; Reguero, M.</t>
  </si>
  <si>
    <t>A giant elasmosaurid (Sauropterygia; Plesiosauria) from Antarctica: New information on elasmosaurid body size diversity and aristonectine evolutionary scenarios</t>
  </si>
  <si>
    <t>Elasmosauridae; Aristonectinae; Aristonectes; Lopez de Bertodano; Upper cretaceous</t>
  </si>
  <si>
    <t>SEYMOUR-ISLAND; BERTODANO FORMATION; MAUISAURUS HECTOR; MARAMBIO GROUP; REPTILIA; SPECIMEN; REASSESSMENT; GASTROLITHS; EXTINCTION; PENINSULA</t>
  </si>
  <si>
    <t>Aristonectines show a highly derived morphology among elasmosaurid plesiosaurs, including some species with large body size. A new postcranial skeleton is described from the uppermost Maastrichtian levels of the Lopez de Bertodano Formation, Seymour Island (= Marambio), Antarctica, being referred to as cf. Aristonectes sp; the most striking feature of the specimen described is its large body size, among the largest elasmosaurids worldwide. The occurrence of this specimen, located approximately 2.3 m or less below the Cretaceous-Paleogene (K/Pg) boundary, indicates the persistence of aristonectines at high latitudes and also it verifies their chronostratigraphical distribution until the end Cretaceous, before the mass extinction. Elasmosaurid diversity in terms of body size, possible relation of this body size, the trophic niche and abiotic drivers in aristonectine evolution are discussed. The body size inferred for MLP 89-III-3-1 seems to indicate an environment with high primary productivity, suggesting that these conditions persisted until the K/Pg mass extinction. (C) 2019 Elsevier Ltd. All rights reserved.</t>
  </si>
  <si>
    <t>[O'Gorman, J. P.; Reguero, M.] Univ Nacl La Plata, Museo La Plata, Div Paleontol Vertebrados, Paseo Bosque S-N,B1900FWA, La Plata, Buenos Aires, Argentina; [O'Gorman, J. P.] Consejo Nacl Invest Cient &amp; Tecn, Godoy Cruz 2290,C1425FQB, Caba, Argentina; [Santillana, S.; Reguero, M.] Inst Antartico Argentino, 25 Mayo 1143,B1650HMK, Buenos Aires, DF, Argentina; [Otero, R.] Univ Chile, Fac Ciencias, Dept Biol, Lab Ontogenia &amp; Filogenia,Red Paleontol U Chile, Santiago 3425, Chile; [Otero, R.] Consultora Paleosuchus Ltda, Huelen 165, Santiago, Chile</t>
  </si>
  <si>
    <t>National University of La Plata; Museo La Plata; Consejo Nacional de Investigaciones Cientificas y Tecnicas (CONICET); Instituto Antartico Argentino; Universidad de Chile</t>
  </si>
  <si>
    <t>O'Gorman, JP (corresponding author), Univ Nacl La Plata, Museo La Plata, Div Paleontol Vertebrados, Paseo Bosque S-N,B1900FWA, La Plata, Buenos Aires, Argentina.</t>
  </si>
  <si>
    <t>joseogorman@fcnym.unlp.edu.ar; ssantillana@dna.gov.ar; otero2112@gmail.com; mreguero@dna.gov.ar</t>
  </si>
  <si>
    <t>O’Gorman, José/AAK-6096-2021; Reguero, Marcelo A./JHS-4893-2023</t>
  </si>
  <si>
    <t>Otero, Rodrigo/0000-0002-3046-2973</t>
  </si>
  <si>
    <t>Direccion Nacional del Antartico; Institute Antartico Argentino [PICTO 2010-0093]; Consejo Nacional de Investigaciones Cientificas y Tecnologicas; Agencia Nacional de Promocion Cientifica y Tecnologica; Universidad Nacional de La Plata [PICT -20120748, PICT 2015-0678]; Proyecto Anillo Conicyt-Chile [ACT 172099]</t>
  </si>
  <si>
    <t>Direccion Nacional del Antartico; Institute Antartico Argentino; Consejo Nacional de Investigaciones Cientificas y Tecnologicas; Agencia Nacional de Promocion Cientifica y Tecnologica(ANPCyTSpanish Government); Universidad Nacional de La Plata(National University of La Plata); Proyecto Anillo Conicyt-Chile</t>
  </si>
  <si>
    <t>This contribution was mainly funded by the Direccion Nacional del Antartico and the Institute Antartico Argentino, project: PICTO 2010-0093. Partial funding was provided by the Consejo Nacional de Investigaciones Cientificas y Tecnologicas, Agencia Nacional de Promocion Cientifica y Tecnologica, and Universidad Nacional de La Plata through PICT -20120748 and PICT 2015-0678. We thank the logistic support of the Fuerza Aerea Argentina. Thanks to E. PerezPincheira; N. Munoz, L. Acosta-Burlaille and F. Solari-Orellana for partial fossil preparation. The authors thank Z. Gasparini for reading an earlier version of the manuscript, and B. Zinsmeister, J. Moly, P. Bona and M. De Los Reyes and J. Lusky for the Antarctic fieldwork and comments that improved this manuscript. RAO was supported by Proyecto Anillo Conicyt-Chile, ACT 172099. The authors thank the comments of the editor, two anonymous reviewers and S. Sachs (Naturkunde-Museum Bielefeld, Germany) that improved this contribution.</t>
  </si>
  <si>
    <t>10.1016/j.cretres.2019.05.004</t>
  </si>
  <si>
    <t>IS6GM</t>
  </si>
  <si>
    <t>WOS:000482250300005</t>
  </si>
  <si>
    <t>Finlayson-Pitts, BJ</t>
  </si>
  <si>
    <t>Finlayson-Pitts, Barbara J.</t>
  </si>
  <si>
    <t>Multiphase chemistry in the troposphere: It all starts ... and ends ... with gases</t>
  </si>
  <si>
    <t>INTERNATIONAL JOURNAL OF CHEMICAL KINETICS</t>
  </si>
  <si>
    <t>atmosphere; gas; kinetics; multiphase; particles</t>
  </si>
  <si>
    <t>SECONDARY ORGANIC AEROSOL; SEA SPRAY AEROSOL; IONIZATION MASS-SPECTROMETRY; DELIQUESCED NABR AEROSOL; SULFURIC ACID-AMINE; METHANESULFONIC-ACID; PARTICLE FORMATION; MOLECULAR BROMINE; BINARY NUCLEATION; OZONE DESTRUCTION</t>
  </si>
  <si>
    <t>When the phenomena of smog and acid deposition were first recognized, it was largely gas phase chemists and photochemists who leapt into the fray to untangle the sources and chemistry involved. Over time, the importance of multiphase chemistry was recognized, as illustrated in a dramatic manner with the discovery of the Antarctic ozone hole which is driven by heterogeneous chemistry on polar stratospheric clouds. Since then, it has become clear that multiphase chemistry is central to both the lower and upper atmosphere and that this deeply intertwines interactions between the gas and condensed phases in the atmosphere. As a result, it can be argued that multiphase atmospheric chemistry begins horizontal ellipsis and ends horizontal ellipsis with gases. This paper is based on the 2018 Polanyi Medal award presentation at the 25th International Symposium on Gas Kinetics &amp; Related Phenomena and traces research carried out in the author's laboratory on multiphase chemistry over a number of decades. While a great deal has been learned about these processes, they remain one of the areas of greatest uncertainty in understanding atmospheric composition, air quality, chemistry, and climate change.</t>
  </si>
  <si>
    <t>[Finlayson-Pitts, Barbara J.] Univ Calif Irvine, Dept Chem, Irvine, CA 92697 USA</t>
  </si>
  <si>
    <t>University of California System; University of California Irvine</t>
  </si>
  <si>
    <t>Finlayson-Pitts, BJ (corresponding author), Univ Calif Irvine, Dept Chem, Irvine, CA 92697 USA.</t>
  </si>
  <si>
    <t>bjfinlay@uci.edu</t>
  </si>
  <si>
    <t>Finlayson-Pitts, Barbara/0000-0003-4650-168X</t>
  </si>
  <si>
    <t>0538-8066</t>
  </si>
  <si>
    <t>1097-4601</t>
  </si>
  <si>
    <t>INT J CHEM KINET</t>
  </si>
  <si>
    <t>Int. J. Chem. Kinet.</t>
  </si>
  <si>
    <t>10.1002/kin.21305</t>
  </si>
  <si>
    <t>Chemistry, Physical</t>
  </si>
  <si>
    <t>IR9WT</t>
  </si>
  <si>
    <t>WOS:000481798000002</t>
  </si>
  <si>
    <t>Rickli, J; Janssen, DJ; Hassler, C; Ellwood, MJ; Jaccard, SL</t>
  </si>
  <si>
    <t>Rickli, Joerg; Janssen, David J.; Hassler, Christel; Ellwood, Michael J.; Jaccard, Samuel L.</t>
  </si>
  <si>
    <t>Chromium biogeochemistry and stable isotope distribution in the Southern Ocean</t>
  </si>
  <si>
    <t>Seawater; Chromium isotopes; Southern Ocean</t>
  </si>
  <si>
    <t>NATURAL IRON FERTILIZATION; FRACTIONATION FACTORS; CR(VI) REDUCTION; HEXAVALENT CHROMIUM; SEAWATER; ATLANTIC; PACIFIC; ZINC; PHYTOPLANKTON; SPECIATION</t>
  </si>
  <si>
    <t>Despite the potential of stable chromium (Cr) isotope compositions as a proxy for past changes in oceanic redox conditions, a detailed understanding of the processes that govern their spatial distribution in the modern ocean is still lacking. Here, we report seawater Cr isotope compositions and concentrations from the uppermost 1000 m of the water column in the Southern Ocean. The survey includes a cross-frontal transect from Tasmania to Antarctica, sites near the Antarctic ice-edge and in the vicinity of the Balleny Islands, as well as sites in the Drake Passage. Although a coastal influence is clearly visible in the silicon-nitrate relationship at the stations neighbouring the Balleny Islands, close to the Mertz Glacier and adjacent to the western Antarctic Peninsula, seawater delta Cr-53 and Cr concentrations remain largely unaffected. As for the coastal sites, Cr depletion and isotopic shifts are also virtually absent in Antarctic and Subantarctic surface waters of the open ocean. Biological uptake of Cr and/or scavenging of Cr onto sinking particles are apparently not strong enough to induce water column variability. Contrasting with the small variations in delta Cr-53 and Cr concentrations at each site, there are, however, systematic meridional changes. The seawater samples show an increase in Cr concentrations and a parallel decrease in delta Cr-53 southwards from the Subantarctic across the Polar Frontal into the Antarctic Zone. Chromium concentrations and delta Cr-53 are, however, uniform at all stations south of the Polar Front. The spatial pattern is consistent with the mixing of Southern Ocean sourced Cr with an isotopically heavier Cr pool from northward of the studied area, as evidenced by strong correlations of Cr and delta Cr-53 with salinity at the level of Subantarctic Mode Water and at shallower levels. The heavy delta Cr-53 signature of the northerly Cr pool could either result from Cr cycling in the subtropical gyre or originate in oxygen minimum zones. On a regional scale, delta Cr-53 is strongly correlated with phosphate concentrations, which may hint at a time-integrated effect of major nutrient drawdown on delta Cr-53. Southern Ocean data support previous work demonstrating a strong relationship between seawater Cr concentrations and delta(53) Cr. At the studied sites, this relationship reflects mixing of isotopically distinct Cr pools. The end-members observed in the studied area are, however, consistent with the previously described closed-system Rayleigh type fractionation of Cr in seawater characterized by a single fractionation factor. The underlying processes, which produce the observed fractionation, are not fully constrained to date. (C) 2019 The Authors. Published by Elsevier Ltd.</t>
  </si>
  <si>
    <t>[Rickli, Joerg; Janssen, David J.; Jaccard, Samuel L.] Univ Bern, Inst Geol Sci, Baltzerstr 1-3, CH-3012 Bern, Switzerland; [Rickli, Joerg; Janssen, David J.; Jaccard, Samuel L.] Univ Bern, Oeschger Ctr Climate Change Res, Baltzerstr 1-3, CH-3012 Bern, Switzerland; [Rickli, Joerg] Swiss Fed Inst Technol, Inst Geochem &amp; Petrol, Clausiusstr 25, CH-8092 Zurich, Switzerland; [Hassler, Christel] Univ Geneva, Dept FA Forel Environm &amp; Aquat Sci, Blvd Carl Vogt 66, CH-1211 Geneva, Switzerland; [Ellwood, Michael J.] Australian Natl Univ, Res Sch Earth Sci, Canberra, ACT 2601, Australia</t>
  </si>
  <si>
    <t>University of Bern; University of Bern; Swiss Federal Institutes of Technology Domain; ETH Zurich; University of Geneva; Australian National University</t>
  </si>
  <si>
    <t>Rickli, J (corresponding author), Swiss Fed Inst Technol, Inst Geochem &amp; Petrol, Clausiusstr 25, CH-8092 Zurich, Switzerland.</t>
  </si>
  <si>
    <t>joerg.rickli@erdw.ethz.ch</t>
  </si>
  <si>
    <t>Ellwood, Michael J/G-7390-2011; Jaccard, Samuel/G-3447-2014</t>
  </si>
  <si>
    <t>Ellwood, Michael/0000-0003-4288-8530; Jaccard, Samuel/0000-0002-5793-0896; Rickli, Jorg/0000-0001-8186-2750; Hassler, Christel/0000-0002-8976-5469; Janssen, David/0000-0002-9091-8936</t>
  </si>
  <si>
    <t>Swiss National Science Foundation (SNSF) [PP00P2_172915]; Swiss Polar Institute (SPI) - ACE Foundation; Ferring Pharmaceuticals</t>
  </si>
  <si>
    <t>Swiss National Science Foundation (SNSF)(Swiss National Science Foundation (SNSF)); Swiss Polar Institute (SPI) - ACE Foundation; Ferring Pharmaceuticals(Ferring Pharmaceuticals)</t>
  </si>
  <si>
    <t>This work was supported by the Swiss National Science Foundation (SNSF -grant PP00P2_172915). It forms part of project 15 of the Antarctic Circumnavigation Expedition, a scientific expedition carried out under the auspices of the Swiss Polar Institute (SPI), supported by funding from the ACE Foundation and Ferring Pharmaceuticals. We are grateful to the Chief Scientist, the late David Walton, the captain and the crew of the R/V Akademik Tryoshnikov for their support during the voyage. We also thank Jenny Thomas (SPI, data manager). The MC-ICP-MS at the Institute of Geological Sciences, University of Bern was acquired within the framework of the NCCR project PlanetS. We acknowledge Robert Steel, Simone Moos and Martin Wille for sharing analytical expertise, Martin also for everyday support on the mass spectrometer. Philipp Nasemann contributed two OSIL analyses that were also obtained at the University of Bern with the same methods outlined in this study. Gregory de Souza, Matthias Sieber, Philipp Nasemann, Christoph Wanner and Derek Vance are acknowledged for discussions and comments. Lastly, we thank two anonymous reviewers and the associate editor, Rachael James, for their comprehensive and valuable comments.</t>
  </si>
  <si>
    <t>10.1016/j.gca.2019.07.033</t>
  </si>
  <si>
    <t>IR7JL</t>
  </si>
  <si>
    <t>WOS:000481616700011</t>
  </si>
  <si>
    <t>Lamp, JL; Young, NE; Koffman, T; Schimmelpfennig, I; Tuna, T; Bard, E; Schaefer, JM</t>
  </si>
  <si>
    <t>Lamp, Jennifer L.; Young, Nicolas E.; Koffman, Tobias; Schimmelpfennig, Irene; Tuna, Thibaut; Bard, Edouard; Schaefer, Joerg M.</t>
  </si>
  <si>
    <t>Update on the cosmogenic in situ 14C laboratory at the Lamont-Doherty Earth Observatory</t>
  </si>
  <si>
    <t>NUCLEAR INSTRUMENTS &amp; METHODS IN PHYSICS RESEARCH SECTION B-BEAM INTERACTIONS WITH MATERIALS AND ATOMS</t>
  </si>
  <si>
    <t>Cosmogenic nuclides; In situ carbon-14; Surface exposure dating</t>
  </si>
  <si>
    <t>EXTRACTION; NUCLIDES; EROSION; BE-10; DEGRADATION; CONSTRAINTS; UNIVERSITY; GREENLAND; QUARTZ; SCALE</t>
  </si>
  <si>
    <t>Cosmogenic in situ C-14 in quartz is rapidly becoming a widely used geochronological tool for studying earth surface processes over the last 30,000 years. The Lamont-Doherty Earth Observatory houses one of the longest continuously-operating cosmogenic in situ C-14 laboratories; in this contribution, we provide an update on the status of the laboratory following Goehring et al. (2014). From 2010 to the present, our long-term average blank value is 119,000 +/- 37,000 C-14 atoms, with no statistically significant trend over the last nine years. While our average measured C-14 concentration of the CRONUS-A inter-laboratory comparison standard is in line with data published from other laboratories, we note a step increase between 2013 and 2015 that is still under investigation. Additionally, we report our first procedural blanks and CRONUS-A values analyzed on the gas source of the ANMICADAS at CEREGE, France. Many of the &gt; 75 samples analyzed at Lamont for in situ C-14 from the Arctic, Antarctic, New Zealand, and the Alps have been paired with Be-10 analyses contributing to the increasing density of burial dating data covering the last 20,000 years. Currently we are working on increasing sample throughput, streamlining the C-14 extraction procedure, and considerably decreasing blank levels.</t>
  </si>
  <si>
    <t>[Lamp, Jennifer L.; Young, Nicolas E.; Koffman, Tobias; Schaefer, Joerg M.] Columbia Univ, Lamont Doherty Earth Observ, Palisades, NY 10964 USA; [Schimmelpfennig, Irene; Tuna, Thibaut; Bard, Edouard] Aix Marseille Univ, CEREGE, Collage France, CNRS,IRD,INRA, Aix En Provence, France</t>
  </si>
  <si>
    <t>Columbia University; Institut de Recherche pour le Developpement (IRD); INRAE; Centre National de la Recherche Scientifique (CNRS); Universite PSL; College de France; Aix-Marseille Universite</t>
  </si>
  <si>
    <t>Lamp, JL (corresponding author), Lamont Doherty Earth Observ, 61 Route 9W, Palisades, NY 10968 USA.</t>
  </si>
  <si>
    <t>jlamp@ldeo.columbia.edu</t>
  </si>
  <si>
    <t>Schimmelpfennig, Irene/0000-0001-8145-9160</t>
  </si>
  <si>
    <t>0168-583X</t>
  </si>
  <si>
    <t>1872-9584</t>
  </si>
  <si>
    <t>NUCL INSTRUM METH B</t>
  </si>
  <si>
    <t>Nucl. Instrum. Methods Phys. Res. Sect. B-Beam Interact. Mater. Atoms</t>
  </si>
  <si>
    <t>10.1016/j.nimb.2019.05.064</t>
  </si>
  <si>
    <t>Instruments &amp; Instrumentation; Nuclear Science &amp; Technology; Physics, Atomic, Molecular &amp; Chemical; Physics, Nuclear</t>
  </si>
  <si>
    <t>Instruments &amp; Instrumentation; Nuclear Science &amp; Technology; Physics</t>
  </si>
  <si>
    <t>IQ3RU</t>
  </si>
  <si>
    <t>WOS:000480669600026</t>
  </si>
  <si>
    <t>Thatje, S; Brown, A; Hillenbrand, CD</t>
  </si>
  <si>
    <t>Thatje, Sven; Brown, Alastair; Hillenbrand, Claus-Dieter</t>
  </si>
  <si>
    <t>Prospects for metazoan life in sub-glacial Antarctic lakes: the most extreme life on Earth?</t>
  </si>
  <si>
    <t>INTERNATIONAL JOURNAL OF ASTROBIOLOGY</t>
  </si>
  <si>
    <t>Hydrostatic pressure; hydrothermal vent; Lake Vostok; microbiology; metazoan; physiology; sub-glacial life</t>
  </si>
  <si>
    <t>HYDROTHERMAL VENTS; ICE; VOSTOK; INVENTORY; ECOLOGY; SEA</t>
  </si>
  <si>
    <t>About 400 subglacial lakes are known from Antarctica. The question of whether life unique of subglacial lakes exists has been paramount since their discovery. Despite frequent evidence of microbial life mostly from accretion ice, subglacial lakes are characterized by physiologically hostile conditions to metazoan life, as we know it. Pure water (salinity &lt;= 0.4-1.2%), extreme cold (-3 degrees C), high hydrostatic pressure, areas of limited or no oxygen availability and permanent darkness altogether require physiological adaptations to these harsh conditions. The record of gene sequences including some associated with hydrothermal vents does foster the idea of metazoan life in Lake Vostok. Here, we synthesize the physico-chemical environment surrounding sub-glacial lakes and potential sites of hydrothermal activity and advocate that the physico-chemical stability found at these sites may be the most likely sites for metazoan life to exist. The unique conditions presented by Lake Vostok may also offer an outlook on life to be expected in extra-terrestrial subglacial environments, such as on Jupiter's moon Europa or Saturn's moon Enceladus.</t>
  </si>
  <si>
    <t>[Thatje, Sven; Brown, Alastair] Univ Southampton, Natl Oceanog Ctr, Sch Ocean &amp; Earth Sci, European Way, Southampton SO14 3ZH, Hants, England; [Hillenbrand, Claus-Dieter] British Antarctic Survey, High Cross,Mading Ey Rd, Cambridge CB3 0ET, England</t>
  </si>
  <si>
    <t>NERC National Oceanography Centre; University of Southampton; UK Research &amp; Innovation (UKRI); Natural Environment Research Council (NERC); NERC British Antarctic Survey</t>
  </si>
  <si>
    <t>Thatje, S (corresponding author), Univ Southampton, Natl Oceanog Ctr, Sch Ocean &amp; Earth Sci, European Way, Southampton SO14 3ZH, Hants, England.</t>
  </si>
  <si>
    <t>sthatje@icloud.com</t>
  </si>
  <si>
    <t>Brown, Alastair/I-7875-2012</t>
  </si>
  <si>
    <t>Brown, Alastair/0000-0002-2126-203X</t>
  </si>
  <si>
    <t>University of Southampton; National Environment Research Council; British Antarctic Survey; NERC [bas0100030] Funding Source: UKRI</t>
  </si>
  <si>
    <t>University of Southampton; National Environment Research Council(UK Research &amp; Innovation (UKRI)Natural Environment Research Council (NERC)); British Antarctic Survey; NERC(UK Research &amp; Innovation (UKRI)Natural Environment Research Council (NERC))</t>
  </si>
  <si>
    <t>This study was supported by the University of Southampton, the British Antarctic Survey and the National Environment Research Council.</t>
  </si>
  <si>
    <t>1473-5504</t>
  </si>
  <si>
    <t>1475-3006</t>
  </si>
  <si>
    <t>INT J ASTROBIOL</t>
  </si>
  <si>
    <t>Int. J. Astrobiol.</t>
  </si>
  <si>
    <t>PII S1473550418000356</t>
  </si>
  <si>
    <t>10.1017/S1473550418000356</t>
  </si>
  <si>
    <t>Astronomy &amp; Astrophysics; Biology; Geosciences, Multidisciplinary</t>
  </si>
  <si>
    <t>Astronomy &amp; Astrophysics; Life Sciences &amp; Biomedicine - Other Topics; Geology</t>
  </si>
  <si>
    <t>IP8OQ</t>
  </si>
  <si>
    <t>WOS:000480306100005</t>
  </si>
  <si>
    <t>Billi, D</t>
  </si>
  <si>
    <t>Billi, Daniela</t>
  </si>
  <si>
    <t>Desert cyanobacteria under space and planetary simulations: a tool for searching for life beyond Earth and supporting human space exploration</t>
  </si>
  <si>
    <t>Chroococcidiopsis; desiccation tolerance; desert cyanobacteria; life support; low Earth orbit; Mars-like conditions; radiation tolerance; space exposure; space synthetic biology</t>
  </si>
  <si>
    <t>RADIATION-RESISTANCE; MARTIAN ATMOSPHERE; SYNTHETIC BIOLOGY; EXPOSE-R2 MISSION; CHROOCOCCIDIOPSIS; MARS; DESICCATION; HABITABILITY; PERCHLORATE; STABILITY</t>
  </si>
  <si>
    <t>The astonishing capability of life to adapt to extreme conditions has provided a new perspective on what 'habitable' means. On Earth extremophiles thrive in hostile habitats, such as hot and cold deserts or Antarctic sub-glacial lakes considered as Earth analogues of Mars and icy moons of Jupiter and Saturn. Recently desert cyanobacteria were exposed to ground-based simulations of space and Martian conditions and to real space and Martian conditions simulated in low Earth orbit using facilities attached outside the International Space Station. When exposure to such conditions does not exceed repair capabilities, more data are available regarding the physico-chemical constraints that life can withstand. When the accumulated damage exceeds the survival potential, the persistence of biomarkers contributes to the search for life elsewhere. Knowledge concerning the endurance of desert cyanobacteria under space and Martian conditions contributes to the development of life support systems.</t>
  </si>
  <si>
    <t>[Billi, Daniela] Univ Roma Tor Vergata, Dept Biol, Via Ric Sci Snc, I-00133 Rome, Italy</t>
  </si>
  <si>
    <t>University of Rome Tor Vergata</t>
  </si>
  <si>
    <t>Billi, D (corresponding author), Univ Roma Tor Vergata, Dept Biol, Via Ric Sci Snc, I-00133 Rome, Italy.</t>
  </si>
  <si>
    <t>billi@uniroma2.it</t>
  </si>
  <si>
    <t>Billi, Daniela/AAT-6690-2021</t>
  </si>
  <si>
    <t>BILLI, DANIELA/0000-0002-9363-2415</t>
  </si>
  <si>
    <t>Italian Space Agency [ASI 2013-053-R.0, ASI 2013-051-R.0]; National Antarctic Research Program [PNRA2016/00101, PNRA2013/AZ1.17]</t>
  </si>
  <si>
    <t>Italian Space Agency(Agenzia Spaziale Italiana (ASI)); National Antarctic Research Program</t>
  </si>
  <si>
    <t>This work was supported by the Italian Space Agency (ASI 2013-053-R.0; ASI 2013-051-R.0) and the National Antarctic Research Program (PNRA2016/00101; PNRA2013/AZ1.17).</t>
  </si>
  <si>
    <t>PII S147355041800037X</t>
  </si>
  <si>
    <t>10.1017/S147355041800037X</t>
  </si>
  <si>
    <t>WOS:000480306100015</t>
  </si>
  <si>
    <t>Ramos, ME; Suárez, R; Boixart, G; Ghiglione, M; Ramos, VA</t>
  </si>
  <si>
    <t>Ramos, Miguel E.; Suarez, Rodrigo; Boixart, Gregorio; Ghiglione, Matias; Ramos, Victor A.</t>
  </si>
  <si>
    <t>The structure of the northern Austral Basin: Tectonic inversion of mesozoic normal faults</t>
  </si>
  <si>
    <t>SOUTHERN PATAGONIAN ANDES; METAMORPHIC COMPLEXES; ANTARCTIC PENINSULA; MAGALLANES BASIN; FORELAND BASIN; BACK-ARC; BREAK-UP; CHILE; MAGMATISM; VOLCANISM</t>
  </si>
  <si>
    <t>This paper analyzes the style, distribution, mechanics, and timing of deformation of the Andean retroarc zone between 47 degrees and 50 degrees S, in the southern Patagonian Andes during the Mesozoic times. This northern sector of the Austral Basin records almost the entire Meso-Cenozoic evolution of the Patagonia western margin. Two balanced cross sections were constructed in the north and south of the study area to show the contrasting structural styles of the fold and thrust belt and the foreland sector. The westernmost internal sector is characterized by a thick-skinned structure associated with a deep decollement, over which late Paleozoic rocks (basement) are uplifted. Towards the foreland, the external fold and thrust belt is dominated by partial positive tectonic inversion of normal faults that gently fold the Cretaceous cover. The restoration of the external fold and thrust belt structural sections has yielded a total minimum shortening of less than 3 km produced since the Cretaceous contractional stage continuing until the more recent Andean deformation. The age, distribution, and compositional features of the middle Early Cretaceous - Late Cretaceous magmatic rocks show a relative shift of the volcanic arc location, indicating interactions between the extensional and contractional regimes associated with different geodynamic settings.</t>
  </si>
  <si>
    <t>[Ramos, Miguel E.; Suarez, Rodrigo; Boixart, Gregorio; Ghiglione, Matias; Ramos, Victor A.] Univ Buenos Aires, CONICET, IDEAN, Inst Estudios Andinos Don Pablo Groeber, Buenos Aires, DF, Argentina</t>
  </si>
  <si>
    <t>Ramos, ME (corresponding author), Univ Buenos Aires, CONICET, IDEAN, Inst Estudios Andinos Don Pablo Groeber, Buenos Aires, DF, Argentina.</t>
  </si>
  <si>
    <t>miguelramos@gl.fcen.uba.ar</t>
  </si>
  <si>
    <t>Boixart, Gregorio/0000-0003-4694-4085</t>
  </si>
  <si>
    <t>[Agenda PICT-2013-1291]; [CONICET PIP 2014-2016 GI]</t>
  </si>
  <si>
    <t>;</t>
  </si>
  <si>
    <t>We acknowledge constructive reviews made by Fernando Martinez and an anonymous reviewer. This work has been carried out by the financial support of grants projects Agenda PICT-2013-1291 and CONICET PIP 2014-2016 GI directed by M.C. Ghiglione. The authors are grateful to Parques Nacionales de Argentina for granting access to protected zones. This is the contribution R-290 of the Institute de Estudios Andino don Pablo Groeber (IDEAN-CONICET).</t>
  </si>
  <si>
    <t>10.1016/j.jsames.2019.05.013</t>
  </si>
  <si>
    <t>IN9TW</t>
  </si>
  <si>
    <t>WOS:000479022300034</t>
  </si>
  <si>
    <t>Altunkaynak, S; Ünal, A; Howarth, GH; Aldanmaz, E; Nyvlt, D</t>
  </si>
  <si>
    <t>Altunkaynak, Safak; Unal, Alp; Howarth, Geoffrey H.; Aldanmaz, Ercan; Nyvlt, Daniel</t>
  </si>
  <si>
    <t>The origin of low-Ca olivine from ultramafic xenoliths and host basaltic lavas in a back-arc setting, James Ross Island, Antarctic Peninsula</t>
  </si>
  <si>
    <t>LITHOS</t>
  </si>
  <si>
    <t>Antarctic Peninsula; James Ross Island; Back-arc basalt; Xenolith; Olivine; Calcium</t>
  </si>
  <si>
    <t>SUBDUCTION COMPONENTS; REFRACTORY MANTLE; VOLCANIC-ROCKS; TRACE-ELEMENTS; KIMBERLITE; BASIN; PYROXENITE; EVOLUTION; GEOCHEMISTRY; PETROGENESIS</t>
  </si>
  <si>
    <t>The James Ross Island Volcanic Group (JRIVG) at the northern tip of the Antarctic Peninsula is composed of various types of volcanic rocks erupted during the Late Miocene to Late Pleistocene. The sub-aerial lavas are the most abundant erupted products within the suite and are represented by alkali olivine basalts that contain significant amounts of ultramafic xenoliths. Precise determination of chemical compositions of olivine by electron microprobe and LA-ICP-MS reveals more than one compositionally distinct olivine population in the xenoliths and the host lavas. The majority of the olivine grains from the xenolith suite are remarkable for their high Mg/Fe ratios (&gt;Fo(88)) and low-Ca contents (&lt;500 ppm) and are similar in composition to the mantle olivine, while some others, despite their similarly low-Ca abundances, are characterized by significantly lower Mg/Fe (Fo(88)) from the basaltic lavas also have low Ca contents compared to MORB olivine at similar Fo, indicating an arc-melt like volatile content of the primary magma. Evaluation of minor and trace element relative abundances in olivine further indicate that the alkaline basalts in the JRIVG are the products of peridotite-dominated partial melting of a volatile-rich mantle source with signatures of mantle hydration most probably promoted by preceding subduction events. The results from olivine chemistry, when combined with the evaluation of primary melt compositions, appear to be consistent with the view that the primary magmas from which the JRIVG basalts were derived are the results of partial melting of a mantle domain that has experienced hydrous silicate melt metasomatism through interaction of peridotitic upper mantle rocks with melts of a slab-derived component, most probably generated by dehydration melting of subducted oceanic crust. (C) 2019 Elsevier B.V. All rights reserved.</t>
  </si>
  <si>
    <t>[Altunkaynak, Safak; Unal, Alp] Istanbul Tech Univ, Dept Geol Engn, TR-34469 Istanbul, Turkey; [Howarth, Geoffrey H.] Univ Cape Town, Dept Geol Sci, ZA-7701 Rondebosch, South Africa; [Aldanmaz, Ercan] Kocaeli Univ, Dept Geol, TR-41380 Izmit, Turkey; [Nyvlt, Daniel] Masaryk Univ, Fac Sci, Dept Geog, Kotlarska 2, CS-61137 Brno, Czech Republic; [Nyvlt, Daniel] Czech Geol Survey, Brno Branch, Leitnerova 22, Brno 65869, Czech Republic</t>
  </si>
  <si>
    <t>Istanbul Technical University; University of Cape Town; Kocaeli University; Ministry of Energy &amp; Natural Resources - Turkey; Masaryk University Brno; Czech Geological Survey</t>
  </si>
  <si>
    <t>Altunkaynak, S (corresponding author), Istanbul Tech Univ, Dept Geol Engn, TR-34469 Istanbul, Turkey.</t>
  </si>
  <si>
    <t>safak@itu.edu.tr</t>
  </si>
  <si>
    <t>Altunkaynak, Şafak/O-2073-2013; Aldanmaz, Ercan/F-5864-2011; Nyvlt, Daniel/J-6504-2019</t>
  </si>
  <si>
    <t>Altunkaynak, Şafak/0000-0002-5652-4802; Aldanmaz, Ercan/0000-0003-2023-9556; Nyvlt, Daniel/0000-0002-6876-490X</t>
  </si>
  <si>
    <t>Turkish Republic Presidency - Ministry of Science, Industry and Technology; Ministry of Education, Youth and Sports of the Czech Republic [LM2015078, CZ.02.1.01/0.0/0.0/16_013/0001708]; National Research Foundation (NRF) of South Africa Incentive grant [115370]</t>
  </si>
  <si>
    <t>Turkish Republic Presidency - Ministry of Science, Industry and Technology; Ministry of Education, Youth and Sports of the Czech Republic(Ministry of Education, Youth &amp; Sports - Czech Republic); National Research Foundation (NRF) of South Africa Incentive grant</t>
  </si>
  <si>
    <t>This study was carried under the auspices of Turkish Republic Presidency, supported by the Ministry of Science, Industry and Technology, and coordinated by Istanbul Technical University (ITU) Polar Research Center (PolReC), Field study on James Ross Island was undertaken within the scope of TAEII, Turkey-Czech Republic Bilateral Cooperation, and a collaborative research between Istanbul Technical University and Masaryk University in Brno. We would like to express our special thanks to the expedition members and crew of the J.G. Mendel Station for their friendship and logistic support during the field campaign (January March 2018). The facility of the J.G. Mendel Station is supported by the Ministry of Education, Youth and Sports of the Czech Republic projects no. LM2015078 and CZ.02.1.01/0.0/0.0/16_013/0001708. Chris Fleischer is thanked for aid during EPMA analytical work at the University of Georgia. We would also like to thank Christel Tinguely for help with laser ablation analyses at the University of Cape Town (UCT). Analytical funding for laser ablation at UCT was from the National Research Foundation (NRF) of South Africa Incentive grant 115370 to GHH. We would like to thank Dejan Milidragovic, Vladislav Rapprich and one anonymous reviewer for helpful comments, and Mike Roden for editorial handling.</t>
  </si>
  <si>
    <t>0024-4937</t>
  </si>
  <si>
    <t>1872-6143</t>
  </si>
  <si>
    <t>Lithos</t>
  </si>
  <si>
    <t>10.1016/j.lithos.2019.05.039</t>
  </si>
  <si>
    <t>IL1VX</t>
  </si>
  <si>
    <t>WOS:000477091500017</t>
  </si>
  <si>
    <t>Vergara, EG; Hernández, V; Munkittrick, KR; Barra, R; Galban-Malagon, C; Chiang, G</t>
  </si>
  <si>
    <t>Vergara, E. G.; Hernandez, V.; Munkittrick, K. R.; Barra, R.; Galban-Malagon, C.; Chiang, G.</t>
  </si>
  <si>
    <t>Presence of organochlorine pollutants in fat and scats of pinnipeds from the Antarctic Peninsula and South Shetland Islands, and their relationship to trophic position</t>
  </si>
  <si>
    <t>Persistent organic pollutants; Pesticides; Bioaccumulation; Antarctic biota</t>
  </si>
  <si>
    <t>PERSISTENT ORGANIC POLLUTANTS; POLYBROMINATED DIPHENYL ETHERS; SEALS MIROUNGA-LEONINA; KING GEORGE ISLAND; STABLE-ISOTOPES; POLYCHLORINATED-BIPHENYLS; FOOD-WEB; CONTAMINANTS; BIOMAGNIFICATION; PESTICIDES</t>
  </si>
  <si>
    <t>Antarctica is still considered one of the few pristine areas in the globe. Despite this, several studies have shown phased out organic pollutants are present in several environmental abiotic and biological compartments. This study, based on blubber and fecal samples collected from five species of Antarctic pinnipeds, assessed the relationship between organochlorine pesticide (OCs) levels and trophic characterization using stable isotope analysis (delta C-13 and delta N-15). The prevailing pollutants found in blubber were hexachlorocydohexane isomers (HCHs), hexa-chlorobenzene (HCB), Heptachlor and Aldrin (0.84-564.11 ng g(-1) l.w.). We also report a high presence of HCHs, Endrin, Dichlorodiphenyltrichloroethane (DDTs) and Methoxychlor (4.50-363.86 ng g(-1) d.w.) in feces suggesting a detoxification mechanism. All the species tend towards high trophic positions (3.4-4.9), but with considerable variation in trophic niche and organochlorine pesticide concentrations per sampling site. This finding suggests that differences in pesticide levels in individuals are associated to foraging ecology. (C) 2019 Published by Elsevier B.V.</t>
  </si>
  <si>
    <t>[Vergara, E. G.; Barra, R.] Univ Concepcion, Fac Environm Sci, EULA Chile Ctr, Concepcion, Chile; [Hernandez, V.] Univ Concepcion, Fac Nat &amp; Oceanog Sci, Concepcion, Chile; [Munkittrick, K. R.] Wilfrid Laurier Univ, Fac Biol, Waterloo, ON, Canada; [Galban-Malagon, C.] Univ Andres Bello, Dept Ecol &amp; Biodivers, Fac Life Sci, Santiago, Chile; [Galban-Malagon, C.] Univ Andres Bello, Ctr Bioinformat &amp; Integrat Biol, Santiago, Chile; [Vergara, E. G.; Chiang, G.] Melimoyu Ecosyst Res Inst, Santiago, Chile</t>
  </si>
  <si>
    <t>Universidad de Concepcion; Universidad de Concepcion; Wilfrid Laurier University; Universidad Andres Bello; Universidad Andres Bello</t>
  </si>
  <si>
    <t>Chiang, G (corresponding author), Melimoyu Ecosyst Res Inst, Santiago, Chile.</t>
  </si>
  <si>
    <t>gchiang@fundacionmeri.cl</t>
  </si>
  <si>
    <t>Barra, Ricardo O./A-5543-2009; Munkittrick, Kelly/AAB-8929-2019; Galbán-Malagón, Cristobal/B-2170-2017; Barra, Ricardo O/AAE-7295-2019; Chiang, Gustavo/ABA-9349-2020; Hernandez, Victor J/G-1344-2014; Galban Malagon, Cristobal/J-2384-2015</t>
  </si>
  <si>
    <t>Barra, Ricardo O./0000-0002-1567-7722; Barra, Ricardo O/0000-0002-1567-7722; Galban Malagon, Cristobal/0000-0001-8397-5804; Hernandez, Victor/0000-0001-5092-9713; Chiang, Gustavo/0000-0003-4504-355X</t>
  </si>
  <si>
    <t>INACH [T31-11, T18-09, RT-12-17]; FONDECYT [1161504, 1150548]; NSERC Strategic Grant</t>
  </si>
  <si>
    <t>INACH; FONDECYT(Comision Nacional de Investigacion Cientifica y Tecnologica (CONICYT)CONICYT FONDECYT); NSERC Strategic Grant(Natural Sciences and Engineering Research Council of Canada (NSERC))</t>
  </si>
  <si>
    <t>Our warmest thanks to the personnel of the Chilean Antarctic Institute and the Gabriel Gonzalez Videla Antarctic Base for their logistical support. Also, to the staff of the Environmental Chemistry Laboratory (University of Concepcion, EULA-Chile) and the Ecosystems Health Laboratory (Universidad Andres Bello, Santiago) for their technical assistance. The authors are grateful for the support of Solange Jara, Klaus Diersch, and Captain Luis Torres (Carabineros de Chile, Labocar) for the in-field support during sampling and Diego Joaquin Perez Venegas for the comments on the manuscript. The study was funded by INACH T31-11, FONDECYT 1161504 (G. Chiang), INACH T18-09 (R. Barra), NSERC Strategic Grant (K. R. Munkittrick), Fondecyt 1150548, and INACH RT-12-17 (C. Galban-Malagon). Authors would like to thank Ms. Marlayna Clevenger for English language revision.</t>
  </si>
  <si>
    <t>10.1016/j.scitotenv.2019.06.122</t>
  </si>
  <si>
    <t>IM4GE</t>
  </si>
  <si>
    <t>WOS:000477951900118</t>
  </si>
  <si>
    <t>Wang, R; Zhu, GP</t>
  </si>
  <si>
    <t>Wang Rui; Zhu Guoping</t>
  </si>
  <si>
    <t>Inferring Behavior of Chinese Krill Fishing Vessel Using a Simple Walk Model</t>
  </si>
  <si>
    <t>Levy random walk; Antarctic krill fishery; fishing pattern; CCAMLR</t>
  </si>
  <si>
    <t>FLIGHT SEARCH PATTERNS; LEVY FLIGHTS; DIFFUSION; MOVEMENTS; DYNAMICS</t>
  </si>
  <si>
    <t>Each type of fishery has its own characteristic behavior, and understanding this condition is an important part of developing and managing fishing operations comprehensively. Based on the random walk model, the relationship between distance and frequency distribution of adjacent fishing positions was analyzed by the Commission for Conservation of Antarctic Marine Living Resources (CCAMLR) Subareas 48.1, 48.2, and 48.3. The frequency of distances between consecutive hauls demonstrated a heavy-tailed distribution, which could be used to estimate the value of parameter mu in the power function F(l) similar to l(-mu) of a random walk model to determine the type of random walk patterns that characterize Chinese krill fishery. Results indicated that the fishing pattern of the Chinese krill fishery is consistent with the Levy random walk model, with which the step-length is applied to analyze the walking pattern. When a defined walk in a space of dimension is greater than one, the steps made are in isotropic random directions. Furthermore, a strong and positive correlation between fishing behavior (using the parameter mu as an indicator) and catch per unit effort of the Chinese krill fishery was observed.</t>
  </si>
  <si>
    <t>[Wang Rui; Zhu Guoping] Shanghai Ocean Univ, Coll Marine Sci, Shanghai 201306, Peoples R China; [Wang Rui; Zhu Guoping] Minist Educ, Key Lab Sustainable Exploitat Ocean Fisheries Res, Polar Marine Ecosyst Grp, Shanghai 201306, Peoples R China; [Zhu Guoping] Natl Engn Res Ctr Ocean Fisheries, Shanghai 201306, Peoples R China</t>
  </si>
  <si>
    <t>Shanghai Ocean University; National Engineering Research Center for Oceanic Fisheries</t>
  </si>
  <si>
    <t>Zhu, GP (corresponding author), Shanghai Ocean Univ, Coll Marine Sci, Shanghai 201306, Peoples R China.;Zhu, GP (corresponding author), Minist Educ, Key Lab Sustainable Exploitat Ocean Fisheries Res, Polar Marine Ecosyst Grp, Shanghai 201306, Peoples R China.;Zhu, GP (corresponding author), Natl Engn Res Ctr Ocean Fisheries, Shanghai 201306, Peoples R China.</t>
  </si>
  <si>
    <t>gpzhu@shou.edu.cn</t>
  </si>
  <si>
    <t>liu, miao/KGL-7043-2024; ZHU, Guo-ping/D-1002-2010</t>
  </si>
  <si>
    <t>Zhu, Guoping/0000-0001-6081-7811</t>
  </si>
  <si>
    <t>National Key RAMP;D Program of China [2018YFC1406801]; National Natural Science Foundation of China [41776185]; Key Course Construction Program of the Shanghai Municipal Education Commission (Biological Oceanography) [A1-0201-00-1204]</t>
  </si>
  <si>
    <t>National Key RAMP;D Program of China; National Natural Science Foundation of China(National Natural Science Foundation of China (NSFC)); Key Course Construction Program of the Shanghai Municipal Education Commission (Biological Oceanography)</t>
  </si>
  <si>
    <t>We thank the captain and crew of Chinese krill trawlers and scientific observers onboard those vessels that collected the data. We are also grateful to Dr. Keith Reid from the Commission for the Conservation of Antarctic Marine Living Resources and Dr. So Kawaguchi from the Australian Antarctic Division for providing useful suggestions to improve the quality of this study. GPZ was sponsored partly by the National Key R&amp;D Program of China (No. 2018YFC1406801), the National Natural Science Foundation of China (No. 41776185), and the Key Course Construction Program of the Shanghai Municipal Education Commission (Biological Oceanography) (No. A1-0201-00-1204).</t>
  </si>
  <si>
    <t>10.1007/s11802-019-3976-5</t>
  </si>
  <si>
    <t>IH4HC</t>
  </si>
  <si>
    <t>WOS:000474451500020</t>
  </si>
  <si>
    <t>Shi, XD; Qian, SB; Zhang, J; Soonthornthum, B; Sarotsakulchai, T; Zhou, X</t>
  </si>
  <si>
    <t>Shi, Xiang-Dong; Qian, Sheng-Bang; Zhang, Jia; Soonthornthum, Boonrucksar; Sarotsakulchai, Thawicharat; Zhou, Xiao</t>
  </si>
  <si>
    <t>First photometric investigations of three eclipsing binaries: AST19571, AST21541, and AST38503</t>
  </si>
  <si>
    <t>NEW ASTRONOMY</t>
  </si>
  <si>
    <t>Close-binaries; Eclipsing-binaries; Individual (AST19571 AST21541 and AST38503)</t>
  </si>
  <si>
    <t>LIGHT; STARS</t>
  </si>
  <si>
    <t>AST3-1 is the second-generation optical photometric telescope at Dome A in Antarctica. In this study, photometric solutions of three eclipsing binaries comprising AST19571, AST21541, and AST38503 were determined for the first time using the light curves obtained with AST3-1. The light curves for the three binaries in the Galactic disk field were analyzed with the Wilson-Devinney method. We found that AST19571 and AST21541 are intermediate-contact binary systems with fill-out factors of f = 39.9(+/- 5.4) % and 36.4(+/- 4.7) %, respectively, and their mass ratios were determined as q = 0.275(+/- 0.0034) and 0.25(+/- 0.0024). AST38503 was shown to be a deep-contact binary system with a degree of contact of f = 66(+/- 33)% and a mass ratio of q = 0.314(+/- 0.03). Some light minimum times were derived for the three contact binary stars. The results showed that the period of AST19571 is increasing at a rate of dp/dt = +4.71 x 10(-7). This increase in the period could be explained by mass transfer between the components. The absolute parameters were estimated for the components of the three binaries.</t>
  </si>
  <si>
    <t>[Shi, Xiang-Dong; Qian, Sheng-Bang; Zhang, Jia; Sarotsakulchai, Thawicharat; Zhou, Xiao] Chinese Acad Sci, Yunnan Observ, POB 110, Kunming 650216, Yunnan, Peoples R China; [Shi, Xiang-Dong; Qian, Sheng-Bang; Sarotsakulchai, Thawicharat] Univ Chinese Acad Sci, Yuquan Rd 19,Sijingshang Block, Beijing 100049, Peoples R China; [Soonthornthum, Boonrucksar; Sarotsakulchai, Thawicharat; Zhou, Xiao] Minist Sci &amp; Technol, Natl Astron Res Inst Thailand, Bangkok, Thailand; [Shi, Xiang-Dong; Qian, Sheng-Bang; Zhang, Jia; Zhou, Xiao] Chinese Acad Sci, Key Lab Struct &amp; Evolut Celestial Objects, POB 110, Kunming 650216, Yunnan, Peoples R China; [Shi, Xiang-Dong; Qian, Sheng-Bang; Zhang, Jia; Zhou, Xiao] Chinese Acad Sci, Ctr Astron Mega Sci, 20A Datun Rd, Beijing 100012, Peoples R China</t>
  </si>
  <si>
    <t>Chinese Academy of Sciences; Yunnan Astronomical Observatory, NAOC, CAS; Chinese Academy of Sciences; University of Chinese Academy of Sciences, CAS; Chinese Academy of Sciences; Chinese Academy of Sciences</t>
  </si>
  <si>
    <t>Shi, XD (corresponding author), Chinese Acad Sci, Yunnan Observ, POB 110, Kunming 650216, Yunnan, Peoples R China.</t>
  </si>
  <si>
    <t>sxd@ynao.ac.cn</t>
  </si>
  <si>
    <t>Shi, Xiang-Dong/0000-0002-5038-5952; Sarotsakulchai, Nopphadon/0000-0001-8546-5875</t>
  </si>
  <si>
    <t>National Natural Science Foundation of China [11703082, 11703080]; Yunnan Natural Science Foundation [2018E8006]</t>
  </si>
  <si>
    <t>National Natural Science Foundation of China(National Natural Science Foundation of China (NSFC)); Yunnan Natural Science Foundation(Natural Science Foundation of Yunnan Province)</t>
  </si>
  <si>
    <t>This study was partly supported by the National Natural Science Foundation of China (Grant No. 11703082 and Grant No. 11703080) and the Yunnan Natural Science Foundation (No. 2018E8006). We are very grateful to the staff of the Chinese Antarctic Astronomical Center for their construction of AST3-1 at Dome A. The photometric data used in this study were obtained with AST3-1 and OGLE-III.</t>
  </si>
  <si>
    <t>1384-1076</t>
  </si>
  <si>
    <t>1384-1092</t>
  </si>
  <si>
    <t>NEW ASTRON</t>
  </si>
  <si>
    <t>New Astron.</t>
  </si>
  <si>
    <t>10.1016/j.newast.2019.04.007</t>
  </si>
  <si>
    <t>IH2GE</t>
  </si>
  <si>
    <t>WOS:000474312400005</t>
  </si>
  <si>
    <t>Statistical forecasting of tropical cyclone landfall activities over the North Indian Ocean rim countries</t>
  </si>
  <si>
    <t>ATMOSPHERIC RESEARCH</t>
  </si>
  <si>
    <t>Statistical forecasting; Tropical cyclones; Poisson Regression; Generalised Additive Model; North Indian Ocean</t>
  </si>
  <si>
    <t>HURRICANE RISK; CLIMATE-CHANGE; MODEL; BAY; TRACKS; ENSO; VARIABILITY; RAINFALL; CYCLOGENESIS; SIMULATIONS</t>
  </si>
  <si>
    <t>This paper investigates the forecast potential of tropical cyclone (TC) landfall probabilities over the North Indian Ocean (NIO) rim countries using ocean-climate predictor variables in a new statistical seasonal forecast model. A Poisson regression model was used to predict the landfall probabilities for a period of 35 years of TC observations (1979-2013) from the Joint Typhoon Warning Center and the predictor variables include sea surface temperature, Southern Oscillation Index and ocean heat content. Poisson regression was found skilful in hindcasting of tropical cyclone landfall frequency for the NIO region with a correlation coefficient in the forecasted hindcast time series of 0.65 and 31% improvement above climatology. In the present study, genesis was modelled by kernel density estimation, tracks were fitted using a generalised additive model (GAM) approach with a Euler integration step, and landfall location was estimated using a country mask. This GAM model that is previously demonstrated very skilful to simulate TC landfall across the NIO rim countries by Wahiduzzaman et al. (2017, 2019) deems skilful for this study.</t>
  </si>
  <si>
    <t>[Wahiduzzaman, Md] Univ Tasmania, Inst Marine &amp; Antarctic Studies, Hobart, Tas 7001, Australia; [Yeasmin, Alea] RMIT Univ, SPACE Res Ctr, Melbourne, Vic, Australia; [Yeasmin, Alea] Bangabandhu Sheikh Mujibur Rahman Sci &amp; Technol U, Gopalganj, Bangladesh</t>
  </si>
  <si>
    <t>University of Tasmania; Melbourne Genomics Health Alliance; Royal Melbourne Institute of Technology (RMIT); Bangabandhu Sheikh Mujibur Rahman Science &amp; Technology University</t>
  </si>
  <si>
    <t>Wahiduzzaman, M (corresponding author), Univ Tasmania, Inst Marine &amp; Antarctic Studies, Hobart, Tas 7001, Australia.</t>
  </si>
  <si>
    <t>0169-8095</t>
  </si>
  <si>
    <t>1873-2895</t>
  </si>
  <si>
    <t>ATMOS RES</t>
  </si>
  <si>
    <t>Atmos. Res.</t>
  </si>
  <si>
    <t>10.1016/j.atmosres.2019.04.034</t>
  </si>
  <si>
    <t>IE9IQ</t>
  </si>
  <si>
    <t>WOS:000472688500008</t>
  </si>
  <si>
    <t>Rets, EP; Popovnin, VV; Toropov, PA; Smirnov, AM; Tokarev, IV; Chizhova, JN; Budantseva, NA; Vasil'chuk, YK; Kireeva, MB; Ekaykin, AA; Veres, AN; Aleynikov, AA; Frolova, NL; Tsyplenkov, AS; Poliukhov, AA; Chalov, SR; Aleshina, MA; Kornilova, ED</t>
  </si>
  <si>
    <t>Rets, Ekaterina P.; Popovnin, Viktor V.; Toropov, Pavel A.; Smirnov, Andrew M.; Tokarev, Igor V.; Chizhova, Julia N.; Budantseva, Nadine A.; Vasil'chuk, Yurij K.; Kireeva, Maria B.; Ekaykin, Alexey A.; Veres, Arina N.; Aleynikov, Alexander A.; Frolova, Natalia L.; Tsyplenkov, Anatoly S.; Poliukhov, Aleksei A.; Chalov, Sergey R.; Aleshina, Maria A.; Kornilova, Ekaterina D.</t>
  </si>
  <si>
    <t>Djankuat glacier station in the North Caucasus, Russia: a database of glaciological, hydrological, and meteorological observations and stable isotope sampling results during 2007-2017</t>
  </si>
  <si>
    <t>RECENT CLIMATE-CHANGE; MOUNTAIN REGIONS; WATER-RESOURCES; MASS-BALANCE; SENSITIVITY; SEDIMENT; INCREASE</t>
  </si>
  <si>
    <t>This study presents a dataset on long-term multidisciplinary glaciological, hydrological, and meteorological observations and isotope sampling in a sparsely monitored alpine zone of the North Caucasus in the Djankuat research basin. The Djankuat glacier, which is the largest in the basin, was chosen as representative of the central North Caucasus during the International Hydrological Decade and is one of 30 reference glaciers in the world that have annual mass balance series longer than 50 years (Zemp et al., 2009). The dataset features a comprehensive set of observations from 2007 to 2017 and contains yearly - measurements of snow depth and density; - measurements of dynamics of snow and ice melting; - measurements of water runoff, conductivity, turbidity, temperature, delta O-18, delta D at the main gauging station (844 samples in total) with an hourly or sub-daily time step depending on the parameter; - data on delta O-18 and delta H-2 sampling of liquid precipitation, snow, ice, firn, and groundwater in different parts of the watershed taken regularly during melting season (485 samples in total); - measurements of precipitation amount, air temperature, relative humidity, shortwave incoming and reflected radiation, longwave downward and upward radiation, atmospheric pressure, and wind speed and direction measured at several automatic weather stations within the basin with 15 min to 1 h time steps; - gradient meteorological measurements to estimate turbulent fluxes of heat and moisture, measuring three components of wind speed at a frequency of 10 Hz to estimate the impulse of turbulent fluxes of sensible and latent heat over the glacier surface by the eddy covariance method. Data were collected during the ablation period (June-September). The observations were halted in winter. The dataset is available from PANGAEA (https://doi.org/10.1594/PANGAEA.894807, Rets et al., 2018a) and will be further updated. The dataset can be useful for developing and verifying hydrological, glaciological, and meteorological models for alpine areas, to study the impact of climate change on hydrology of mountain regions using isotopic and hydrochemical approaches in hydrology. As the dataset includes the measurements of hydrometeorological and glaciological variables during the catastrophic proglacial lake outburst in the neighboring Bashkara valley in September 2017, it is a valuable contribution to study lake outbursts.</t>
  </si>
  <si>
    <t>[Rets, Ekaterina P.] Russian Acad Sci, Inst Water Problems, Moscow 119333, Russia; [Popovnin, Viktor V.; Toropov, Pavel A.; Budantseva, Nadine A.; Vasil'chuk, Yurij K.; Kireeva, Maria B.; Aleynikov, Alexander A.; Frolova, Natalia L.; Tsyplenkov, Anatoly S.; Poliukhov, Aleksei A.; Chalov, Sergey R.; Kornilova, Ekaterina D.] Lomonosov Moscow State Univ, Fac Geog, Moscow 119991, Russia; [Smirnov, Andrew M.] Russian Acad Sci, Inst Geog, Lab Glaciol, Moscow 119017, Russia; [Tokarev, Igor V.] St Petersburg State Univ, Geomodel Resource Ctr, St Petersburg 199034, Russia; [Chizhova, Julia N.] Russian Acad Sci, Inst Geol Ore Deposits Petrog Mineral &amp; Geochem, Moscow 109017, Russia; [Ekaykin, Alexey A.; Veres, Arina N.] Arctic &amp; Antarctic Res Inst, Climate &amp; Environm Res Lab, St Petersburg 199397, Russia; [Ekaykin, Alexey A.] St Petersburg State Univ, Inst Earth Sci, St Petersburg 199034, Russia; [Poliukhov, Aleksei A.] Hydrometeorol Res Ctr Russian Federat, Moscow 123242, Russia; [Toropov, Pavel A.; Aleshina, Maria A.] Russian Acad Sci, Inst Geog, Climatol Lab, Moscow 119017, Russia</t>
  </si>
  <si>
    <t>Russian Academy of Sciences; Institute of Water Problems of the Russian Academy of Sciences; Lomonosov Moscow State University; Institute of Geography, Russian Academy of Sciences; Russian Academy of Sciences; Saint Petersburg State University; Russian Academy of Sciences; Institute of Geology of Ore Deposits, Petrography, Mineralogy &amp; Geochemistry; Arctic &amp; Antarctic Research Institute; Saint Petersburg State University; Institute of Geography, Russian Academy of Sciences; Russian Academy of Sciences</t>
  </si>
  <si>
    <t>Rets, EP (corresponding author), Russian Acad Sci, Inst Water Problems, Moscow 119333, Russia.</t>
  </si>
  <si>
    <t>retska@mail.ru</t>
  </si>
  <si>
    <t>Frolova, Natalia L./E-2775-2012; Kornilova, Ekaterina/ABG-1851-2020; Tokarev, Igor Vladimirovich/ADR-9438-2022; Smirnov, Andrey/AAG-7948-2021; Toropov, Pavel A./O-1903-2013; Chalov, Sergey/K-1847-2012; Rets, Ekaterina/V-9742-2017; Aleshina, Maria/W-5174-2019; Tsyplenkov, Anatolii/O-9599-2017; Полюхов, Алексей/AAC-4342-2019; Veres, Arina/HJY-8317-2023; Poliukhov, Aleksei/F-2771-2014; Frolova, Natalia/AAT-2671-2020; Chizhova, Julia N./M-4440-2015; Kireeva, Maria/B-2482-2014; Ekaykin, Alexey/K-9894-2015; Vasil'chuk, Yurij/C-9124-2015</t>
  </si>
  <si>
    <t>Kornilova, Ekaterina/0000-0002-8416-5843; Tokarev, Igor Vladimirovich/0000-0003-1095-0731; Chalov, Sergey/0000-0002-6937-7020; Rets, Ekaterina/0000-0002-4505-1173; Aleshina, Maria/0000-0001-8416-7657; Tsyplenkov, Anatolii/0000-0003-4144-8402; Полюхов, Алексей/0000-0001-6336-3376; Frolova, Natalia/0000-0003-3576-285X; Chizhova, Julia N./0000-0003-0539-5796; Kireeva, Maria/0000-0002-8285-9761; Smirnov, Andrey/0000-0002-2165-3049; Ekaykin, Alexey/0000-0001-9819-2802; Vasil'chuk, Yurij/0000-0001-5847-5568; Pavel, Toropov/0000-0003-0922-1486</t>
  </si>
  <si>
    <t>Russian Foundation for Basic Research [16-35-60042, 18-05-00420, 17-05-00771]; Russian Federation [MK-2936.2019.5]</t>
  </si>
  <si>
    <t>Russian Foundation for Basic Research(Russian Foundation for Basic Research (RFBR)Spanish Government); Russian Federation(Russian Federation)</t>
  </si>
  <si>
    <t>This research has been supported by the Russian Foundation for Basic Research (grant nos. 16-35-60042, 18-05-00420, and 17-05-00771) and the grant of the president of the Russian Federation for young scientists MK-2936.2019.5.</t>
  </si>
  <si>
    <t>SEP 30</t>
  </si>
  <si>
    <t>10.5194/essd-11-1463-2019</t>
  </si>
  <si>
    <t>KD9PJ</t>
  </si>
  <si>
    <t>WOS:000508193100001</t>
  </si>
  <si>
    <t>Seehaus, T; Malz, P; Sommer, C; Lippl, S; Cochachin, A; Braun, M</t>
  </si>
  <si>
    <t>Seehaus, Thorsten; Malz, Philipp; Sommer, Christian; Lippl, Stefan; Cochachin, Alejo; Braun, Matthias</t>
  </si>
  <si>
    <t>Changes of the tropical glaciers throughout Peru between 2000 and 2016-mass balance and area fluctuations</t>
  </si>
  <si>
    <t>DIGITAL ELEVATION MODELS; SEA-LEVEL RISE; CORDILLERA-BLANCA; MASS-BALANCE; NEVADO COROPUNA; VOLUME CHANGE; WATER-RESOURCES; FUTURE GLACIER; ICE CAP; ANDES</t>
  </si>
  <si>
    <t>Glaciers in tropical regions are very sensitive to climatic variations and thus strongly affected by climate change. The majority of the tropical glaciers worldwide are located in the Peruvian Andes, which have shown significant ice loss in the last century. Here, we present the first multi-temporal, region-wide survey of geodetic mass balances and glacier area fluctuations throughout Peru covering the period 2000-2016. Glacier extents are derived from Landsat imagery by performing automatic glacier delineation based on a combination of the NDSI and band ratio method and final manual inspection and correction. The mapping of debriscovered glacier extents is supported by synthetic aperture radar (SAR) coherence information. A total glacier area loss of - 548.5 +/- 65.7 km(2) (-29 %, -34.3 km(2) a(-1)) is obtained for the study period. Using interferometric satellite SAR acquisitions, bi-temporal geodetic mass balances are derived. An average specific mass balance of -296 +/- 41 kg M-2 a(-1) is found throughout Peru for the period 2000-2016. However, there are strong regional and temporal differences in the mass budgets ranging from 45 +/- 97 to -752 +/- 452 kg m(-2) a(-1). The ice loss increased towards the end of the observation period. Between 2013 and 2016, a retreat of the glacierized area of -203.8 +/- 65.7 km(2) (-16 %, -101.9 km(2) a(-1)) is mapped and the average mass budget amounts to -660 +/- 178 kg m(-2) a(-1). The glacier changes revealed can be attributed to changes in the climatic settings in the study region, derived from ERA-Interim reanalysis data and the Oceanic Nino Index. The intense El Nifio activities in 2015/16 are most likely the trigger for the increased change rates in the time interval 2013-2016. Our observations provide fundamental information on the current dramatic glacier changes for local authorities and for the calibration and validation of glacier change projections.</t>
  </si>
  <si>
    <t>[Seehaus, Thorsten; Malz, Philipp; Sommer, Christian; Lippl, Stefan; Braun, Matthias] Friedrich Alexander Univ Erlangen Nuremberg, Inst Geog, Wetterkreuz 15, D-91058 Erlangen, Germany; [Cochachin, Alejo] ANA, UGRH, Huaraz 02001, Peru</t>
  </si>
  <si>
    <t>University of Erlangen Nuremberg</t>
  </si>
  <si>
    <t>Seehaus, T (corresponding author), Friedrich Alexander Univ Erlangen Nuremberg, Inst Geog, Wetterkreuz 15, D-91058 Erlangen, Germany.</t>
  </si>
  <si>
    <t>thorsten.seehaus@fau.de</t>
  </si>
  <si>
    <t>Braun, Matthias H/S-4693-2016; Braun, Matthias/A-4968-2009</t>
  </si>
  <si>
    <t>Braun, Matthias/0000-0001-5169-1567; Seehaus, Thorsten/0000-0001-5055-8959; Lippl-Seifert, Stefan/0000-0003-0312-0051; Malz, Philipp/0000-0001-7787-2948</t>
  </si>
  <si>
    <t>Bundesministerium fur Wirtschaft und Energie [50EE1544 GEKKO]; Deutsche Forschungsgemeinschaft (the priority programme Regional Sea Level Change and Society SPP 1889) [BR2105/14-1]; Deutsche Forschungsgemeinschaft (the priority programme Antarctic Research with comparative investigations in Arctic ice areas SPP 1158) [BR2105/13-1]; Helmholtz Association (Alliance Remote Sensing &amp; Earth System Dynamics)</t>
  </si>
  <si>
    <t>Bundesministerium fur Wirtschaft und Energie; Deutsche Forschungsgemeinschaft (the priority programme Regional Sea Level Change and Society SPP 1889)(German Research Foundation (DFG)); Deutsche Forschungsgemeinschaft (the priority programme Antarctic Research with comparative investigations in Arctic ice areas SPP 1158); Helmholtz Association (Alliance Remote Sensing &amp; Earth System Dynamics)</t>
  </si>
  <si>
    <t>This research has been supported by the Bundesministerium fur Wirtschaft und Energie (grant no. 50EE1544 GEKKO), the Deutsche Forschungsgemeinschaft (the priority programme Regional Sea Level Change and Society SPP 1889 grant no. BR2105/14-1, the priority programme Antarctic Research with comparative investigations in Arctic ice areas SPP 1158 grant BR2105/9-1 and grant BR2105/13-1), and the Helmholtz Association (Alliance Remote Sensing &amp; Earth System Dynamics).</t>
  </si>
  <si>
    <t>10.5194/tc-13-2537-2019</t>
  </si>
  <si>
    <t>JB7TB</t>
  </si>
  <si>
    <t>WOS:000488767000001</t>
  </si>
  <si>
    <t>Liang, HY; Jiang, GX; Wang, TJ; Zhang, J; Liu, WW; Xu, Z; Zhang, J; Xiao, L</t>
  </si>
  <si>
    <t>Liang, Hongyu; Jiang, Guixian; Wang, Tengjiao; Zhang, Jie; Liu, Wenwen; Xu, Zheng; Zhang, Jing; Xiao, Liang</t>
  </si>
  <si>
    <t>An integrated transcriptomic and proteomic analysis reveals toxin arsenal of a novel Antarctic jellyfish Cyanea sp.</t>
  </si>
  <si>
    <t>JOURNAL OF PROTEOMICS</t>
  </si>
  <si>
    <t>Jellyfish; Cyanea sp.; Transcriptome; Proteome; Toxin; Antarctic</t>
  </si>
  <si>
    <t>SEA WASP; PROTEIN TOXIN; VENOM; BLOOMS; INHIBITOR</t>
  </si>
  <si>
    <t>Jellyfish is a common toxic zooplankton in ocean. We successfully captured a kind of jellyfish 200 m underwater in Antarctica, and identified it as a jellyfish Cyanea sp. through morphological examination and MT-CO1 phylogenetic analysis. A total of 40,468 unigenes were harvested through transcriptome sequencing. We also successfully annotated 12,955 (32.01%) unigenes with the NR database, 10,882 (26.89%) unigenes with the SWISSPROT database, 4951 (12.23%) unigenes with the GO database, and 4901 (12.11%) unigenes with the KEGG database. In the proteomic analysis, a total of 11,159 peptides and 2630 proteins were harvested using the constructed transcriptome as the database. A number of 771 (29.31%) and 841 (31.98%) proteins were annotated against the GO and KEGG database, respectively. Moreover, a number of 29 toxic proteins matched from the 145 toxin-related unigenes were successfully screened, including 6 metalloproteinases, 4 phospholipases, 2 serine proteases, 1 serine protease inhibitor, 7 toxin-related venom and 9 other toxins. Our study is the first to identify a polar jellyfish Cyanea sp. with transcriptomics and proteomics, and these data can further serve as a public database for the identification of potential polar jellyfish-derived lead compounds feasibly functioning in the cold environment. Significance: With increasing discussions on marine biodiversity and global warming, polar species have gradually become a focus for research. To the best of our knowledge, there is only one paper in pubMed about the mitochondrial genome of the Antarctic stalked jellyfish Haliclystus antarcticus Pfeffer. In this study, we captured a type of jellyfish (named BD-4) from the Southern Ocean (60 degrees 29'57 '' S, 52 11'44 '' W) on the scientific expedition ship Xue Long at the end of 2016. Although the samples were stored and transported by the ship at only -20 degrees C for more than two month, we successfully extracted the total RNA, and performed molecular species identification and combined analyses of de novo transcriptomics and proteomics. In addition to conventional bioinformatics techniques such as GO and KEGG annotation, we screened and listed toxic proteins, aligned the sequences, simulated three-dimensional structures and performed molecular phylogenetic analysis for typical components, including metalloproteinase and serine proteinase. Our study is the first to identify a polar jellyfish Cyanea sp. with de novo transcriptomics and proteomics, and these data can further serve as a public database for the identification of potential polar jellyfish-derived lead compounds.</t>
  </si>
  <si>
    <t>[Liang, Hongyu; Liu, Wenwen; Zhang, Jing] Jilin Agr Univ, Coll Tradit Chinese Med, Changchun 130118, Jilin, Peoples R China; [Liang, Hongyu; Liu, Wenwen; Xiao, Liang] Naval Med Univ, Mil Med Univ 2, Fac Naval Med, Shanghai 200433, Peoples R China; [Jiang, Guixian] Naval Med Univ, Mil Med Univ 2, Clin Med, Shanghai 200433, Peoples R China; [Wang, Tengjiao] Naval Med Univ, Mil Med Univ 2, Ctr Translat Med, Dept Bioinformat, Shanghai 200433, Peoples R China; [Zhang, Jie] Polar Res Inst China, Shanghai 200433, Peoples R China; [Xu, Zheng] Naval Med Univ, Mil Med Univ 2, Adm Off Sci Res, Shanghai 200433, Peoples R China</t>
  </si>
  <si>
    <t>Jilin Agricultural University; Naval Medical University; Naval Medical University; Naval Medical University; Polar Research Institute of China; Naval Medical University</t>
  </si>
  <si>
    <t>Zhang, J (corresponding author), Jilin Agr Univ, Coll Tradit Chinese Med, Changchun 130118, Jilin, Peoples R China.;Xiao, L (corresponding author), Naval Med Univ, Mil Med Univ 2, Fac Naval Med, Dept Marine Biotechnol, Shanghai 200433, Peoples R China.</t>
  </si>
  <si>
    <t>zhjing0701@163.com; hormat830713@hotmail.com</t>
  </si>
  <si>
    <t>liu, wenwen/L-9389-2019; Zhang, Jing/GXN-4147-2022</t>
  </si>
  <si>
    <t>Zhang, Jing/0000-0002-8449-6554; Xiao, Liang/0000-0001-5476-8304</t>
  </si>
  <si>
    <t>excellent youth talent program from Shanghai Municipal Health Commission [2017YQ007]; Military Youth Training Program-Talent Project [18QNP016]; National Natural Science Foundation of China [81770329]</t>
  </si>
  <si>
    <t>excellent youth talent program from Shanghai Municipal Health Commission; Military Youth Training Program-Talent Project; National Natural Science Foundation of China(National Natural Science Foundation of China (NSFC))</t>
  </si>
  <si>
    <t>This work was supported by the excellent youth talent program from Shanghai Municipal Health Commission (2017YQ007), Military Youth Training Program-Talent Project (18QNP016), and the general program from the National Natural Science Foundation of China (81770329). The authors also acknowledge the assistance of Dr. Ning Chen and Na Yi for determination of proteomics from the company Bangfei Bioscience in China, and the help of Dr. Yongqiang Wang for collecting Antarctic jellfish from Qingdao Institute of Oceanography, Chinese Academy of Sciences.</t>
  </si>
  <si>
    <t>1874-3919</t>
  </si>
  <si>
    <t>1876-7737</t>
  </si>
  <si>
    <t>J PROTEOMICS</t>
  </si>
  <si>
    <t>J. Proteomics</t>
  </si>
  <si>
    <t>10.1016/j.jprot.2019.103483</t>
  </si>
  <si>
    <t>IZ6DN</t>
  </si>
  <si>
    <t>WOS:000487172100005</t>
  </si>
  <si>
    <t>Cuny-Guirriec, K; Douville, E; Reynaud, S; Allemand, D; Bordier, L; Canesi, M; Mazzoli, C; Taviani, M; Canese, S; McCulloch, M; Trotter, J; Rico-Esenaro, SD; Sanchez-Cabeza, JA; Ruiz-Fernández, AC; Carricart-Ganivet, JP; Scott, PM; Sadekov, A; Montagna, P</t>
  </si>
  <si>
    <t>Cuny-Guirriec, Kristan; Douville, Eric; Reynaud, Stephanie; Allemand, Denis; Bordier, Louise; Canesi, Marine; Mazzoli, Claudio; Taviani, Marco; Canese, Simonepietro; McCulloch, Malcolm; Trotter, Julie; Damian Rico-Esenaro, Serguei; Sanchez-Cabeza, Joan-Albert; Carolina Ruiz-Fernandez, Ana; Carricart-Ganivet, Juan P.; Scott, Pete M.; Sadekov, Aleksey; Montagna, Paolo</t>
  </si>
  <si>
    <t>Coral Li/Mg thermometry: Caveats and constraints</t>
  </si>
  <si>
    <t>Scleractinian corals; Li/Mg; Paleo-temperature proxy; Organic matter; Calcite contamination</t>
  </si>
  <si>
    <t>SEA-SURFACE TEMPERATURE; SR/CA; ARAGONITE; RATIOS; MG/CA; PALEOTEMPERATURE; SKELETON; OXYGEN; GEOCHEMISTRY; FORAMINIFERA</t>
  </si>
  <si>
    <t>The coral Li/Mg temperature proxy is revisited through an in-depth trace element analysis of scleractinians collected live from tropical to polar environments. The dataset consists of Li/Ca, Mg/Ca, Sr/Ca and Li/Mg ratios from 64 coral specimens belonging to 8 different taxa, including both reef-building zooxanthellate and cold-water non-zooxanthellate species, from a wide range of water temperature (-1 to 29.5 degrees C), salinity (34.71 to 38.61), and depth (3 to 670m). Our results showed that the reliability of the Li/Mg temperature proxy is strongly limited by the organic matter associated with the coral skeleton, which is most evident within the green bands observed in tropical corals. Organic-rich bands can double the Mg content otherwise present in the skeleton, which may ultimately lead to a temperature overestimation exceeding 15 degrees C. We found that this bias can be overcome by the treatment of coral skeletons with a specific oxidizing cleaning protocol. We also detected the presence of calcite deposits within the aragonite skeleton of some Antarctic living coral specimens, which strongly affects the robustness of the Li/Mg proxy given its temperature sensitivity of similar to 1.5 degrees C/1% calcite. Therefore, to obtain reliable reconstructions a correction needs to be applied when organic matter and/or calcite contamination is present, which requires the scrupulous assessment of the integrity of the aragonite prior to geochemical analyses. Given that some species entrap more organic matter than others, and that some are more prone to calcite contamination, a taxon-related effect is apparent. Here we show that the tropical species Porites spp., Pseudodiploria strigosa and Orbicella annularis, and the cold-water species Madrepora oculata, Caryophyllia antarctica and Flabellum impensum, are all suitable candidates for reconstructing seawater temperatures. The integrated results across a wide temperature range, from extreme cold to tropical shallow waters, yield an overall precision for the Li/Mg-temperature proxy of +/- 1.0 degrees C, as quantified by the standard error of estimates. If calculated from the 95% prediction intervals, the uncertainty of the temperature estimates is +/- 0.9 degrees C at 1 degrees C, +/- 1.5 degrees C at 12 degrees C and +/- 2.6 degrees C at 25 degrees C. However, the uncertainty for the tropical corals (e.g. Porites) can be reduced to +/- 0.6 degrees C if a Li/Mg and Sr/Ca multi-regression approach is applied.</t>
  </si>
  <si>
    <t>[Cuny-Guirriec, Kristan; Douville, Eric; Bordier, Louise; Canesi, Marine; Taviani, Marco] Univ Paris Saclay, CEA CNRS UVSQ, LSCE IPSL, F-91191 Gif Sur Yvette, France; [Reynaud, Stephanie; Allemand, Denis] Ctr Sci Monaco, 8 Quai Antoine Ier, MC-98000 Monaco, Monaco; [Mazzoli, Claudio] Univ Padua, Dipartimento Geosci, Via G Gradenigo 6, I-35131 Padua, Italy; [Montagna, Paolo] CNR, Inst Marine Sci ISMAR, Via Gobetti 101, Bologna, Italy; [Taviani, Marco] Woods Hole Oceanog Inst, Biol Dept, 266 Woods Hole Rd, Woods Hole, MA 02543 USA; [Taviani, Marco] Stass Zool Anton Dohrn, Villa Comunale, I-80121 Naples, Italy; [Canese, Simonepietro] ISPRA, Via Brancati 48, I-00144 Rome, Italy; [McCulloch, Malcolm; Scott, Pete M.; Sadekov, Aleksey] Univ Western Australia, ARC Ctr Excellence Coral Reef Studies, Oceans Grad Sch, UWA Oceans Inst, Crawley, Australia; [Trotter, Julie] Univ Western Australia, Sch Earth Sci, UWA Oceans Inst, Crawley, Australia; [Damian Rico-Esenaro, Serguei] Univ Nacl Autonoma Mexico, Posgrad Ciencias Mar &amp; Limnol, Av Ciudad Univ 3000, Coyoacan, Ciudad De Mexic, Mexico; [Sanchez-Cabeza, Joan-Albert] Univ Nacl Autonoma Mexico, Inst Ciencias Mar &amp; Limnol, Unidad Acad Proc Ocean &amp; Costeros, Mexico City 04510, DF, Mexico; [Carolina Ruiz-Fernandez, Ana] Univ Nacl Autonoma Mexico, Inst Ciencias Mar &amp; Limnol, Unidad Acad Mazatlan, Av Joel Montes Camarena S-N, Mazatlan 82040, Mexico; [Carricart-Ganivet, Juan P.] Univ Nacl Autonoma Mexico, Inst Ciencias Mar &amp; Limnol, Lab Esclerocronol Corales Arrecifales, Unidad Acad Sistemas Arrecifales Puerto Morelos, ProL Av Ninos Heroes S-N, Puerto Morelos 77580, Q Roo, Mexico; [Montagna, Paolo] Columbia Univ, Lamont Doherty Earth Observ, 61 Route 9W, Palisades, NY 10964 USA</t>
  </si>
  <si>
    <t>Universite Paris Cite; CEA; Centre National de la Recherche Scientifique (CNRS); Universite Paris Saclay; University of Padua; Consiglio Nazionale delle Ricerche (CNR); Istituto di Scienze Marine (ISMAR-CNR); Woods Hole Oceanographic Institution; Italian Institute for Environmental Protection &amp; Research (ISPRA); University of Western Australia; University of Western Australia; Universidad Nacional Autonoma de Mexico; Universidad Nacional Autonoma de Mexico; Universidad Nacional Autonoma de Mexico; Universidad Nacional Autonoma de Mexico; Columbia University</t>
  </si>
  <si>
    <t>Cuny-Guirriec, K (corresponding author), Univ Paris Saclay, CEA CNRS UVSQ, LSCE IPSL, F-91191 Gif Sur Yvette, France.</t>
  </si>
  <si>
    <t>kristan.cuny@lsce.ipsl.fr</t>
  </si>
  <si>
    <t>Ruiz Fernández, Dra. Ana Carolina/ABG-6985-2020; Mazzoli, Claudio/H-9651-2015; Montagna, Paolo/H-9632-2015; Canese, Simonepietro/AAA-5499-2019; Taviani, Marco/AAF-2168-2020; McCulloch, Malcolm Thomas/C-3651-2009; Sanchez-Cabeza, Joan-Albert/Q-2394-2016; Scott, Peter/N-4355-2017; Trotter, Julie/H-5981-2014</t>
  </si>
  <si>
    <t>Ruiz Fernández, Dra. Ana Carolina/0000-0002-2515-1249; Mazzoli, Claudio/0000-0002-0374-8415; Montagna, Paolo/0000-0001-5598-2214; Canese, Simonepietro/0000-0001-6049-4506; Taviani, Marco/0000-0003-0414-4274; McCulloch, Malcolm Thomas/0000-0003-1538-1558; Sanchez-Cabeza, Joan-Albert/0000-0002-3540-1168; Rico-Esenaro, Serguei Damian/0000-0002-4818-4705; Douville, Eric/0000-0002-6673-1768; Scott, Peter/0000-0002-1352-5901; Trotter, Julie/0000-0002-0505-488X</t>
  </si>
  <si>
    <t>IDI 2016 project - IDEX Paris-Saclay [ANR-11-IDEX-000302]; project ANR-HAMOC [ANR-13-BS06-0003-02]; project PNRA-Geosmart [PNRA2013/AZ2.06]; project PNRA-Graceful [PNRA16_00069]; Posgrado en Ciencias del Mar y Limnologia, UNAM; CONACYT (CVU) [448526]; CONACYT [CNR C0013-2016-05-277942, SEMARNAT 2016-01-278634, PDCPN2013-01/214349]; ARC [FL120100049, FT160100259]; ARC Centre of Excellence for Coral Reef Studies [CE140100020]; CNRS; PSL; CSM; EPHE; Genoscope/CEA; Inserm; Universite Cote d'Azur; ANR; agnes b.; UNESCO-IOC; Veolia Environment Foundation; Region Bretagne; Serge Ferrari; Billerudkorsnas; Amerisource Bergen Company; Lorient Agglomeration; Oceans by Disney; Prince Albert II de Monaco Foundation; L'Oreal; Biotherm; France Collectivites; Kankyo Station; Fonds Francais pour l'Environnement Mondial (FFEM); Etienne BOURGOIS; Tara Foundation; Australian Research Council [FT160100259] Funding Source: Australian Research Council</t>
  </si>
  <si>
    <t>IDI 2016 project - IDEX Paris-Saclay; project ANR-HAMOC; project PNRA-Geosmart; project PNRA-Graceful; Posgrado en Ciencias del Mar y Limnologia, UNAM(Universidad Nacional Autonoma de Mexico); CONACYT (CVU); CONACYT(Consejo Nacional de Ciencia y Tecnologia (CONACyT)); ARC(Australian Research Council); ARC Centre of Excellence for Coral Reef Studies(Australian Research Council); CNRS(Centre National de la Recherche Scientifique (CNRS)); PSL; CSM; EPHE; Genoscope/CEA; Inserm(Institut National de la Sante et de la Recherche Medicale (Inserm)); Universite Cote d'Azur; ANR(Agence Nationale de la Recherche (ANR)); agnes b.; UNESCO-IOC; Veolia Environment Foundation; Region Bretagne(Region Bretagne); Serge Ferrari; Billerudkorsnas; Amerisource Bergen Company; Lorient Agglomeration; Oceans by Disney; Prince Albert II de Monaco Foundation; L'Oreal(L'Oreal Group); Biotherm; France Collectivites; Kankyo Station; Fonds Francais pour l'Environnement Mondial (FFEM); Etienne BOURGOIS; Tara Foundation; Australian Research Council(Australian Research Council)</t>
  </si>
  <si>
    <t>This work was supported by the IDI 2016 project funded by the IDEX Paris-Saclay, ANR-11-IDEX-000302. The projects ANR-HAMOC (grant No ANR-13-BS06-0003-02), INSU COFIMED from the programme MISTRALS-PALEOMEX, PNRA-Geosmart (grant No PNRA2013/AZ2.06) and PNRA-Graceful (grant No PNRA16_00069) also contributed to the study. Support by the Posgrado en Ciencias del Mar y Limnologia, UNAM, and a Ph.D. fellowship from CONACYT (CVU No. 448526) is acknowledged by SDRE.; Financial support was also received from CONACYT projects CNR C0013-2016-05-277942, SEMARNAT 2016-01-278634 and PDCPN2013-01/214349. Research was also supported by ARC Laureate Fellowship (FL120100049) awarded to MMc, the ARC Centre of Excellence for Coral Reef Studies (CE140100020), and an ARC Future Fellowship (FT160100259) awarded to JAT.; The permit to collect the samples in Puerto Morelos was provided by the Secretaria de Agricultura, Ganaderia, Desarrollo Rural, Pesca y Alimentacion (SAGARPA, Permiso de Pesca de Fomento No. PPF/DGOPA042/13). We thank the captains, crews, chief scientists, and scientific parties of the research cruise RECORD and XVII and XXXII Antarctic campaigns. We are keen to thank the commitment of the people and the following institutions for their financial and scientific support that made this singular expedition possible: CNRS, PSL, CSM, EPHE, Genoscope/CEA, Inserm, Universite Cote d'Azur, ANR, agnes b., UNESCO-IOC, the Veolia Environment Foundation, Region Bretagne, Serge Ferrari, Billerudkorsnas, Amerisource Bergen Company, Lorient Agglomeration, Oceans by Disney, the Prince Albert II de Monaco Foundation, L'Oreal, Biotherm, France Collectivites, Kankyo Station, Fonds Francais pour l'Environnement Mondial (FFEM), Etienne BOURGOIS, the Tara Foundation teams and crew. Tara Pacific would not exist without the continuous support of the participating institutes. Special thanks are due to Guillaume Iwankow for drilling. Thanks are also due to the UMR ENTROPIE (Noumea, New Caledonia) and especially to Fanny Houlbreque and Claude Payri. We are grateful to Federico Zorzi for the help with the XRD analysis and Anne Juillet-Leclerc for the generous advices on the manuscript. This manuscript benefited from constructive suggestions by three anonymous reviewers. This is LSCE contribution n. 6603, ISMAR-CNR Bologna scientific contribution n. 1978, and publication n. 10 of the Tara Pacific Consortium.</t>
  </si>
  <si>
    <t>10.1016/j.chemgeo.2019.03.038</t>
  </si>
  <si>
    <t>IP8YL</t>
  </si>
  <si>
    <t>WOS:000480333200014</t>
  </si>
  <si>
    <t>Palmer, K; Watson, C; Fischer, A</t>
  </si>
  <si>
    <t>Palmer, Karen; Watson, Christopher; Fischer, Andrew</t>
  </si>
  <si>
    <t>Non-linear interactions between sea-level rise, tides, and geomorphic change in the Tamar Estuary, Australia</t>
  </si>
  <si>
    <t>Sea-level rise; Estuary; Geomorphology; Tidal range; Infill; Tidal distortion</t>
  </si>
  <si>
    <t>CLIMATE-CHANGE; COASTAL; MORPHOLOGY; IMPACTS</t>
  </si>
  <si>
    <t>Forecasting the likely impacts of sea-level rise (SLR) within estuaries is especially complicated by the interacting effects of geomorphic change and tidal distortion. The 70 km long kanamaluka(1)/Tamar Estuary, Australia, provides the setting for a simplified approach to explore the effects of SLR on tidal regime together with evolving estuary morphology. Scenarios of SLR, estuary infill, nodal tide modulation at the mouth, and increased wind speed are applied within a hydrodynamic model. The potential for amplified tidal range with SLR versus the damping potential of significant but plausible levels of estuary infill are explored. For this estuary, the simulated infilling had a strong effect on tidal distortion, up to a 57% reduction in tidal range at the estuary head. However, this reduction translates to just a 16% effective reduction in mean high water due to the elevation of mean tide level. Comparatively, SLR had a contrasting effect on tidal distortion, reducing flood tide dominant asymmetry by up to 40% without driving a significant change to the tidal range. The same 57% reduction in tidal range at the estuary head would limit projected SLR by 2100 to current (2018) levels, suggesting potential for mitigating SLR with engineered solutions. The efficient and effective design of mitigation strategies depends on the improved availability and quality of observational data. Data-driven modelling approaches will be essential for managing future coastal flood risk with SLR and ensure long term resilience.</t>
  </si>
  <si>
    <t>[Palmer, Karen; Watson, Christopher] Univ Tasmania, Sch Technol Environm &amp; Design, Sch Technol, Discipline Geog &amp; Spatial Sci, Hobart, Tas 7001, Australia; [Fischer, Andrew] Univ Tasmania, Inst Marine &amp; Antarctic Studies, Launceston, Tas 7250, Australia</t>
  </si>
  <si>
    <t>Palmer, K (corresponding author), Univ Tasmania, Sch Technol Environm &amp; Design, Sch Technol, Discipline Geog &amp; Spatial Sci, Hobart, Tas 7001, Australia.</t>
  </si>
  <si>
    <t>kpalmer@utas.edu.au</t>
  </si>
  <si>
    <t>Fischer, Andrew/0000-0001-5284-6428; Palmer, Karen/0000-0003-1813-4376</t>
  </si>
  <si>
    <t>Whitehead Family Honours Scholarship</t>
  </si>
  <si>
    <t>We wish to thank BMT Pty Ltd for TUFLOW FV licencing and training and NRM North for sharing the Tamar Estuary Model, also Ian Kidd and Leigh Cornwell who assisted with tide gauge deployment and data, and the Whitehead Family Honours Scholarship for funds which supported KP during the project. We thank Colin Woodroffe and an anonymous reviewer for their insightful comments which significantly improved this manuscript.</t>
  </si>
  <si>
    <t>10.1016/j.ecss.2019.106247</t>
  </si>
  <si>
    <t>IN5JX</t>
  </si>
  <si>
    <t>WOS:000478712800020</t>
  </si>
  <si>
    <t>Bestley, S; Andrews-Goff, V; van Wijk, E; Rintoul, SR; Double, MC; How, J</t>
  </si>
  <si>
    <t>Bestley, Sophie; Andrews-Goff, Virginia; van Wijk, Esmee; Rintoul, Stephen R.; Double, Michael C.; How, Jason</t>
  </si>
  <si>
    <t>New insights into prime Southern Ocean forage grounds for thriving Western Australian humpback whales</t>
  </si>
  <si>
    <t>MEGAPTERA-NOVAEANGLIAE; POPULATION-STRUCTURE; ANTARCTICA 80-150-DEGREES-E; SOUTHWARD MIGRATION; BREEDING GROUNDS; KRILL; EAST; ABUNDANCE; ATLANTIC; SUMMER</t>
  </si>
  <si>
    <t>Humpback whale populations migrate extensively between winter breeding grounds and summer feeding grounds, however known links to remote Antarctic feeding grounds remain limited in many cases. New satellite tracks detail humpback whale migration pathways from Western Australia into the Southern Ocean. These highlight a focal feeding area during austral spring and early summer at the southern Kerguelen plateau, in a western boundary current where a sharp northward turn and retroflection of ocean fronts occurs along the eastern plateau edge. The topographic steering of oceanographic features here likely supports a predictable, productive and persistent forage ground. The spatial distribution of whaling catches and Discovery era mark-recaptures confirms the importance of this region to Western Australian humpback whales since at least historical times. Movement modelling discriminates sex-related behaviours, with females moving faster during both transit and resident periods, which may be a consequence of size or indicate differential energetic requirements. Relatively short and directed migratory pathways overall, together with high-quality, reliable forage resources may provide a partial explanation for the ongoing strong recovery demonstrated by this population. The combination of new oceanographic information and movement data provides enhanced understanding of important biological processes, which are relevant within the context of the current spatial management and conservation efforts in the Southern Ocean.</t>
  </si>
  <si>
    <t>[Bestley, Sophie] Univ Tasmania, Inst Marine &amp; Antarctic Studies, Private Bag 129, Hobart, Tas 7001, Australia; [Andrews-Goff, Virginia; Double, Michael C.] Australian Marine Mammal Ctr, Australian Antarctic Div, 203 Channel Highway, Kingston, Tas 7050, Australia; [van Wijk, Esmee; Rintoul, Stephen R.] CSIRO Oceans &amp; Atmosphere, GPO Box 1538, Hobart, Tas 7001, Australia; [van Wijk, Esmee; Rintoul, Stephen R.] Antarctic Climate &amp; Ecosyst Cooperat Res Ctr, Private Bag 80, Hobart, Tas 7001, Australia; [Rintoul, Stephen R.] Ctr Southern Hemisphere Oceans Res, GPO Box 1538, Hobart, Tas 7001, Australia; [How, Jason] Dept Primary Ind &amp; Reg Dev, 140 William St, Perth, WA 6000, Australia; [How, Jason] Western Australian Fisheries &amp; Marine Res Labs, POB 20, North Beach, WA 6920, Australia</t>
  </si>
  <si>
    <t>University of Tasmania; Australian Antarctic Division; Commonwealth Scientific &amp; Industrial Research Organisation (CSIRO); Antarctic Climate &amp; Ecosystems Cooperative Research Centre (ACE CRC); Western Australian Fisheries &amp; Marine Research Laboratories</t>
  </si>
  <si>
    <t>Bestley, S (corresponding author), Univ Tasmania, Inst Marine &amp; Antarctic Studies, Private Bag 129, Hobart, Tas 7001, Australia.</t>
  </si>
  <si>
    <t>Sophie.Bestley@utas.edu.au</t>
  </si>
  <si>
    <t>Bestley, Sophie/AAN-2483-2021; van Wijk, Esmee/AAB-2451-2020</t>
  </si>
  <si>
    <t>Bestley, Sophie/0000-0001-9342-669X; van Wijk, Esmee/0000-0002-9375-4383; Andrews-Goff, Virginia/0000-0002-4609-7317</t>
  </si>
  <si>
    <t>Fisheries Research and Development Corporation Project [2014-004]; National Collaborative Research Infrastructure Strategy (NCRIS); Australian Research Council [DE180100828]; Australian Antarctic Science Kerguelen Axis project [AAS4344]; Australian Research Council [DE180100828] Funding Source: Australian Research Council</t>
  </si>
  <si>
    <t>Fisheries Research and Development Corporation Project(Fisheries R&amp;D Corp); National Collaborative Research Infrastructure Strategy (NCRIS)(Australian GovernmentDepartment of Industry, Innovation and Science); Australian Research Council(Australian Research Council); Australian Antarctic Science Kerguelen Axis project; Australian Research Council(Australian Research Council)</t>
  </si>
  <si>
    <t>Satellite tagging of whales was supported under Fisheries Research and Development Corporation Project No. 2014-004. We thank the regional operational staff of the Department of Fisheries of Western Australia, particularly K. Rushworth and B. Hebiton in tagging operations, and of the Department of Parks and Wildlife. N. Kelly provided very useful background discussions. Computation undertaken during this research was supported by use of the Nectar Research Cloud, a collaborative Australian research platform supported by the National Collaborative Research Infrastructure Strategy (NCRIS). This research contributes to the Australian Research Council Discovery Early Career Research Award granted to S.B. under Project DE180100828 and to the Australian Antarctic Science Kerguelen Axis project (AAS4344). The funders had no role in study design, data collection and analysis, decision to publish, or preparation of the manuscript.</t>
  </si>
  <si>
    <t>SEP 27</t>
  </si>
  <si>
    <t>10.1038/s41598-019-50497-2</t>
  </si>
  <si>
    <t>JB0DW</t>
  </si>
  <si>
    <t>WOS:000488222500040</t>
  </si>
  <si>
    <t>Hamilton, CD; Lydersen, C; Fedak, MA; Freitas, C; Hindell, MA; Kovacs, KM</t>
  </si>
  <si>
    <t>Hamilton, Charmain D.; Lydersen, Christian; Fedak, Mike A.; Freitas, Carla; Hindell, Mark A.; Kovacs, Kit M.</t>
  </si>
  <si>
    <t>Behavioural ontogeny of bearded seals Erignathus barbatus through the first year of life</t>
  </si>
  <si>
    <t>Diving development; Pinniped development; Phocid seals; Svalbard</t>
  </si>
  <si>
    <t>DIVING BEHAVIOR; TIDEWATER GLACIERS; MATERNAL-BEHAVIOR; MARINE MAMMALS; HARBOR SEALS; HABITAT USE; SVALBARD; PUPS; LACTATION; MOVEMENT</t>
  </si>
  <si>
    <t>Pinniped pups face special ontogenetic challenges as they are born and receive maternal care on solid substrates (land or ice) but must transition to feeding aquatically following weaning. In this study, satellite relay data loggers were used to study behavioural ontogeny of bearded seal Erignathus barbatus pups (n = 13) through their first year in Svalbard, Norway. Pups occupied shallow, coastal habitats and were found in areas with intermediate ice concentrations (in seasons with sea ice: late-autumn/winter). Most pups showed exploratory movement patterns that peaked in the weeks following weaning; maximum home range size occurred at 31 to 60 d of age. Thereafter, home range size decreased with pups settling into areas along the coast. Time spent diving, dive duration, dive depth and time at the bottom of dives increased during the first weeks of independence, stabilizing when pups were similar to 50 d old. Dive depth subsequently decreased to depths comparable to adult bearded seals (by the time pups were similar to 175 d old). Record maximum dive depth (368 m) and duration (16.5 min) were performed by pups that were 66 and 224 d old, respectively. Time spent hauled out decreased after weaning, with pups hauling out only sporadically after they were 75 d old. Bearded seal pups seem to be physiologically and behaviourally well developed by the time they are 2 mo old. Pups did not display the individually specialized diving behaviour seen in adults, which suggests that they continue to fine-tune their aquatic and other life-skills well past the end of the first year of life.</t>
  </si>
  <si>
    <t>[Hamilton, Charmain D.; Lydersen, Christian; Freitas, Carla; Kovacs, Kit M.] Norwegian Polar Res Inst, Fram Ctr, N-9296 Tromso, Norway; [Fedak, Mike A.] Univ St Andrews, Scottish Oceans Inst, St Andrews KY16 8LB, Fife, Scotland; [Hindell, Mark A.] Univ Tasmania, Inst Marine &amp; Antarctic Studies, Hobart, Tas 7001, Australia; [Hindell, Mark A.] Univ Tasmania, Antarctic Climate &amp; Ecosyst Cooperat Res Ctr, Hobart, Tas 7000, Australia; [Freitas, Carla] Inst Marine Res, N-4817 Fledevigen, Norway</t>
  </si>
  <si>
    <t>Norwegian Polar Institute; University of St Andrews; University of Tasmania; Antarctic Climate &amp; Ecosystems Cooperative Research Centre (ACE CRC); University of Tasmania; Institute of Marine Research - Norway</t>
  </si>
  <si>
    <t>Kovacs, KM (corresponding author), Norwegian Polar Res Inst, Fram Ctr, N-9296 Tromso, Norway.</t>
  </si>
  <si>
    <t>kit.kovacs@npolar.no</t>
  </si>
  <si>
    <t>Hindell, Mark A/K-1131-2013; Fedak, Michael/B-3987-2009</t>
  </si>
  <si>
    <t>Freitas, Carla/0000-0002-5676-0514; Hindell, Mark/0000-0002-7823-7185; Fedak, Michael/0000-0002-9569-1128</t>
  </si>
  <si>
    <t>Norwegian Research Council (MARE programme) [164940]; Norwegian Polar Institute's Centre for Ice, Climate and Ecosystems</t>
  </si>
  <si>
    <t>Norwegian Research Council (MARE programme); Norwegian Polar Institute's Centre for Ice, Climate and Ecosystems</t>
  </si>
  <si>
    <t>We thank Chris Marshall, Tray Wright and Yuuki Watanabe for help in the field. Funding was provided by the Norwegian Research Council (MARE programme, grant number 164940). C.D.H. was funded by the Norwegian Polar Institute's Centre for Ice, Climate and Ecosystems.</t>
  </si>
  <si>
    <t>SEP 26</t>
  </si>
  <si>
    <t>10.3354/meps13072</t>
  </si>
  <si>
    <t>KW4WE</t>
  </si>
  <si>
    <t>WOS:000521165900014</t>
  </si>
  <si>
    <t>Zeppelin, T; Pelland, N; Sterling, J; Brost, B; Melin, S; Johnson, D; Lea, MA; Ream, R</t>
  </si>
  <si>
    <t>Zeppelin, Tonya; Pelland, Noel; Sterling, Jeremy; Brost, Brian; Melin, Sharon; Johnson, Devin; Lea, Mary-Anne; Ream, Rolf</t>
  </si>
  <si>
    <t>Migratory strategies of juvenile northern fur seals (Callorhinus ursinus): bridging the gap between pups and adults</t>
  </si>
  <si>
    <t>FORAGING BEHAVIOR; DIVING BEHAVIOR; ONTOGENY; GROWTH; MODEL; SEX; MOVEMENTS; TRACKING; LIONS; OCEAN</t>
  </si>
  <si>
    <t>In species exhibiting differential migration by sex and age, understanding what differences exist, and the adaptive reasons for these differences is critical for determining how demographic groups will respond to environmental variability and anthropogenic perturbations. We used satellite-telemetered movement and diving data to investigate differential migration and its ontogeny in a highly migratory North Pacific Ocean predator, the northern fur seal (Callorhinus ursinus; NFS), with a focus on understudied juvenile (1- to 2-year-old) animals. We instrumented 71 juvenile NFS in two years (2006-07 and 2007-08) at three major North American breeding sites and compared their migratory strategies with pups and adults. Although sexual dimorphism is strong in adult NFS, only weak differences in body mass between sexes were found in juveniles, which had similar body mass to pups (similar to 3-4 months). However, unlike widely-dispersed pups, juvenile male and female NFS dispersed in different directions, and used different habitats characterized by distinct hydrography and prey assemblages during migration, similar to breeding adults. Juvenile diving behavior differed only modestly among habitats and between sexes, consistent with weak differences in body mass. Evidence of habitat sexual segregation by juvenile NFS contradicts previous hypotheses that physiological differences predominantly drive the ontogeny of differential migration.</t>
  </si>
  <si>
    <t>[Zeppelin, Tonya; Pelland, Noel; Sterling, Jeremy; Brost, Brian; Melin, Sharon; Johnson, Devin; Ream, Rolf] Natl Marine Fisheries Serv, Marine Mammal Lab, Alaska Fisheries Sci Ctr, 7600 Sand Point Way NE, Seattle, WA 98115 USA; [Lea, Mary-Anne] Univ Tasmania, Coll Sci &amp; Engn, Ecol &amp; Biodivers Ctr, Inst Marine &amp; Antarctic Studies, 20 Castray Esplanade, Hobart, Tas 7000, Australia</t>
  </si>
  <si>
    <t>National Oceanic Atmospheric Admin (NOAA) - USA; University of Tasmania</t>
  </si>
  <si>
    <t>Zeppelin, T (corresponding author), Natl Marine Fisheries Serv, Marine Mammal Lab, Alaska Fisheries Sci Ctr, 7600 Sand Point Way NE, Seattle, WA 98115 USA.</t>
  </si>
  <si>
    <t>Tonya.Zeppelin@noaa.gov</t>
  </si>
  <si>
    <t>Lea, Mary-Anne/E-9054-2013</t>
  </si>
  <si>
    <t>Lea, Mary-Anne/0000-0001-8318-9299</t>
  </si>
  <si>
    <t>10.1038/s41598-019-50230-z</t>
  </si>
  <si>
    <t>JB0DP</t>
  </si>
  <si>
    <t>WOS:000488221800014</t>
  </si>
  <si>
    <t>Phillips, LR; Hindell, M; Hobday, AJ; Lea, MA</t>
  </si>
  <si>
    <t>Phillips, Lachlan R.; Hindell, Mark; Hobday, Alistair J.; Lea, Mary-Anne</t>
  </si>
  <si>
    <t>Variability in at-sea foraging behaviour of little penguins Eudyptula minor in response to fine-scale environmental features</t>
  </si>
  <si>
    <t>Behavioural plasticity; Environmental variability; Ecological patterns; Ecological processes; Ecological modelling; Ecology</t>
  </si>
  <si>
    <t>INTERANNUAL VARIABILITY; PREY DISTRIBUTION; JAPANESE SARDINE; STORM BAY; CLIMATE; TASMANIA; SUCCESS; PERFORMANCE; FISHERIES; SEABIRD</t>
  </si>
  <si>
    <t>A long-standing question in ecology is how predators interact with their environment when locating patchily distributed prey. There is some evidence to suggest that marine predators use environmental features as foraging cues at meso-scales (100-1000 km); however, the role of environmental structure at finer scales (1-100 km) is less well understood. To investigate how marine predators respond to fine-scale environmental variability, the movement patterns of 29 GPS-tagged little penguins Eudyptula minor from 3 colonies in the highly variable Storm Bay ecosystem in south-eastern Tasmania, Australia, were analysed using hidden Markov behavioural state modelling alongside high-resolution environmental data. Variability in at-sea behavioural states was observed between colonies correlating with differences in fine-scale environmental parameters. There were significant differences in trip metrics and time spent in each of the identified behavioural states between each of the study colonies. Additionally, transitions between behavioural states were associated with different environmental parameters at each site. This variability in foraging behaviour for conspecifics at similar temporal scales illustrates the significance of fine-scale environmental variability in determining at-sea predator behaviour and highlights how even subtle differences in fine-scale environmental parameters can lead to alternative foraging strategies. This flexibility suggests a capacity to behaviourally adapt to variable and changing environmental conditions, a necessary condition for persistence in a changing world.</t>
  </si>
  <si>
    <t>[Phillips, Lachlan R.; Hindell, Mark; Lea, Mary-Anne] Univ Tasmania, Ecol &amp; Biodivers Ctr, Inst Marine &amp; Antarctic Studies, Hobart, Tas 7004, Australia; [Hobday, Alistair J.] CSIRO Oceans &amp; Atmosphere, Hobart, Tas 7000, Australia</t>
  </si>
  <si>
    <t>Phillips, LR (corresponding author), Univ Tasmania, Ecol &amp; Biodivers Ctr, Inst Marine &amp; Antarctic Studies, Hobart, Tas 7004, Australia.</t>
  </si>
  <si>
    <t>lachlan.phillips.00@gmail.com</t>
  </si>
  <si>
    <t>Hindell, Mark A/K-1131-2013; Hobday, Alistair/A-1460-2012; Lea, Mary-Anne/E-9054-2013</t>
  </si>
  <si>
    <t>Lea, Mary-Anne/0000-0001-8318-9299; Hindell, Mark/0000-0002-7823-7185</t>
  </si>
  <si>
    <t>10.3354/meps13095</t>
  </si>
  <si>
    <t>WOS:000521165900011</t>
  </si>
  <si>
    <t>[Anonymous]</t>
  </si>
  <si>
    <t>Bone-chilling Antarctic winter offers the unexpected: drizzle</t>
  </si>
  <si>
    <t>JB0MC</t>
  </si>
  <si>
    <t>WOS:000488247600004</t>
  </si>
  <si>
    <t>Stokes, CR; Sanderson, JE; Miles, BWJ; Jamieson, SSR; Leeson, AA</t>
  </si>
  <si>
    <t>Stokes, Chris R.; Sanderson, Jack E.; Miles, Bertie W. J.; Jamieson, Stewart S. R.; Leeson, Amber A.</t>
  </si>
  <si>
    <t>Widespread distribution of supraglacial lakes around the margin of the East Antarctic Ice Sheet</t>
  </si>
  <si>
    <t>LONGITUDINAL SURFACE-STRUCTURES; WEST GREENLAND; SEA-ICE; SEASONAL EVOLUTION; MODIS IMAGERY; MASS-BALANCE; LANDSAT 8; SHELF; DRAINAGE; CLIMATE</t>
  </si>
  <si>
    <t>Supraglacial lakes are important to ice sheet mass balance because their development and drainage has been linked to changes in ice flow velocity and ice shelf disintegration. However, little is known about their distribution on the world's largest ice sheet in East Antarctica. Here, we use similar to 5 million km(2) of high-resolution satellite imagery to identify &gt;65,000 lakes (&gt;1,300 km(2)) that formed around the peak of the melt season in January 2017. Lakes occur in most marginal areas where they typically develop at low elevations (&lt;100 m) and on low surface slopes (&lt;1 degrees), but they can exist 500 km inland and at elevations &gt;1500 m. We find that lakes often cluster a few kilometres down-ice from grounding lines and similar to 60% (&gt;80% by area) develop on ice shelves, including some potentially vulnerable to collapse driven by lake-induced hydro-fracturing. This suggests that parts of the ice sheet may be highly sensitive to climate warming.</t>
  </si>
  <si>
    <t>[Stokes, Chris R.; Sanderson, Jack E.; Miles, Bertie W. J.; Jamieson, Stewart S. R.] Univ Durham, Dept Geog, Durham DH1 3LE, England; [Leeson, Amber A.] Univ Lancaster, Lancaster Environm Ctr, Data Sci Inst, Lancaster LA1 4YW, England</t>
  </si>
  <si>
    <t>Durham University; Lancaster University</t>
  </si>
  <si>
    <t>Stokes, CR (corresponding author), Univ Durham, Dept Geog, Durham DH1 3LE, England.</t>
  </si>
  <si>
    <t>c.r.stokes@durham.ac.uk</t>
  </si>
  <si>
    <t>Jamieson, Stewart S.R./B-8330-2013; Leeson, Amber/JFA-1001-2023; Stokes, Chris R/A-1957-2011</t>
  </si>
  <si>
    <t>Jamieson, Stewart S.R./0000-0002-9036-2317; Leeson, Amber/0000-0001-8720-9808; Miles, Bertie/0000-0002-3388-4688</t>
  </si>
  <si>
    <t>Natural Environment Research Council [NE/R000824/1]; NERC [NE/S011390/1, NE/R000824/1] Funding Source: UKRI</t>
  </si>
  <si>
    <t>C.R.S., B.W.J.M. and S.S.R.J. were funded by a Natural Environment Research Council grant (NE/R000824/1). We acknowledge the United States Geological Survey (USGS) Earth Resources Observation Science (EROS) Centre and the Copernicus Open Access Hub for free access to the satellite imagery used in this study. We also thank Karen Alley for providing the data relating to the ice shelf vulnerability index in Figure 7 and for useful discussions with Jennifer Arthur. The manuscript benefited from the comments of two anonymous reviewers and the Editor, for which we are very grateful.</t>
  </si>
  <si>
    <t>SEP 25</t>
  </si>
  <si>
    <t>10.1038/s41598-019-50343-5</t>
  </si>
  <si>
    <t>JA1OP</t>
  </si>
  <si>
    <t>WOS:000487586600014</t>
  </si>
  <si>
    <t>Oza, SR; Bothale, RV; Rajak, DR; Jayaprasad, P; Maity, S; Thakur, PK; Tripatin, N; Chouksey, A; Bahuguna, IM</t>
  </si>
  <si>
    <t>Oza, Sandip R.; Bothale, Rajashree, V; Rajak, D. Ram; Jayaprasad, P.; Maity, Saroj; Thakur, Praveen K.; Tripatin, Naveen; Chouksey, Arpit; Bahuguna, I. M.</t>
  </si>
  <si>
    <t>Assessment of cryospheric parameters over the Himalaya and Antarctic regions using SCATSAT-1 enhanced resolution data</t>
  </si>
  <si>
    <t>CURRENT SCIENCE</t>
  </si>
  <si>
    <t>Calving; scatterometer; sea-ice; snow water equivalent; surface melt</t>
  </si>
  <si>
    <t>SEA-ICE CONCENTRATION; TIME-SERIES; SNOW COVER; ALGORITHMS; WATER; MSMR</t>
  </si>
  <si>
    <t>Antarctica is the focus of scientific studies considering the largest reservoir of terrestrial water in the form of ice and doubling of ice area during winter due to sea-ice growth. The third pole - Himalaya is equally important due to the large extent of snow and ice cover outside the polar regions, which is a major source of water for the Asian countries. At present, the Ku-band scatterometer observing global cryosphere is the SCATSAT-1 launched by India. This article describes the study carried out on different cryospheric parameters using high-resolution (similar to 2.2 km) scatterometer data in the Antarctica and Himalaya. Impact of seasonal variations in snow/ice and ice calving on the backscatter over Antarctica is discussed in detail. A procedure developed for the estimation of sea-ice extent, which yielded overall accuracy of 89%, has been presented and successfully applied for daily monitoring of the Antarctic ice extent for 2017. Surface melting using backscatter and brightness temperature data has been discussed and the contrast between large-sized and small-sized Antarctic ice shelves during the austral summer period of summer 2017-18 is highlighted. The higher average surface melt observed around majority of east Antarctic ice shelves, particularly near the Indian station 'Maitri', is of particular interest. Typical surface melting patterns observed over the third largest Antarctic ice shelf, Amery, are discussed in detail. Over northwest Himalaya, derived changes in snow water equivalent (Delta SWE) shows a good correlation between observed and calculated SWE variations. The present study demonstrates that simultaneous availability of high-resolution brightness temperature and backscatter data from SCATSAT-1 provides a unique opportunity to study the polar and mountain cryosphere.</t>
  </si>
  <si>
    <t>[Oza, Sandip R.; Rajak, D. Ram; Jayaprasad, P.; Maity, Saroj; Tripatin, Naveen; Bahuguna, I. M.] ISRO, Space Applicat Ctr, Ahmadabad 380015, Gujarat, India; [Bothale, Rajashree, V] ISRO, Natl Remote Sensing Ctr, Hyderabad 500037, Andhra Pradesh, India; [Thakur, Praveen K.; Chouksey, Arpit] ISRO, Indian Inst Remote Sensing, Dehra Dun 248001, Uttar Pradesh, India</t>
  </si>
  <si>
    <t>Department of Space (DoS), Government of India; Indian Space Research Organisation (ISRO); Space Applications Centre (SAC); Department of Space (DoS), Government of India; Indian Space Research Organisation (ISRO); National Remote Sensing Centre (NRSC); Department of Space (DoS), Government of India; Indian Space Research Organisation (ISRO); Indian Institute of Remote Sensing (IIRS)</t>
  </si>
  <si>
    <t>Oza, SR (corresponding author), ISRO, Space Applicat Ctr, Ahmadabad 380015, Gujarat, India.</t>
  </si>
  <si>
    <t>sandipoza@sac.isro.gov.in</t>
  </si>
  <si>
    <t>Thakur, Praveen Kumar/G-4295-2010</t>
  </si>
  <si>
    <t>Tripathi, Naveen/0000-0003-2265-8797</t>
  </si>
  <si>
    <t>0011-3891</t>
  </si>
  <si>
    <t>CURR SCI INDIA</t>
  </si>
  <si>
    <t>Curr. Sci.</t>
  </si>
  <si>
    <t>10.18520/cs/v117/i6/1002-1013</t>
  </si>
  <si>
    <t>JA3TS</t>
  </si>
  <si>
    <t>WOS:000487750900027</t>
  </si>
  <si>
    <t>Olsen, A; Lange, N; Key, RM; Tanhua, T; Alvarez, M; Becker, S; Bittig, HC; Carter, BR; da Cunha, LC; Feely, RA; van Heuven, S; Hoppema, M; Ishii, M; Jeansson, E; Jones, SD; Jutterström, S; Karlsen, MK; Kozyr, A; Lauvset, SK; Lo Monaco, C; Murata, A; Pérez, FF; Pfeil, B; Schirnick, C; Steinfeldt, R; Suzuki, T; Telszewski, M; Tilbrook, B; Velo, A; Wanninkhof, R</t>
  </si>
  <si>
    <t>Olsen, Are; Lange, Nico; Key, Robert M.; Tanhua, Toste; Alvarez, Marta; Becker, Susan; Bittig, Henry C.; Carter, Brendan R.; da Cunha, Leticia Cotrim; Feely, Richard A.; van Heuven, Steven; Hoppema, Mario; Ishii, Masao; Jeansson, Emil; Jones, Steve D.; Jutterstrom, Sara; Karlsen, Maren K.; Kozyr, Alex; Lauvset, Siv K.; Lo Monaco, Claire; Murata, Akihiko; Perez, Fiz F.; Pfeil, Benjamin; Schirnick, Carsten; Steinfeldt, Reiner; Suzuki, Toru; Telszewski, Maciej; Tilbrook, Bronte; Velo, Anton; Wanninkhof, Rik</t>
  </si>
  <si>
    <t>GLODAPv2.2019-an update of GLODAPv2</t>
  </si>
  <si>
    <t>SEAWATER PH MEASUREMENTS; INORGANIC CARBON; SOUTHERN-OCEAN; POTENTIAL TEMPERATURE; ANTHROPOGENIC CO2; CRESOL PURPLE; IRMINGER SEA; GLOBAL OCEAN; NORDIC SEAS; WATER</t>
  </si>
  <si>
    <t>The Global Ocean Data Analysis Project (GLODAP) is a synthesis effort providing regular compilations of surface to bottom ocean biogeochemical data, with an emphasis on seawater inorganic carbon chemistry and related variables determined through chemical analysis of water samples. This update of GLODAPv2, v2.2019, adds data from 116 cruises to the previous version, extending its coverage in time from 2013 to 2017, while also adding some data from prior years. GLODAPv2.2019 includes measurements from more than 1.1 million water samples from the global oceans collected on 840 cruises. The data for the 12 GLODAP core variables (salinity, oxygen, nitrate, silicate, phosphate, dissolved inorganic carbon, total alkalinity, pH, CFC-11, CFC-12, CFC-113, and CCl4) have undergone extensive quality control, especially systematic evaluation of bias. The data are available in two formats: (i) as submitted by the data originator but updated to WOCE exchange format and (ii) as a merged data product with adjustments applied to minimize bias. These adjustments were derived by comparing the data from the 116 new cruises with the data from the 724 quality-controlled cruises of the GLODAPv2 data product. They correct for errors related to measurement, calibration, and data handling practices, taking into account any known or likely time trends or variations. The compiled and adjusted data product is believed to be consistent to better than 0.005 in salinity, 1% in oxygen, 2% in nitrate, 2% in silicate, 2% in phosphate, 4 mu mol kg(-1) in dissolved inorganic carbon, 4 mu mol kg(-1) in total alkalinity, 0.01-0.02 in pH, and 5% in the halogenated transient tracers. The compilation also includes data for several other variables, such as isotopic tracers. These were not subjected to bias comparison or adjustments. The original data, their documentation and DOI codes are available in the Ocean Carbon Data System of NOAA NCEI (https://www.nodc.noaa.gov/ocads/oceans/GLODAPv2_2019/, last access: 17 September 2019). This site also provides access to the merged data product, which is provided as a single global file and as four regional ones - the Arctic, Atlantic, Indian, and Pacific oceans - under https://doi.org/10.25921/xnme-wr20 (Olsen et al., 2019). The product files also include significant ancillary and approximated data. These were obtained by interpolation of, or calculation from, measured data. This paper documents the GLODAPv2.2019 methods and provides a broad overview of the secondary quality control procedures and results.</t>
  </si>
  <si>
    <t>[Olsen, Are; Jones, Steve D.; Karlsen, Maren K.; Lauvset, Siv K.; Pfeil, Benjamin] Univ Bergen, Geophys Inst, Bergen, Norway; [Olsen, Are; Jones, Steve D.; Karlsen, Maren K.; Lauvset, Siv K.] Bjerknes Ctr Climate Res, Bergen, Norway; [Lange, Nico; Tanhua, Toste; Schirnick, Carsten] GEOMAR Helmholtz Ctr Ocean Res Kiel, Kiel, Germany; [Key, Robert M.] Princeton Univ, Atmospher &amp; Ocean Sci, Princeton, NJ 08540 USA; [Alvarez, Marta] Inst Espanol Oceanog, La Coruna, Spain; [Becker, Susan] Univ Calif San Diego, Scripps Inst Oceanog, La Jolla, CA 92093 USA; [Bittig, Henry C.] Leibniz Inst Balt Sea Res Warnemunde, Rostock, Germany; [Carter, Brendan R.] Univ Washington, Joint Inst Study Atmosphere &amp; Ocean, Seattle, WA USA; [Carter, Brendan R.; Feely, Richard A.] NOAA, Pacific Marine Environm Lab, 7600 Sand Point Way Ne, Seattle, WA 98115 USA; [da Cunha, Leticia Cotrim] Univ Estado Rio de Janeiro, Fac Oceanog, Rio De Janeiro, RJ, Brazil; [van Heuven, Steven] Univ Groningen, Fac Sci &amp; Engn, Ctr Isotope Res, Groningen, Netherlands; [Hoppema, Mario] Alfred Wegener Inst Helmholtz Ctr Polar &amp; Marine, Bremerhaven, Germany; [Ishii, Masao] Japan Meteorol Agcy, Meteorol Res Inst, Oceanog &amp; Geochem Res Dept, Tsukuba, Ibaraki, Japan; [Jeansson, Emil; Lauvset, Siv K.] Bjerknes Ctr Climate Res, NORCE Norwegian Res Ctr, Bergen, Norway; [Jutterstrom, Sara] IVL Swedish Environm Res Inst, Gothenburg, Sweden; [Kozyr, Alex] NOAA, Natl Ctr Environm Informat, Silver Spring, MD USA; [Lo Monaco, Claire] Sorbonne Univ, CNRS, LOCEAN, Paris, France; [Murata, Akihiko] Japan Agcy Marine Earth Sci &amp; Technol, Res Inst Global Change, Yokosuka, Kanagawa, Japan; [Perez, Fiz F.; Velo, Anton] IIM CSIC, Inst Invest Marinas, Vigo, Spain; [Steinfeldt, Reiner] Univ Bremen, Inst Environm Phys, Bremen, Germany; [Suzuki, Toru] Japan Hydrog Assoc, Marine Informat Res Ctr, Tokyo, Japan; [Telszewski, Maciej] Polish Acad Sci, Inst Oceanol, Int Ocean Carbon Coordinat Project, Sopot, Poland; [Tilbrook, Bronte] Univ Tasmania, Oceans &amp; Atmosphere &amp; Antarctic Climate &amp; Ecosyst, CSIRO, Hobart, Tas, Australia; [Wanninkhof, Rik] NOAA, Atlantic Oceanog &amp; Meteorol Lab, Miami, FL 33149 USA</t>
  </si>
  <si>
    <t>University of Bergen; Bjerknes Centre for Climate Research; Helmholtz Association; GEOMAR Helmholtz Center for Ocean Research Kiel; Princeton University; Spanish Institute of Oceanography; University of California System; University of California San Diego; Scripps Institution of Oceanography; Leibniz Institut fur Ostseeforschung Warnemunde; University of Washington; University of Washington Seattle; National Oceanic Atmospheric Admin (NOAA) - USA; Universidade do Estado do Rio de Janeiro; University of Groningen; Helmholtz Association; Alfred Wegener Institute, Helmholtz Centre for Polar &amp; Marine Research; Meteorological Research Institute - Japan; Japan Meteorological Agency; Bjerknes Centre for Climate Research; Norwegian Research Centre (NORCE); IVL Swedish Environmental Research Institute; National Oceanic Atmospheric Admin (NOAA) - USA; Sorbonne Universite; Museum National d'Histoire Naturelle (MNHN); Centre National de la Recherche Scientifique (CNRS); Japan Agency for Marine-Earth Science &amp; Technology (JAMSTEC); Consejo Superior de Investigaciones Cientificas (CSIC); CSIC - Instituto de Investigaciones Marinas (IIM); University of Bremen; Polish Academy of Sciences; Institute of Oceanology of the Polish Academy of Sciences; Commonwealth Scientific &amp; Industrial Research Organisation (CSIRO); University of Tasmania; National Oceanic Atmospheric Admin (NOAA) - USA; Atlantic Oceanographic &amp; Meteorological Laboratory (AOML)</t>
  </si>
  <si>
    <t>Olsen, A (corresponding author), Univ Bergen, Geophys Inst, Bergen, Norway.;Olsen, A (corresponding author), Bjerknes Ctr Climate Res, Bergen, Norway.</t>
  </si>
  <si>
    <t>are.olsen@uib.no</t>
  </si>
  <si>
    <t>Olsen, Are/A-1511-2011; Lauvset, Siv K/AAA-3819-2022; Carter, Brendan/AAB-1327-2021; Carter, Brendan/ABG-9706-2021; Fernandez Perez, Fiz/B-9001-2011; Velo, Anton/B-4172-2019; Álvarez, Marta/D-4367-2009; Jutterström, Sara/AAE-1833-2020; Feely, Richard A./ABI-5740-2020; Tanhua, Toste/HLX-5402-2023; Cotrim da Cunha, Leticia/F-5732-2010; Tilbrook, Bronte/A-1522-2012</t>
  </si>
  <si>
    <t>Fernandez Perez, Fiz/0000-0003-4836-8974; Velo, Anton/0000-0002-7598-5700; Álvarez, Marta/0000-0002-5075-9344; Cotrim da Cunha, Leticia/0000-0001-8035-1430; Tanhua, Toste/0000-0002-0313-2557; Karlsen, Maren Kjos/0000-0003-2603-4084; Telszewski, Maciej/0000-0002-9139-226X</t>
  </si>
  <si>
    <t>Horizon 2020 (AtlantOS) [633211]; National Science Foundation [OCE-1840868]; National Oceanic and Atmospheric Administration [NA14OAR4320106, N8R3CEAPDM]</t>
  </si>
  <si>
    <t>Horizon 2020 (AtlantOS); National Science Foundation(National Science Foundation (NSF)); National Oceanic and Atmospheric Administration(National Oceanic Atmospheric Admin (NOAA) - USA)</t>
  </si>
  <si>
    <t>This research has been supported by the Horizon 2020 (AtlantOS (grant no. 633211)), the National Science Foundation (grant no. OCE-1840868), and the National Oceanic and Atmospheric Administration (grant nos. NA14OAR4320106 and N8R3CEAPDM).</t>
  </si>
  <si>
    <t>10.5194/essd-11-1437-2019</t>
  </si>
  <si>
    <t>JA7KY</t>
  </si>
  <si>
    <t>WOS:000488023300001</t>
  </si>
  <si>
    <t>Biscontin, A; Martini, P; Costa, R; Kramer, A; Meyer, B; Kawaguchi, S; Teschke, M; De Pittà, C</t>
  </si>
  <si>
    <t>Biscontin, Alberto; Martini, Paolo; Costa, Rodolfo; Kramer, Achim; Meyer, Bettina; Kawaguchi, So; Teschke, Mathias; De Pitta, Cristiano</t>
  </si>
  <si>
    <t>Analysis of the circadian transcriptome of the Antarctic krill Euphausia superba</t>
  </si>
  <si>
    <t>VERTICAL MIGRATION; DROSOPHILA; PERIOD; RHYTHMS; CLOCK; DEGRADATION; METABOLISM; GENES; PHASE; CYCLE</t>
  </si>
  <si>
    <t>Antarctic krill (Euphausia superba) is a high latitude pelagic organism which plays a central role in the Southern Ocean ecosystem. E. superba shows daily and seasonal rhythms in physiology and behaviour, which are synchronized with the environmental cycles of its habitat. Recently, the main components of the krill circadian machinery have been identified and characterized. However, the exact mechanisms through which the endogenous timing system operates the control and regulation of the overt rhythms remains only partially understood. Here we investigate the involvement of the circadian clock in the temporal orchestration of gene expression by using a newly developed version of a krill microarray platform. The analysis of transcriptome data from krill exposed to both light-dark cycles (LD 18:6) and constant darkness (DD), has led to the identification of 1,564 putative clock-controlled genes. A remarkably large proportion of such genes, including several clock components (clock, period, cry2, vrille, and slimb), show oscillatory expression patterns in DD, with a periodicity shorter than 24 hours. Energy-storage pathways appear to be regulated by the endogenous clock in accordance with their ecological relevance in daily energy managing and overwintering. Our results provide the first representation of the krill circadian transcriptome under laboratory, free-running conditions.</t>
  </si>
  <si>
    <t>[Biscontin, Alberto; Martini, Paolo; Costa, Rodolfo; De Pitta, Cristiano] Univ Padua, Dipartimento Biol, Padua, Italy; [Biscontin, Alberto; Kramer, Achim] Charite Univ Med Berlin, Lab Chronobiol, Berlin, Germany; [Meyer, Bettina; Teschke, Mathias] Helmholtz Ctr Polar &amp; Marine Res, Alfred Wegener Inst, Sect Polar Biol Oceanog, Bremerhaven, Germany; [Meyer, Bettina] Carl von Ossietzky Univ Oldenburg, Inst Chem &amp; Biol Marine Environm, Oldenburg, Germany; [Meyer, Bettina] Carl von Ossietzky Univ Oldenburg, HIFMB, D-26111 Oldenburg, Germany; [Kawaguchi, So] Australian Antarct Div, Dept Environm &amp; Heritage, Kingston, Tas, Australia</t>
  </si>
  <si>
    <t>University of Padua; Free University of Berlin; Humboldt University of Berlin; Charite Universitatsmedizin Berlin; Helmholtz Association; Alfred Wegener Institute, Helmholtz Centre for Polar &amp; Marine Research; Carl von Ossietzky Universitat Oldenburg; Carl von Ossietzky Universitat Oldenburg; Australian Antarctic Division</t>
  </si>
  <si>
    <t>Biscontin, A; De Pittà, C (corresponding author), Univ Padua, Dipartimento Biol, Padua, Italy.;Biscontin, A (corresponding author), Charite Univ Med Berlin, Lab Chronobiol, Berlin, Germany.</t>
  </si>
  <si>
    <t>alberto.biscontin@unipd.it; cristiano.depitta@unipd.it</t>
  </si>
  <si>
    <t>De Pitta, Cristiano/AAY-7302-2020; Kawaguchi, So/N-1795-2017; Meyer, Bettina/ABB-5311-2020</t>
  </si>
  <si>
    <t>De Pitta, Cristiano/0000-0001-8013-8162; Meyer, Bettina/0000-0001-6804-9896; Kawaguchi, So/0000-0002-2042-5095; Martini, Paolo/0000-0002-0146-1031; Biscontin, Alberto/0000-0003-1492-7715; Kramer, Achim/0000-0001-9671-6078</t>
  </si>
  <si>
    <t>Helmholtz Association through the Helmholtz Virtual Institute 'PolarTime' (VH-VI-500: Biological timing in a changing marine environment - clocks and rhythms in polar pelagic organisms); Programma Nazionale di Ricerche in Antartide - PNRA [2003/1.3, 2016_00225]; Promega Corporation 2019 Real-Time PCR Grant Program</t>
  </si>
  <si>
    <t>Helmholtz Association through the Helmholtz Virtual Institute 'PolarTime' (VH-VI-500: Biological timing in a changing marine environment - clocks and rhythms in polar pelagic organisms); Programma Nazionale di Ricerche in Antartide - PNRA; Promega Corporation 2019 Real-Time PCR Grant Program</t>
  </si>
  <si>
    <t>We are grateful to Mauro Zordan (Department of Biology, University of Padova, Italy) for language editing; Beniamina Pacchioni and Caterina Millino (MicroCribi Microarray Service, C.R.I.B.I., University of Padova, Italy) for help with the microarray experiments; Chiara Romualdi and Gabriele Sales (Department of Biology, University of Padova, Italy) for statistical assistance. This work was supported by the Helmholtz Association through the Helmholtz Virtual Institute 'PolarTime' (VH-VI-500: Biological timing in a changing marine environment - clocks and rhythms in polar pelagic organisms, http://www.polartime.org), the Programma Nazionale di Ricerche in Antartide - PNRA (grant 2003/1.3 to RC, grant 2016_00225 to AB) and the Promega Corporation 2019 Real-Time PCR Grant Program (grant to AB).</t>
  </si>
  <si>
    <t>10.1038/s41598-019-50282-1</t>
  </si>
  <si>
    <t>JA1PB</t>
  </si>
  <si>
    <t>WOS:000487587800006</t>
  </si>
  <si>
    <t>Person, R; Aumont, O; Madec, G; Vancoppenolle, M; Bopp, L; Merino, N</t>
  </si>
  <si>
    <t>Person, Renaud; Aumont, Olivier; Madec, Gurvan; Vancoppenolle, Martin; Bopp, Laurent; Merino, Nacho</t>
  </si>
  <si>
    <t>Sensitivity of ocean biogeochemistry to the iron supply from the Antarctic Ice Sheet explored with a biogeochemical model</t>
  </si>
  <si>
    <t>BIOGEOSCIENCES</t>
  </si>
  <si>
    <t>SOUTHERN-OCEAN; DISSOLVED IRON; SEA-ICE; PRIMARY PRODUCTIVITY; PHYTOPLANKTON BLOOMS; INVERSE RELATIONSHIP; MARINE PRODUCTIVITY; EXPORT EFFICIENCY; SEASONAL CYCLE; HOT-SPOTS</t>
  </si>
  <si>
    <t>Iron (Fe) delivery by the Antarctic Ice Sheet (AIS) through ice shelf and iceberg melting enhances primary productivity in the largely iron-limited Southern Ocean (SO). To explore this fertilization capacity, we implement a simple representation of the AIS iron source in the global ocean biogeochemical model NEMO-PISCES. We evaluate the response of Fe, surface chlorophyll, primary production, and carbon (C) export to the magnitude and hypothesized vertical distributions of the AIS Fe fluxes. Surface Fe and chlorophyll concentrations are increased up to 24% and 12 %, respectively, over the whole SO. The AIS Fe delivery is found to have a relatively modest impact on SO primary production and C export, which are increased by 0.063 +/- 0.036 PgC yr(-1) and 0.028 +/- 0.016, respectively. However, in highly fertilized areas, primary production and C export can be increased by up to 30% and 42 %, respectively. Icebergs are predicted to have a much larger impact on Fe, surface chlorophyll, and primary productivity than ice shelves in the SO. The response of surface Fe and chlorophyll is maximum in the Atlantic sector, northeast of the tip of the Antarctic Peninsula, and along the East Antarctic coast. The iceberg Fe delivery below the mixed layer may, depending on its assumed vertical distribution, fuel a non-negligible subsurface reservoir of Fe. The AIS Fe supply is effective all year round. The seasonal variations of the iceberg Fe fluxes have regional impacts that are small for annual mean primary productivity and C export at the scale of the SO.</t>
  </si>
  <si>
    <t>[Person, Renaud; Aumont, Olivier; Madec, Gurvan; Vancoppenolle, Martin] Sorbonne Univ, IPSL, LOCEAN, CNRS,IRD, F-75005 Paris, France; [Madec, Gurvan] Univ Grenoble Alpes, CNRS, INRIA, Grenoble INP,LJK, F-38000 Grenoble, France; [Bopp, Laurent] Sorbonne Univ, IPSL, LMD, CNRS,Ecole Normale Super,PSL Res Univ,Ecole Polyt, F-75005 Paris, France; [Merino, Nacho] Univ Grenoble Alpes, IGE, CNRS, IRD, F-38000 Grenoble, France</t>
  </si>
  <si>
    <t>Sorbonne Universite; Museum National d'Histoire Naturelle (MNHN); Centre National de la Recherche Scientifique (CNRS); Universite Paris Cite; Institut de Recherche pour le Developpement (IRD); Inria; Communaute Universite Grenoble Alpes; Institut National Polytechnique de Grenoble; Centre National de la Recherche Scientifique (CNRS); Universite Grenoble Alpes (UGA); Ecole des Ponts ParisTech; Sorbonne Universite; Universite Paris Cite; Centre National de la Recherche Scientifique (CNRS); Universite PSL; Ecole Normale Superieure (ENS); Communaute Universite Grenoble Alpes; Universite Grenoble Alpes (UGA); Institut de Recherche pour le Developpement (IRD); Centre National de la Recherche Scientifique (CNRS)</t>
  </si>
  <si>
    <t>Person, R (corresponding author), Sorbonne Univ, IPSL, LOCEAN, CNRS,IRD, F-75005 Paris, France.</t>
  </si>
  <si>
    <t>renaud.person@locean-ipsl.upmc.fr</t>
  </si>
  <si>
    <t>Vancoppenolle, Martin/B-3750-2011; Vancoppenolle, Martin/AAA-7711-2022; bopp, laurent/ABF-5302-2020; Aumont, Olivier/G-5207-2016; madec, gurvan/E-7825-2010; Person, Renaud/C-1287-2017</t>
  </si>
  <si>
    <t>Vancoppenolle, Martin/0000-0002-7573-8582; Vancoppenolle, Martin/0000-0002-7573-8582; bopp, laurent/0000-0003-4732-4953; Aumont, Olivier/0000-0003-3954-506X; madec, gurvan/0000-0002-6447-4198; Person, Renaud/0000-0001-7559-2993</t>
  </si>
  <si>
    <t>ANR SOBUMS [ANR-16-CE01-0014]; EU-H2020-CRESCENDO [641816]</t>
  </si>
  <si>
    <t>ANR SOBUMS(Agence Nationale de la Recherche (ANR)); EU-H2020-CRESCENDO</t>
  </si>
  <si>
    <t>This research has been supported by the ANR SOBUMS (grant no. ANR-16-CE01-0014) and the EU-H2020-CRESCENDO (grant no. 641816).</t>
  </si>
  <si>
    <t>1726-4170</t>
  </si>
  <si>
    <t>1726-4189</t>
  </si>
  <si>
    <t>Biogeosciences</t>
  </si>
  <si>
    <t>SEP 24</t>
  </si>
  <si>
    <t>10.5194/bg-16-3583-2019</t>
  </si>
  <si>
    <t>JA7BR</t>
  </si>
  <si>
    <t>WOS:000487996500001</t>
  </si>
  <si>
    <t>Schallenberg, C; Harley, JW; Jansen, P; Davies, DM; Trull, TW</t>
  </si>
  <si>
    <t>Schallenberg, Christina; Harley, James W.; Jansen, Peter; Davies, Diana M.; Trull, Thomas W.</t>
  </si>
  <si>
    <t>Multi-Year Observations of Fluorescence and Backscatter at the Southern Ocean Time Series (SOTS) Shed Light on Two Distinct Seasonal Bio-Optical Regimes</t>
  </si>
  <si>
    <t>chlorophyll fluorescence; backscatter; SAZ; POC; optical index; Southern Ocean; time series; SOTS</t>
  </si>
  <si>
    <t>PHYTOPLANKTON COMMUNITY COMPOSITION; CARBON-TO-CHLOROPHYLL; POLAR FRONTAL ZONES; MARINE-PHYTOPLANKTON; CELL-SIZE; IRON; SCATTERING; GROWTH; VARIABILITY; WATERS</t>
  </si>
  <si>
    <t>This work presents insights from 6 years of chlorophyll-a (Chl) fluorescence and backscatter (700 nm) data at the Southern Ocean Time Series (SOTS) moorings, located in the Subantarctic Zone (SAZ) southwest of Tasmania. Using local calibrations from available voyage data, the fluorescence and backscatter records were related to Chl and particulate organic carbon (POC), allowing us to estimate and interpret carbon: Chl ratios. Surprisingly, observed carbon: Chl ratios were higher in winter than in summer, indicating that photo-acclimation of phytoplankton to decreased light levels in the deep winter mixed layer is not the main signal. Instead, the data suggest a seasonal succession of two trophodynamic regimes at SOTS: a phytoplankton-dominated community in summer, while in winter the proportion of non-phytoplankton POC increases. The two regimes can also be differentiated in an optical index based on fluorescence and backscatter, indicating two distinct bio-optical populations. Seasonal iron limitation and deep winter mixing in the SAZ, reaching as deep as 600 m, likely play key roles in setting the stage for the observed ecological succession of the two trophodynamic regimes.</t>
  </si>
  <si>
    <t>[Schallenberg, Christina; Harley, James W.; Jansen, Peter; Davies, Diana M.; Trull, Thomas W.] Antarctic Climate &amp; Ecosyst Cooperat Res Ctr, Hobart, Tas, Australia; [Jansen, Peter; Davies, Diana M.; Trull, Thomas W.] Commonwealth Sci &amp; Ind Res Org Oceans &amp; Atmospher, Hobart, Tas, Australia</t>
  </si>
  <si>
    <t>Antarctic Climate &amp; Ecosystems Cooperative Research Centre (ACE CRC); Commonwealth Scientific &amp; Industrial Research Organisation (CSIRO)</t>
  </si>
  <si>
    <t>Schallenberg, C (corresponding author), Antarctic Climate &amp; Ecosyst Cooperat Res Ctr, Hobart, Tas, Australia.</t>
  </si>
  <si>
    <t>christina.schatenberg@utas.edu.au</t>
  </si>
  <si>
    <t>Schallenberg, Christina/N-4187-2017</t>
  </si>
  <si>
    <t>Schallenberg, Christina/0000-0002-3073-7500</t>
  </si>
  <si>
    <t>Australian Antarctic Division (AAS) [1156, 2256]; Canadian NSERC PDF grant [PDF-502793-2017]</t>
  </si>
  <si>
    <t>Australian Antarctic Division (AAS); Canadian NSERC PDF grant(Natural Sciences and Engineering Research Council of Canada (NSERC))</t>
  </si>
  <si>
    <t>The SOTS received operating support from the Australian National Collaborative Research Infrastructure Strategy via the Integrated Marine Observing System Southern Ocean Time Series Facility, the Australian Commonwealth Cooperative Research Centre Program via the Antarctic Climate and Ecosystems CRC, and the Australian Marine National Facility. The SAZ-Sense shipboard process study was supported by the Australian Antarctic Division (AAS Grants 1156 and 2256 to TT). CS was partly funded by a Canadian NSERC PDF grant (PDF-502793-2017).</t>
  </si>
  <si>
    <t>10.3389/fmars.2019.00595</t>
  </si>
  <si>
    <t>JA8SK</t>
  </si>
  <si>
    <t>WOS:000488121400002</t>
  </si>
  <si>
    <t>Treasure, AM; le Roux, PC; Mashau, MH; Chown, SL</t>
  </si>
  <si>
    <t>Treasure, Anne M.; le Roux, Peter C.; Mashau, Mashudu H.; Chown, Steven L.</t>
  </si>
  <si>
    <t>Species-energy relationships of indigenous and invasive species may arise in different ways - a demonstration using springtails</t>
  </si>
  <si>
    <t>SUB-ANTARCTIC ISLAND; CLIMATE-CHANGE; BIOLOGICAL INVASIONS; SCALE VARIATION; RICHNESS GRADIENTS; PROPAGULE PRESSURE; THERMAL TOLERANCES; PLANT-COMMUNITIES; NUTRIENT DYNAMICS; STANDING CROP</t>
  </si>
  <si>
    <t>Although the relationship between species richness and available energy is well established for a range of spatial scales, exploration of the plausible underlying explanations for this relationship is less common. Speciation, extinction, dispersal and environmental filters all play a role. Here we make use of replicated elevational transects and the insights offered by comparing indigenous and invasive species to test four proximal mechanisms that have been offered to explain relationships between energy availability, abundance and species richness: the sampling mechanism (a null expectation), and the more individuals, dynamic equilibrium and range limitation mechanisms. We also briefly consider the time for speciation mechanism. We do so for springtails on sub-Antarctic Marion Island. Relationships between energy availability and species richness are stronger for invasive than indigenous species, with geometric constraints and area variation playing minor roles. We reject the sampling and more individuals mechanisms, but show that dynamic equilibrium and range limitation are plausible mechanisms underlying these gradients, especially for invasive species. Time for speciation cannot be ruled out as contributing to richness variation in the indigenous species. Differences between the indigenous and invasive species highlight the ways in which deconstruction of richness gradients may usefully inform investigations of the mechanisms underlying them. They also point to the importance of population size-related mechanisms in accounting for such variation. In the context of the sub-Antarctic our findings suggest that warming climates may favour invasive over indigenous species in the context of changes to elevational distributions, a situation found for vascular plants, and predicted for springtails on the basis of smaller-scale manipulative field experiments.</t>
  </si>
  <si>
    <t>[Treasure, Anne M.; le Roux, Peter C.; Mashau, Mashudu H.] Stellenbosch Univ, Ctr Invas Biol, Dept Bot &amp; Zool, Private Bag X1, ZA-7602 Matieland, South Africa; [le Roux, Peter C.] Univ Pretoria, Dept Plant &amp; Soil Sci, Private Bag X20, ZA-0028 Hatfield, South Africa; [Chown, Steven L.] Monash Univ, Sch Biol Sci, Clayton, Vic 3800, Australia; [Treasure, Anne M.] South African Environm Observat Network, 8th Floor,Towers South,Hertzog Blvd, ZA-8001 Cape Town, South Africa</t>
  </si>
  <si>
    <t>Stellenbosch University; University of Pretoria; Monash University; National Research Foundation - South Africa; South African Environmental Observation Network (SAEON)</t>
  </si>
  <si>
    <t>Treasure, AM (corresponding author), Stellenbosch Univ, Ctr Invas Biol, Dept Bot &amp; Zool, Private Bag X1, ZA-7602 Matieland, South Africa.;Treasure, AM (corresponding author), South African Environm Observat Network, 8th Floor,Towers South,Hertzog Blvd, ZA-8001 Cape Town, South Africa.</t>
  </si>
  <si>
    <t>anne.m.treasure@gmail.com</t>
  </si>
  <si>
    <t>Chown, Steven/ABD-7646-2021; le Roux, Peter Christiaan/E-7784-2011</t>
  </si>
  <si>
    <t>le Roux, Peter Christiaan/0000-0002-7941-7444; Treasure, Anne/0000-0002-8345-4811</t>
  </si>
  <si>
    <t>South African National Research Foundation Grant [SNA14071475789]</t>
  </si>
  <si>
    <t>South African National Research Foundation Grant</t>
  </si>
  <si>
    <t>Mike Angilletta, Ian Hogg, Aleks Terauds and Melodie McGeoch provided comments on a previous version of the manuscript. Martin Slabber and Charlene Janion-Scheepers assisted in the field. Charlene Janion-Scheepers provided additional data on egg development rates and assisted with species identification. David Hedding provided the digital elevation model of Marion Island. The work was supported by South African National Research Foundation Grant SNA14071475789.</t>
  </si>
  <si>
    <t>10.1038/s41598-019-48871-1</t>
  </si>
  <si>
    <t>IZ8OU</t>
  </si>
  <si>
    <t>WOS:000487365800014</t>
  </si>
  <si>
    <t>Bishop, J; Kopalova, K; Darling, JP; Schulte, NO; Kohler, J; McMinn, A; Spaulding, SA; Mcknight, DM; Van De Vijver, B</t>
  </si>
  <si>
    <t>Bishop, Jordan; Kopalova, Katerina; Darling, Joshua P.; Schulte, Nicholas O.; Kohler, J.; McMinn, Andrew; Spaulding, Sarah A.; Mcknight, Diane M.; Van De Vijver, Bart</t>
  </si>
  <si>
    <t>Sabbea gen. nov., a new diatom genus (Bacillariophyta) from continental Antarctica</t>
  </si>
  <si>
    <t>PHYTOTAXA</t>
  </si>
  <si>
    <t>Bacillariophyta; Cape Royds; East Antarctica; McMurdo Dry Valleys; new genus; Vestfold Hills</t>
  </si>
  <si>
    <t>SEA-ICE DIATOMS; FRESH-WATER; CLIMACONEIS BERKELEYACEAE; VESTFOLD HILLS; BUNGER HILLS; SALINE LAKES; REVISION; ISLANDS; FRYXELL; REGION</t>
  </si>
  <si>
    <t>The non-marine diatom flora of the Antarctic Continent includes several endemic taxa recorded over the past 100 years. One of these taxa, Navicula adminensis D.Roberts &amp; McMinn, was described from the Vestfold Hills, East Antarctica. Detailed light and scanning electron microscopy observations have shown that based on its morphological features, the species does not belong to the genus Navicula sensu stricto. To determine the most closely related genera to N. adminensis, the morphological features of Adlafia, Kobayasiella, Envekadea, Stenoneis, Berkeleya, Climaconeis, and Parlibellus were compared with those of N. adminensis. Although each of these genera shows one or more similar features, none of them accommodates the salient morphological characteristics of N. adminensis. Therefore, a new genus, Sabbea gen. nov., is herein described, and Wavicula adminensis is formally transferred to the new genus as Sabbea adminensis comb. nov. The genus Sabbea is characterized by uniseriate striae composed of small, rounded areolae occluded externally by individual hymenes, a rather simple raphe structure with straight, short proximal ends and short terminal raphe fissures, open girdle bands with double perforation and a very shallow mantle.</t>
  </si>
  <si>
    <t>[Bishop, Jordan; Kopalova, Katerina] Charles Univ Prague, Fac Sci, Dept Ecol, Prague, Czech Republic; [Kopalova, Katerina] Acad Sci Czech Republ, Sect Plant Ecol, Inst Bot, Trebon, Czech Republic; [Darling, Joshua P.; Schulte, Nicholas O.; Kohler, J.; Spaulding, Sarah A.; Mcknight, Diane M.] Univ Colorado, Inst Arct &amp; Alpine Res, 4001 Discovery Dr, Boulder, CO 80303 USA; [McMinn, Andrew] Univ Tasmania, Inst Marine &amp; Antarctic Studies, Hobart, Tas, Australia; [Spaulding, Sarah A.; Van De Vijver, Bart] Meise Bot Garden, Res Dept, Nieuwelaan 38, B-1860 Meise, Belgium; [Van De Vijver, Bart] Univ Antwerp, Dept Biol, ECOBE, Univ Pl 1, B-2610 Antwerp, Belgium</t>
  </si>
  <si>
    <t>Charles University Prague; Czech Academy of Sciences; Institute of Botany of the Czech Academy of Sciences; University of Colorado System; University of Colorado Boulder; University of Tasmania; University of Antwerp</t>
  </si>
  <si>
    <t>Van De Vijver, B (corresponding author), Meise Bot Garden, Res Dept, Nieuwelaan 38, B-1860 Meise, Belgium.;Van De Vijver, B (corresponding author), Univ Antwerp, Dept Biol, ECOBE, Univ Pl 1, B-2610 Antwerp, Belgium.</t>
  </si>
  <si>
    <t>McMinn, Andrew/A-9910-2008; Spaulding, Sarah Ann/AEZ-7757-2022; Bishop, Jordan/AAP-9306-2020; Kopalová, Kateřina/M-6207-2017</t>
  </si>
  <si>
    <t>Spaulding, Sarah Ann/0000-0002-9787-7743; Bishop, Jordan/0000-0003-2006-9462; McMinn, Andrew/0000-0002-2133-3854; Kohler, Tyler J./0000-0001-5137-4844</t>
  </si>
  <si>
    <t>Charles University Research Centre [204069]; Charles University Grant Agency (GAUK) [1460218]; National Science Foundation [OPP-1637708]; BELSPO MICROBIAN project; Erasmus; Charles University, Faculty of Science STARS Fellowship</t>
  </si>
  <si>
    <t>Charles University Research Centre; Charles University Grant Agency (GAUK); National Science Foundation(National Science Foundation (NSF)); BELSPO MICROBIAN project; Erasmus(Erasmus+); Charles University, Faculty of Science STARS Fellowship</t>
  </si>
  <si>
    <t>This work has been supported by the Charles University Research Centre program No. 204069, the Charles University Grant Agency (GAUK) Project 1460218. The McMurdo Dry Valleys Long-Term Ecological Research (MCM LTER) project was supported by the National Science Foundation Award No. OPP-1637708. Jordan Bishop benefitted from an Erasmus grant allowing him to stay for 6 months in the Meise Botanic Garden. Jordan Bishop benefitted also from the Charles University, Faculty of Science STARS Fellowship. This study was further supported by the BELSPO MICROBIAN project to visit the National History Museum in London, UK. Dr. Alex Ball and the staff of the IAC laboratory at the Natural History Museum are thanked for their help with the scanning electron microscopy.</t>
  </si>
  <si>
    <t>250F Marua Road Mt Wellington, AUCKLAND, ST LUKES 1023, NEW ZEALAND</t>
  </si>
  <si>
    <t>1179-3155</t>
  </si>
  <si>
    <t>1179-3163</t>
  </si>
  <si>
    <t>Phytotaxa</t>
  </si>
  <si>
    <t>SEP 23</t>
  </si>
  <si>
    <t>10.11646/phytotaxa.418.1.2</t>
  </si>
  <si>
    <t>JA2ZB</t>
  </si>
  <si>
    <t>WOS:000487686500002</t>
  </si>
  <si>
    <t>Mannel, T; Bentley, MS; Boakes, PD; Jeszenszky, H; Ehrenfreund, P; Engrand, C; Koeberl, C; Levasseur-Regourd, AC; Romstedt, J; Schmied, R; Torkar, K; Weber, I</t>
  </si>
  <si>
    <t>Mannel, T.; Bentley, M. S.; Boakes, P. D.; Jeszenszky, H.; Ehrenfreund, P.; Engrand, C.; Koeberl, C.; Levasseur-Regourd, A. C.; Romstedt, J.; Schmied, R.; Torkar, K.; Weber, I</t>
  </si>
  <si>
    <t>Dust of comet 67P/Churyumov-Gerasimenko collected by Rosetta/ MIDAS: classification and extension to the nanometer scale</t>
  </si>
  <si>
    <t>ASTRONOMY &amp; ASTROPHYSICS</t>
  </si>
  <si>
    <t>comets: individual: 67P/Churyumov-Gerasimenko; space vehicles; space vehicles: instruments; planets and satellites: formation; techniques: miscellaneous; protoplanetary disks</t>
  </si>
  <si>
    <t>ULTRACARBONACEOUS ANTARCTIC MICROMETEORITES; COSIMA MASS-SPECTROMETER; 81P/WILD 2; PARTICLES; STARDUST; AGGREGATE; ORIGIN; SYSTEM; CLOUD; ALICE</t>
  </si>
  <si>
    <t>Context. The properties of the smallest subunits of cometary dust contain information on their origin and clues to the formation of planetesimals and planets. Compared to interplanetary dust particles or particles collected during the Stardust mission, dust collected in the coma of comet 67P/Churyumov-Gerasimenko (67P) during the Rosetta mission provides a resource of minimally altered material with known origin whose structural properties can be used to further the investigation of the early solar system. Aims. The cometary dust particle morphologies found at comet 67P on the micrometer scale are classified, and their structural analysis is extended to the nanometer scale. Methods. We present a novel method for achieving the highest spatial resolution of imaging obtained with the MIDAS Atomic Force Microscope on board Rosetta. 3D topographic images with resolutions down to 8 nm were analyzed to determine the subunit sizes of particles on the nanometer scale. Results. Three morphological classes can be determined: (i) fragile agglomerate particles of sizes larger than about 10 mu m comprised of micrometer-sized subunits that may themselves be aggregates and show a moderate packing density on the surface of the particles. (ii) A fragile agglomerate with a size of about a few tens of micrometers comprised of micrometer-sized subunits that are suggested to be aggregates themselves and are arranged in a structure with a fractal dimension lower than two. (iii) Small micrometer-sized particles comprised of subunits in the size range of hundreds of nanometers that show surface features that are again suggested to represent subunits. Their differential size distributions follow a log-normal distribution with means of about 100 nm and standard deviations between 20 and 35 nm. Conclusions. The properties of the dust particles found by MIDAS represent an extension of the dust results of Rosetta to the microand nanometer scale. All micrometer-sized particles are hierarchical dust agglomerates of smaller subunits. The arrangement, appearance, and size distribution of the smallest determined surface features are reminiscent of those found in chondritic porous interplanetary dust particles. They represent the smallest directly detected subunits of comet 67P.</t>
  </si>
  <si>
    <t>[Mannel, T.; Boakes, P. D.; Jeszenszky, H.; Schmied, R.; Torkar, K.] Austrian Acad Sci, Space Res Inst, Schmiedlstr 6, A-8042 Graz, Austria; [Mannel, T.] Karl Franzens Univ Graz, Univ Pl 3, A-8010 Graz, Austria; [Bentley, M. S.] European Space Astron Ctr, Camino Bajo del Castillo S-N, Madrid 28692, Spain; [Ehrenfreund, P.] Leiden Observ, Postbus 9513, NL-2300 RA Leiden, Netherlands; [Ehrenfreund, P.] George Washington Univ, Space Policy Inst, Washington, DC 20052 USA; [Engrand, C.] Univ Paris Saclay, Univ Paris Sud, CNRS IN2P3, CSNSM, Bat 104, F-91405 Orsay, France; [Koeberl, C.] Univ Vienna, Dept Lithospher Res, Althanstr 14, A-1090 Vienna, Austria; [Koeberl, C.] Nat Hist Museum, Burgring 7, A-1010 Vienna, Austria; [Levasseur-Regourd, A. C.] UPMC Sorbonne Univ, LATMOS IPSL, CNRS INSU, Paris, France; [Romstedt, J.] European Space Technol Ctr, Future Missions Off SREF, Noordwijk, Netherlands; [Weber, I] Univ Munster, Inst Planetol, Wilhelm Klemm Str, D-48149 Munster, Germany</t>
  </si>
  <si>
    <t>Austrian Academy of Sciences; University of Graz; European Space Agency; George Washington University; Universite Paris Saclay; Centre National de la Recherche Scientifique (CNRS); CNRS - National Institute of Nuclear and Particle Physics (IN2P3); Universite Paris Cite; University of Vienna; Sorbonne Universite; Centre National de la Recherche Scientifique (CNRS); CNRS - National Institute for Earth Sciences &amp; Astronomy (INSU); Universite Paris Saclay; European Space Agency; University of Munster</t>
  </si>
  <si>
    <t>Mannel, T (corresponding author), Austrian Acad Sci, Space Res Inst, Schmiedlstr 6, A-8042 Graz, Austria.;Mannel, T (corresponding author), Karl Franzens Univ Graz, Univ Pl 3, A-8010 Graz, Austria.</t>
  </si>
  <si>
    <t>thurid.mannel@oeaw.ac.at</t>
  </si>
  <si>
    <t>Bentley, Mark/0000-0002-4780-1767; Koeberl, Christian/0000-0001-5155-7405; Mannel, Thurid/0000-0003-1846-173X</t>
  </si>
  <si>
    <t>European Space Agency's PRODEX programme; Austrian Space Agency; Austrian Academy of Sciences; DLR; Austrian Science Fund [FWF P 28100-N36]; German funding agency DARA</t>
  </si>
  <si>
    <t>European Space Agency's PRODEX programme; Austrian Space Agency; Austrian Academy of Sciences; DLR(Helmholtz AssociationGerman Aerospace Centre (DLR)); Austrian Science Fund(Austrian Science Fund (FWF)); German funding agency DARA</t>
  </si>
  <si>
    <t>Rosetta is an ESA mission with contributions from its member states and NASA. We also thank the Rosetta Science Ground Segment and Mission Operations Centre for their support in acquiring the presented data. MIDAS became possible through support from funding agencies including the European Space Agency's PRODEX programme, the Austrian Space Agency, the Austrian Academy of Sciences and the German funding agency DARA (later DLR). T.M. acknowledges funding by the Austrian Science Fund FWF P 28100-N36 and A.C.L.-R. acknowledges support from Centre National d'Etudes Spatiales in the scientific analysis of the Rosetta mission.</t>
  </si>
  <si>
    <t>EDP SCIENCES S A</t>
  </si>
  <si>
    <t>LES ULIS CEDEX A</t>
  </si>
  <si>
    <t>17, AVE DU HOGGAR, PA COURTABOEUF, BP 112, F-91944 LES ULIS CEDEX A, FRANCE</t>
  </si>
  <si>
    <t>1432-0746</t>
  </si>
  <si>
    <t>ASTRON ASTROPHYS</t>
  </si>
  <si>
    <t>Astron. Astrophys.</t>
  </si>
  <si>
    <t>SEP 20</t>
  </si>
  <si>
    <t>A26</t>
  </si>
  <si>
    <t>10.1051/0004-6361/201834851</t>
  </si>
  <si>
    <t>IZ3MS</t>
  </si>
  <si>
    <t>WOS:000486989400026</t>
  </si>
  <si>
    <t>Tuckett, PA; Ely, JC; Sole, AJ; Livingstone, SJ; Davison, BJ; van Wessem, JM; Howard, J</t>
  </si>
  <si>
    <t>Tuckett, Peter A.; Ely, Jeremy C.; Sole, Andrew J.; Livingstone, Stephen J.; Davison, Benjamin J.; van Wessem, J. Melchior; Howard, Joshua</t>
  </si>
  <si>
    <t>Rapid accelerations of Antarctic Peninsula outlet glaciers driven by surface melt</t>
  </si>
  <si>
    <t>GREENLAND ICE-SHEET; SUBGLACIAL WATER-PRESSURE; VELOCITY; HYDROLOGY; FLOW; DYNAMICS; DRAINAGE; CLIMATE; PATTERNS; TRACKING</t>
  </si>
  <si>
    <t>Atmospheric warming is increasing surface melting across the Antarctic Peninsula, with unknown impacts upon glacier dynamics at the ice-bed interface. Using high-resolution satellite-derived ice velocity data, optical satellite imagery and regional climate modelling, we show that drainage of surface meltwater to the bed of outlet glaciers on the Antarctic Peninsula occurs and triggers rapid ice flow accelerations (up to 100% greater than the annual mean). This provides a mechanism for this sector of the Antarctic Ice Sheet to respond rapidly to atmospheric warming. We infer that delivery of water to the bed tran-siently increases basal water pressure, enhancing basal motion, but efficient evacuation subsequently reduces water pressure causing ice deceleration. Currently, melt events are sporadic, so efficient subglacial drainage cannot be maintained, resulting in multiple short-lived (&lt;6 day) ice flow perturbations. Future increases in meltwater could induce a shift to a glacier dynamic regime characterised by seasonal-scale hydrologically-driven ice flow variations.</t>
  </si>
  <si>
    <t>[Tuckett, Peter A.; Ely, Jeremy C.; Sole, Andrew J.; Livingstone, Stephen J.; Howard, Joshua] Univ Sheffield, Dept Geog, Sheffield, S Yorkshire, England; [Davison, Benjamin J.] Univ St Andrews, Sch Geog &amp; Sustainable Dev, Andrews, Scotland; [van Wessem, J. Melchior] Univ Utrecht, Inst Marine &amp; Atmospher Res Utrecht, Utrecht, Netherlands</t>
  </si>
  <si>
    <t>University of Sheffield; University of St Andrews; Utrecht University</t>
  </si>
  <si>
    <t>Ely, JC (corresponding author), Univ Sheffield, Dept Geog, Sheffield, S Yorkshire, England.</t>
  </si>
  <si>
    <t>j.ely@sheffield.ac.uk</t>
  </si>
  <si>
    <t>van Wessem, Melchior/AAB-1987-2019</t>
  </si>
  <si>
    <t>Sole, Andrew/0000-0001-5290-8967; Tuckett, Peter/0000-0001-9953-2602; Ely, Jeremy/0000-0003-4007-1500; Livingstone, Stephen/0000-0002-7240-5037; Davison, Ben/0000-0001-9483-2956</t>
  </si>
  <si>
    <t>NERC independent research fellowship [NE/R014574/1]; Netherlands Organization for Scientific Research [866.15.201]; Netherlands Earth System Science Center (NESSC); NERC [NE/R014574/1] Funding Source: UKRI</t>
  </si>
  <si>
    <t>NERC independent research fellowship(UK Research &amp; Innovation (UKRI)Natural Environment Research Council (NERC)); Netherlands Organization for Scientific Research(Netherlands Organization for Scientific Research (NWO)); Netherlands Earth System Science Center (NESSC); NERC(UK Research &amp; Innovation (UKRI)Natural Environment Research Council (NERC))</t>
  </si>
  <si>
    <t>J.C.E. acknowledges a NERC independent research fellowship grant number NE/R014574/1. J.M.W. acknowledges financial contributions made by the Netherlands Organization for Scientific Research (grant 866.15.201) and the Netherlands Earth System Science Center (NESSC).</t>
  </si>
  <si>
    <t>10.1038/s41467-019-12039-2</t>
  </si>
  <si>
    <t>IZ3OP</t>
  </si>
  <si>
    <t>WOS:000486995200021</t>
  </si>
  <si>
    <t>Gerringa, LJA; Laan, P; Arrigo, KR; van Dijken, GL; Alderkamp, AC</t>
  </si>
  <si>
    <t>Gerringa, L. J. A.; Laan, P.; Arrigo, K. R.; van Dijken, G. L.; Alderkamp, A-C</t>
  </si>
  <si>
    <t>The organic complexation of iron in the Ross sea</t>
  </si>
  <si>
    <t>CATHODIC STRIPPING VOLTAMMETRY; DISSOLVED IRON; SOUTHERN-OCEAN; HUMIC SUBSTANCES; COMPLEXING LIGANDS; BINDING LIGANDS; GROWTH-RATES; DEEP-WATER; PHYTOPLANKTON GROWTH; NATURAL-WATERS</t>
  </si>
  <si>
    <t>The Ross Sea Polynya (RSP) has the highest primary production of Antarctic waters. Iron (Fe) is one of the most important growth limiting factors in the Southern Ocean. Dissolved iron (DFe)-binding organic ligands play an important ecological role because they increase the residence time of the scarce Fe. Therefore, we studied the DFe-binding organic ligands in the vicinity of the Ross Sea during a cruise between 20 December 2013 and 5 January 2014. The DFe-binding organic ligands were measured using Competing Ligand Exchange Cathodic Stripping Voltammetry (CLE-CSV) with TAC as competing ligand. The DFe-binding organic ligand concentrations always exceeded the DFe concentrations except in the bottom nepheloid layer of the RSP. No relationship was found between depth and DFe-binding organic ligand concentrations in the RSP indicating that these ligands are resistant to degradation and are probably exported by high salinity shelf water into the circumpolar current. DFe-binding organic ligand concentrations were highest in the RSP and the Antarctic Circumpolar Current (ACC) west of the Ross Sea, in association with seasonal phytoplankton blooms, although no correlation was found with parameters reflecting phytoplankton abundance or species. Phytoplankton sources and sinks of DFe-binding organic ligands are likely related to the seasonal progression of the bloom. In 39% of the samples, two DFe-binding organic ligand groups were distinguished based on the difference in binding strength. The distinction was especially clear in the RSP and in the ACC west of the RSP (54 and 77% of the samples, respectively) where blooms occurred and much less in the low biomass waters of the ACC east of the RSP and ice covered eastern part of the Ross Sea (15 and 10% of the samples, respectively). In these waters, other environmental factors, like sea ice melt, probably explain the absence of distinct relationships between primary production and ligand characteristics.</t>
  </si>
  <si>
    <t>[Gerringa, L. J. A.; Laan, P.] NIOZ Royal Netherlands Inst Sea Res, Dept Ocean Syst, Den Burg, Netherlands; [Gerringa, L. J. A.; Laan, P.] Univ Utrecht, Den Burg, Netherlands; [Arrigo, K. R.; van Dijken, G. L.; Alderkamp, A-C] Stanford Univ, Dept Earth Syst Sci, Stanford, CA 94305 USA; [Alderkamp, A-C] Foothill Coll, Dept Biol, 12345 El Monte Rd, Los Altos Hills, CA USA</t>
  </si>
  <si>
    <t>Utrecht University; Royal Netherlands Institute for Sea Research (NIOZ); Utrecht University; Stanford University</t>
  </si>
  <si>
    <t>Gerringa, LJA (corresponding author), NIOZ Royal Netherlands Inst Sea Res, Dept Ocean Syst, Den Burg, Netherlands.;Gerringa, LJA (corresponding author), Univ Utrecht, Den Burg, Netherlands.</t>
  </si>
  <si>
    <t>loes.gerringa@nioz.nl</t>
  </si>
  <si>
    <t>Van Dijken, Gert L/C-5276-2011</t>
  </si>
  <si>
    <t>Van Dijken, Gert/0000-0002-9587-6317</t>
  </si>
  <si>
    <t>National Science Foundation Office of Polar Programs [Phantastic ANT -1063592]</t>
  </si>
  <si>
    <t>National Science Foundation Office of Polar Programs(National Science Foundation (NSF)NSF - Directorate for Geosciences (GEO))</t>
  </si>
  <si>
    <t>The authors are most grateful to Captain John Souza and crew of R.V.I.B. Nathaniel B. Palmer, all Phantastic participants, as well as the excellent support by the Antarctic Support Contract (ASC) technicians. The US component of this research was sponsored by the National Science Foundation Office of Polar Programs (Phantastic ANT -1063592 to KRA). Martijn van Haren (University Groningen) is thanked for his help with the MANOVA test. Hans Slagter is acknowledged for his help with R. The comments of two anonymous reviewers considerably improved this paper. Data can be found at https://doi.org/10.25850/nioz/7b.b.g.</t>
  </si>
  <si>
    <t>10.1016/j.marchem.2019.103672</t>
  </si>
  <si>
    <t>IW3JL</t>
  </si>
  <si>
    <t>WOS:000484876200006</t>
  </si>
  <si>
    <t>Geuer, JK; Krock, B; Leefmann, T; Koch, BP</t>
  </si>
  <si>
    <t>Geuer, Jana K.; Krock, Bernd; Leefmann, Tim; Koch, Boris P.</t>
  </si>
  <si>
    <t>Quantification, extractability and stability of dissolved domoic acid within marine dissolved organic matter</t>
  </si>
  <si>
    <t>SOLID-PHASE EXTRACTION; PSEUDO-NITZSCHIA BACILLARIOPHYCEAE; PERFORMANCE LIQUID-CHROMATOGRAPHY; COPPER-COMPLEXING LIGANDS; FTICR MASS-SPECTROMETRY; ELECTROSPRAY-IONIZATION; ATLANTIC-OCEAN; SOUTHERN-OCEAN; FULVIC-ACIDS; WEDDELL SEA</t>
  </si>
  <si>
    <t>The widespread diatom Pseudo-nitzschia can produce domoic acid (DA). DA is a compound with well described neurotoxic effects on vertebrates including humans known as amnesic shellfish poisoning (ASP) syndrome. It has also been suggested to serve as an organic ligand that binds to iron and copper. By binding these trace elements, DA may increase their solubility and bioavailability. In order to serve this function, DA has to be excreted and reabsorbed by the cells. Only few records of dissolved domoic acid (dDA) concentrations in the ocean exist. To accomplish quantification by ultra performance liquid chromatography (UPLC), samples have to be pre-concentrated and desalted using solid-phase extraction, a procedure commonly applied for dissolved organic matter. Our major goals were to quantify dDA in a basin-wide assessment in the East Atlantic Ocean, to determine extraction efficiencies for complexed and uncomplexed dDA, and to assess whether domoic acid is represented by its molecular formula in direct-infusion high resolution mass spectrometry. Our results showed that dDA was extracted almost quantitatively and occurred ubiquitously in the ocean surface but also in deeper (and older) water, indicating surprisingly high stability in seawater. The maximum concentration measured was 173 pmol L-1 and the average molar dDA carbon yield was 7.7 ppm. Both carbon yield and dDA concentration decreased with increasing water depth. Providing quantification of dDA in the water column, we seek to improve our understanding of toxic bloom dynamics and the mechanistic understanding of DA production.</t>
  </si>
  <si>
    <t>[Geuer, Jana K.; Krock, Bernd; Leefmann, Tim; Koch, Boris P.] Alfred Wegener Inst, Helmholtz Ctr Polar &amp; Marine Res, Handelshafen 12, D-27570 Bremerhaven, Germany</t>
  </si>
  <si>
    <t>Geuer, JK (corresponding author), Alfred Wegener Inst, Helmholtz Ctr Polar &amp; Marine Res, Handelshafen 12, D-27570 Bremerhaven, Germany.</t>
  </si>
  <si>
    <t>jana.geuer@awi.de; bernd.krock@awi.de; tim.leefmann@awi.de; boris.koch@awi.de</t>
  </si>
  <si>
    <t>Koch, Boris/B-2784-2009; Krock, Bernd/ABB-7541-2020; Geuer, Jana/AAZ-2217-2020</t>
  </si>
  <si>
    <t>Koch, Boris/0000-0002-8453-731X; Geuer, Jana/0000-0002-9663-5072; Leefmann, Tim/0000-0002-5784-8657</t>
  </si>
  <si>
    <t>Alfred Wegener Institute Helmholtz Centre for Polar and Marine Research [IP76010001]; Deutsche Forschungsgemeinschaft (DFG) [KO 2164/8-1 + 2]</t>
  </si>
  <si>
    <t>Alfred Wegener Institute Helmholtz Centre for Polar and Marine Research; Deutsche Forschungsgemeinschaft (DFG)(German Research Foundation (DFG))</t>
  </si>
  <si>
    <t>This study was financially supported by the strategy fund of the Alfred Wegener Institute Helmholtz Centre for Polar and Marine Research in the framework of the project Inorganics in organics: Chemical and biological controls on micronutrient and carbon fluxes in the polar ocean (Koch; IP76010001). Sampling was possible by the support of the Deutsche Forschungsgemeinschaft (DFG) in the framework of the priority programme Antarctic Research with comparative investigations in Arctic ice areas (Grant KO 2164/8-1 + 2).</t>
  </si>
  <si>
    <t>10.1016/j.marchem.2019.103669</t>
  </si>
  <si>
    <t>WOS:000484876200004</t>
  </si>
  <si>
    <t>Brooks, CM; Crowder, LB; Österblom, H; Strong, AL</t>
  </si>
  <si>
    <t>Brooks, Cassandra M.; Crowder, Larry B.; Osterblom, Henrik; Strong, Aaron L.</t>
  </si>
  <si>
    <t>Reaching consensus for conserving the global commons: The case of the Ross Sea, Antarctica</t>
  </si>
  <si>
    <t>CONSERVATION LETTERS</t>
  </si>
  <si>
    <t>Antarctica; CCAMLR; consensus; conservation; environmental governance; high seas; international commons; marine protected areas; Ross Sea; Southern Ocean</t>
  </si>
  <si>
    <t>MARINE PROTECTED AREAS; SOUTHERN-OCEAN</t>
  </si>
  <si>
    <t>In October 2016, the international community made history by adopting the world's largest marine protected area in the Ross Sea, Antarctica-by consensus. Achieving this feat required trade-offs and compromise among the 24-Member States (plus the European Union) comprising the Commission for the Conservation of Antarctic Marine Living Resources. The process took 5 years of intense international negotiations and more than 10 years of scientific planning. Based on interviews with national delegations and other stakeholders, 5 years of participatory observation of Commission meetings (2012-2016), and analysis of hundreds of documents, we present unique insights that explain the conditions that stalled or facilitated the adoption of the Ross Sea MPA. These included economic interests, geopolitics, an erosion of trust, high-level diplomacy, and the compromises that were ultimately necessary. We reflect on lessons learned as the world considers how to achieve future large-scale conservation successes in the global commons.</t>
  </si>
  <si>
    <t>[Brooks, Cassandra M.] Univ Colorado, Environm Studies Program, SEEC Bldg,4001 Discovery Dr,Mail Stop 397 UCB, Boulder, CO 80303 USA; [Brooks, Cassandra M.] Stanford Univ, Sch Earth Energy &amp; Environm Sci, Palo Alto, CA 94304 USA; [Crowder, Larry B.] Stanford Univ, Hopkins Marine Stn, Pacific Grove, CA 93950 USA; [Osterblom, Henrik] Stockholm Univ, Stockholm Resilience Ctr, Stockholm, Sweden; [Strong, Aaron L.] Hamilton Coll, Environm Studies Program, Clinton, NY 13323 USA</t>
  </si>
  <si>
    <t>University of Colorado System; University of Colorado Boulder; Stanford University; Stanford University; Stockholm University; Hamilton College</t>
  </si>
  <si>
    <t>Brooks, CM (corresponding author), Univ Colorado, Environm Studies Program, SEEC Bldg,4001 Discovery Dr,Mail Stop 397 UCB, Boulder, CO 80303 USA.</t>
  </si>
  <si>
    <t>cassandra.brooks@colorado.edu</t>
  </si>
  <si>
    <t>Osterblom, Henrik G/D-4249-2012</t>
  </si>
  <si>
    <t>Osterblom, Henrik/0000-0002-1913-5197</t>
  </si>
  <si>
    <t>Nippon Foundation; Center for Ocean Solutions; David and Lucile Packard Foundation; Gordon and Betty Moore Foundation; Climate Change Institute; Walton Family Foundation; Price Fellowship; PewCharitableTrusts; Robert and Patricia Switzer Foundation</t>
  </si>
  <si>
    <t>Nippon Foundation(Nippon Foundation); Center for Ocean Solutions; David and Lucile Packard Foundation(The David &amp; Lucile Packard Foundation); Gordon and Betty Moore Foundation(Gordon and Betty Moore Foundation); Climate Change Institute; Walton Family Foundation; Price Fellowship; PewCharitableTrusts; Robert and Patricia Switzer Foundation</t>
  </si>
  <si>
    <t>1755-263X</t>
  </si>
  <si>
    <t>CONSERV LETT</t>
  </si>
  <si>
    <t>Conserv. Lett.</t>
  </si>
  <si>
    <t>e12676</t>
  </si>
  <si>
    <t>10.1111/conl.12676</t>
  </si>
  <si>
    <t>SEP 2019</t>
  </si>
  <si>
    <t>KU5BN</t>
  </si>
  <si>
    <t>WOS:000487364900001</t>
  </si>
  <si>
    <t>Connan, M; Dilley, B; Whitehead, TO; Davies, D; McQuaid, CD; Ryan, PG</t>
  </si>
  <si>
    <t>Connan, Maelle; Dilley, Ben J.; Whitehead, T. Otto; Davies, Delia; McQuaid, Christopher D.; Ryan, Peter G.</t>
  </si>
  <si>
    <t>Multidimensional stable isotope analysis illuminates resource partitioning in a sub-Antarctic island bird community</t>
  </si>
  <si>
    <t>ECOGRAPHY</t>
  </si>
  <si>
    <t>carbon; nitrogen and oxygen stable isotopes; egg membranes; egg shells; Prince Edward Islands; Southern Ocean</t>
  </si>
  <si>
    <t>PETRELS-HALOBAENA-CAERULEA; BLUE-PETRELS; BROWN SKUAS; DISCRIMINATION FACTORS; TROPHIC RELATIONSHIPS; LESSER SHEATHBILLS; FORAGING BEHAVIOR; BREEDING BIOLOGY; MARION ISLAND; EGG FORMATION</t>
  </si>
  <si>
    <t>A central theme in community ecology is understanding how similar species co-exist and how their interactions may evolve in the context of climate change. Most studies of resource partitioning among central place foragers, particularly birds, focus on the offspring-rearing period, when they are accessible, but breeding success may be determined earlier and little is known about how such species partition resources at the onset of breeding. We used a non-invasive approach to evaluate resource partitioning in co-existing females at a sub-Antarctic island during their pre-laying periods. Three hypotheses were tested using carbon, nitrogen and oxygen stable isotope ratios measured in shells and membranes of hatched eggs as ecological tracers: 1) resource partitioning by geographic location and trophic level will exist among the 12 bird species and will be enhanced within taxonomic groups; 2) given the absence of strong oxygen gradients in the Southern Ocean we will not detect spatial structuring based on oxygen isotopes, but differences will exist between resident and oceanic species as the former may use meteoric water; 3) capital and income breeder strategies can be differentiated using stable isotopes of egg remains. Two and three dimensional isotopic data showed resource partitioning among species. As predicted, segregation was evident within the four main taxonomic groups: penguins, albatrosses, burrowing petrels and giant petrels. Unexpectedly, oxygen isotopes revealed widespread use of meteoric water among a suite of sub-Antarctic birds. Stable isotopes allowed us to identify females of most species as income breeders at the onset of breeding, with the exception of the females of the two crested penguin exhibiting a mix of income and capital resources use. Multidimensional isotopic analyses revealed that resource partitioning exists at multiple stages of the annual cycle in ways likely to be important under global change, exhibiting wide potential for ecosystem analysis.</t>
  </si>
  <si>
    <t>[Connan, Maelle; Dilley, Ben J.; Whitehead, T. Otto; Davies, Delia; Ryan, Peter G.] Univ Cape Town, DST NRF Ctr Excellence, FitzPatrick Inst African Ornithol, Rondebosch, South Africa; [Connan, Maelle] Nelson Mandela Univ, Dept Zoologys, Marine Apex Predator Res Unit, Inst Coastal &amp; Marine Res, Port Elizabeth, South Africa; [Whitehead, T. Otto] Nelson Mandela Univ, Sch Oceanog, Inst Coastal &amp; Marine Res, Port Elizabeth, South Africa; [McQuaid, Christopher D.] Rhodes Univ, Dept Zool &amp; Entomol, Grahamstown, South Africa</t>
  </si>
  <si>
    <t>University of Cape Town; National Research Foundation - South Africa; Nelson Mandela University; Nelson Mandela University; Rhodes University</t>
  </si>
  <si>
    <t>Connan, M (corresponding author), Univ Cape Town, DST NRF Ctr Excellence, FitzPatrick Inst African Ornithol, Rondebosch, South Africa.</t>
  </si>
  <si>
    <t>maelle.connan@gmail.com</t>
  </si>
  <si>
    <t>McQuaid, Christopher/AAT-3725-2020; Connan, Maelle/A-8468-2008</t>
  </si>
  <si>
    <t>McQuaid, Christopher/0000-0002-3473-8308; Connan, Maelle/0000-0002-1308-9118</t>
  </si>
  <si>
    <t>National Research Foundation of South Africa [64801]; FitzPatrick Inst. Centre of Excellence; South African National Antarctic Programme; South African Dept of Environmental Affairs</t>
  </si>
  <si>
    <t>National Research Foundation of South Africa(National Research Foundation - South Africa); FitzPatrick Inst. Centre of Excellence; South African National Antarctic Programme; South African Dept of Environmental Affairs</t>
  </si>
  <si>
    <t>This work is based upon research supported by the National Research Foundation of South Africa (grant no. 64801) and the FitzPatrick Inst. Centre of Excellence. Additional funding and logistical support was provided by the South African National Antarctic Programme and the South African Dept of Environmental Affairs.</t>
  </si>
  <si>
    <t>0906-7590</t>
  </si>
  <si>
    <t>1600-0587</t>
  </si>
  <si>
    <t>Ecography</t>
  </si>
  <si>
    <t>10.1111/ecog.04560</t>
  </si>
  <si>
    <t>JI8UM</t>
  </si>
  <si>
    <t>WOS:000487484700001</t>
  </si>
  <si>
    <t>Kennicutt, MC; Bromwich, D; Liggett, D; Njåstad, B; Peck, L; Rintoul, SR; Ritz, C; Siegert, MJ; Aitken, A; Brooks, CM; Cassano, J; Chaturvedi, S; Chen, DK; Dodds, K; Golledge, NR; Le Bohec, C; Leppe, M; Murray, A; Nath, PC; Raphael, MN; Rogan-Finnemore, M; Schroeder, DM; Talley, L; Travouillon, T; Vaughan, DG; Wang, LF; Weatherwax, AT; Yang, HG; Chown, SL</t>
  </si>
  <si>
    <t>Kennicutt, Mahlon C.; Bromwich, David; Liggett, Daniela; Njastad, Birgit; Peck, Lloyd; Rintoul, Stephen R.; Ritz, Catherine; Siegert, Martin J.; Aitken, Alan; Brooks, Cassandra M.; Cassano, John; Chaturvedi, Sanjay; Chen, Dake; Dodds, Klaus; Golledge, Nicholas R.; Le Bohec, Celine; Leppe, Marcelo; Murray, Alison; Nath, P. Chandrika; Raphael, Marilyn N.; Rogan-Finnemore, Michelle; Schroeder, Dustin M.; Talley, Lynne; Travouillon, Tony; Vaughan, David G.; Wang, Lifan; Weatherwax, Allan T.; Yang, Huigen; Chown, Steven L.</t>
  </si>
  <si>
    <t>Sustained Antarctic Research: A 21st Century Imperative</t>
  </si>
  <si>
    <t>ONE EARTH</t>
  </si>
  <si>
    <t>MODEL INTERCOMPARISON PROJECT; SOUTHERN-OCEAN; ICE-SHEET; CLIMATE-CHANGE; SEA-ICE; THWAITES GLACIER; WEST ANTARCTICA; CARBON; SCIENCE; MELT</t>
  </si>
  <si>
    <t>The view from the south is, more than ever, dominated by ominous signs of change. Antarctica and the Southern Ocean are intrinsic to the Earth system, and their evolution is intertwined with and influences the course of the Anthropocene. In turn, changes in the Antarctic affect and presage humanity's future. Growing understanding is countering popular beliefs that Antarctica is pristine, stable, isolated, and reliably frozen. An aspirational roadmap for Antarctic science has facilitated research since 2014. A renewed commitment to gathering further knowledge will quicken the pace of understanding of Earth systems and beyond. Progress is already evident, such as addressing uncertainties in the causes and pace of ice loss and global sea-level rise. However, much remains to be learned. As an iconic global commons, the rapidity of Antarctic change will provoke further political action. Antarctic research is more vital than ever to a sustainable future for this One Earth.</t>
  </si>
  <si>
    <t>[Kennicutt, Mahlon C.] Texas A&amp;M Univ, Dept Oceanog, College Stn, TX 77843 USA; [Bromwich, David] Ohio State Univ, Dept Geog, Columbus, OH 43210 USA; [Liggett, Daniela] Univ Canterbury, Dept Geog, Gateway Antarct, Private Bag 4800, Christchurch 8140, New Zealand; [Njastad, Birgit] Norwegian Polar Res Inst, N-9296 Tromso, Norway; [Peck, Lloyd; Vaughan, David G.] British Antarctic Survey, High Cross,Madingley Rd, Cambridge CB3 OET, England; [Rintoul, Stephen R.] Australian Antarctic Program Partnership, Ctr Southern Hemisphere Oceans Res, CSIRO Oceans &amp; Atmosphere, Hobart, Tas 7000, Australia; [Ritz, Catherine] Univ Grenoble Alpes, Inst Geosci Environm, CNRS, F-38058 Grenoble 9, France; [Siegert, Martin J.] Imperial Coll London, Grantham Inst, London SW7 2AZ, England; [Siegert, Martin J.] Imperial Coll London, Dept Earth Sci &amp; Engn, London SW7 2AZ, England; [Aitken, Alan] Univ Western Australia, Sch Earth Sci, Perth, WA 6008, Australia; [Brooks, Cassandra M.] Univ Colorado, Environm Studies Program, Boulder, CO 80309 USA; [Cassano, John] Univ Colorado, Dept Atmospher &amp; Ocean Sci, Boulder, CO 80309 USA; [Chaturvedi, Sanjay] South Asian Univ, Fac Social Sci, Dept Int Relat, New Delhi 110021, India; [Chen, Dake] MNR, State Key Lab Satellite Ocean Environm Dynam, Inst Oceanog 2, Hangzhou 310012, Peoples R China; [Dodds, Klaus] Univ London, Dept Geog, Surrey TW20 0EX, Surrey, England; [Golledge, Nicholas R.] Victoria Univ Wellington, Antarctic Res Ctr, Wellington 6140, New Zealand; [Le Bohec, Celine] Univ Strasbourg, CNRS, IPHC UMR 7178, 23 Rue Becquerel, F-67000 Strasbourg, France; [Le Bohec, Celine] Ctr Sci Monaco, Dept Biol Polaire, 8,Quai Antoine 1Er, MC-98000 Monaco, Monaco; [Leppe, Marcelo] Chilean Antarctic Inst, Punta Arenas, Chile; [Murray, Alison] Desert Res Inst, 2215 Raggio Pkwy, Reno, NV 89512 USA; [Nath, P. Chandrika] Univ Cambridge, Scott Polar Res Inst, Sci Comm Antarctic Res, Lensfield Rd, Cambridge CB2 1ER, England; [Raphael, Marilyn N.] Univ Calif Los Angeles, Dept Geog, Los Angeles, CA 90095 USA; [Rogan-Finnemore, Michelle] Council Managers Natl Antarctic Programs Secretar, Christchurch 8140, New Zealand; [Schroeder, Dustin M.] Stanford Univ, Dept Geophys, Palo Alto, CA 94304 USA; [Talley, Lynne] Univ Calif San Diego, Scripps Inst Oceanog, La Jolla, CA 92037 USA; [Travouillon, Tony] Australian Natl Univ, Res Sch Astron &amp; Astrophys, Canberra, ACT, Australia; [Wang, Lifan] Texas A&amp;M Univ, Dept Phy &amp; Astron, College Stn, TX 77843 USA; [Weatherwax, Allan T.] Merrimack Coll, 315 Turnpike St, N Andover, MA 01845 USA; [Yang, Huigen] Polar Res Inst China, 451 Jinqiao Rd, Shanghai, Peoples R China; [Chown, Steven L.] Monash Univ, Sch Biol Sci, Clayton, Vic 3800, Australia</t>
  </si>
  <si>
    <t>Texas A&amp;M University System; Texas A&amp;M University College Station; University System of Ohio; Ohio State University; University of Canterbury; Norwegian Polar Institute; UK Research &amp; Innovation (UKRI); Natural Environment Research Council (NERC); NERC British Antarctic Survey; Commonwealth Scientific &amp; Industrial Research Organisation (CSIRO); Centre National de la Recherche Scientifique (CNRS); Communaute Universite Grenoble Alpes; Universite Grenoble Alpes (UGA); Imperial College London; Imperial College London; University of Western Australia; University of Colorado System; University of Colorado Boulder; University of Colorado System; University of Colorado Boulder; South Asian University (SAU); University of London; Royal Holloway University London; Victoria University Wellington; Centre National de la Recherche Scientifique (CNRS); CNRS - National Institute of Nuclear and Particle Physics (IN2P3); Universites de Strasbourg Etablissements Associes; Universite de Strasbourg; Nevada System of Higher Education (NSHE); Desert Research Institute NSHE; University of Cambridge; University of California System; University of California Los Angeles; Stanford University; University of California System; University of California San Diego; Scripps Institution of Oceanography; Australian National University; Texas A&amp;M University System; Texas A&amp;M University College Station; Merrimack College; Polar Research Institute of China; Monash University</t>
  </si>
  <si>
    <t>Kennicutt, MC (corresponding author), Texas A&amp;M Univ, Dept Oceanog, College Stn, TX 77843 USA.</t>
  </si>
  <si>
    <t>mckennicutt@gmail.com</t>
  </si>
  <si>
    <t>Chown, Steven/ABD-7646-2021; Vaughan, David/C-8348-2011; Leppe, Marcelo/L-5447-2014; Cassano, John/HKW-8817-2023; LE BOHEC, CELINE/AAD-3589-2022; Siegert, Martin/M-9939-2019</t>
  </si>
  <si>
    <t>Leppe, Marcelo/0000-0002-1545-8167; Siegert, Martin/0000-0002-0090-4806; Talley, Lynne/0000-0003-1574-729X; LE BOHEC, Celine/0000-0003-0149-6477; Aitken, Alan/0000-0002-6375-2504; CASSANO, JOHN/0000-0003-3176-3978; Schroeder, Dustin/0000-0003-1916-3929; Weatherwax, Allan/0000-0003-4732-358X; Golledge, Nicholas/0000-0001-7676-8970</t>
  </si>
  <si>
    <t>Tinker Foundation; Tinker-Muse Prize for Science and Policy in Antarctica; NERC [NE/G00465X/3, bas0100036, bas010011, NE/J007501/1] Funding Source: UKRI</t>
  </si>
  <si>
    <t>Tinker Foundation; Tinker-Muse Prize for Science and Policy in Antarctica; NERC(UK Research &amp; Innovation (UKRI)Natural Environment Research Council (NERC))</t>
  </si>
  <si>
    <t>M.C.K. acknowledges the contributions of all those who contributed to the original Horizon Scan and Antarctic Roadmap Challenges projects and to the research that has since been done to address their outcomes. The Tinker Foundation played a significant role through partial funding of the original projects and support of the Tinker-Muse Prize for Science and Policy in Antarctica. M.C.K. and S.L.C. acknowledge the editing and review assistance of Lucy Klein of Monash University.</t>
  </si>
  <si>
    <t>2590-3330</t>
  </si>
  <si>
    <t>2590-3322</t>
  </si>
  <si>
    <t>One Earth</t>
  </si>
  <si>
    <t>10.1016/j.oneear.2019.08.014</t>
  </si>
  <si>
    <t>Green &amp; Sustainable Science &amp; Technology; Environmental Sciences; Environmental Studies</t>
  </si>
  <si>
    <t>Science &amp; Technology - Other Topics; Environmental Sciences &amp; Ecology</t>
  </si>
  <si>
    <t>VJ9BS</t>
  </si>
  <si>
    <t>WOS:000644704800021</t>
  </si>
  <si>
    <t>Emslie, SD; Romero, M; Juáres, MA; Argota, MR</t>
  </si>
  <si>
    <t>Emslie, Steven D.; Romero, Matias; Juares, Mariana A.; Argota, Martin R.</t>
  </si>
  <si>
    <t>Holocene occupation history of pygoscelid penguins at Stranger Point, King George (25 de Mayo) Island, northern Antarctic Peninsula</t>
  </si>
  <si>
    <t>HOLOCENE</t>
  </si>
  <si>
    <t>abandoned penguin mounds; Holocene penguin colonization; marine beach deposit; ornithogenic soil; radiocarbon dating; South Shetlands; West Antarctica</t>
  </si>
  <si>
    <t>SOUTH-SHETLAND ISLANDS; GLACIAL HISTORY; CLIMATE-CHANGE; ADELIE; GENTOO; RECORD; AGE</t>
  </si>
  <si>
    <t>We report additional fossil evidence for pygoscelid penguins breeding on King George (25 de Mayo) Island, South Shetland Islands, in the Holocene beginning at similar to 7000 cal. yr BP. This evidence comes from a raised marine beach deposit formerly studied and described as Pingfo I at Stranger Point, Potter Peninsula. We relocated and exposed deposits at this site and recovered additional samples of penguin bones from five stratigraphic beds that are redescribed here. Most of these bones are from juvenile penguins and exhibit little or no wear indicating minimal transport to the beach deposits. Some of the bones are developed enough to be identifiable to Adelie (Pygoscelis adeliae), Gentoo (Pygoscelis papua), and Chinstrap (Pygoscelis antarctica) penguins, indicating that all three species were breeding at Stranger Point from similar to 7320 to 4865 cal. yr BP. This breeding occupation corresponds with the first warming and deglaciation that occurred in the northern Antarctic Peninsula by this time and ends with the onset of reglaciation of the Peninsula. At least 31 abandoned penguin mounds and ornithogenic soils also were located and sampled at Stranger Point and indicate that the current occupation of this area by all three pygoscelid penguins dates no older than similar to 535 cal. yr BP. The absence of ornithogenic soils from earlier Holocene breeding was probably due to glacial activity and soil solifluction during periods of warming in the mid to late Holocene.</t>
  </si>
  <si>
    <t>[Emslie, Steven D.] Univ N Carolina, Dept Biol &amp; Marine Biol, Wilmington, NC 28403 USA; [Romero, Matias] Univ Nacl Cordoba, Consejo Nacl Invest Cient &amp; Tecn CONICET, Ctr Invest Ciencias Tierra CICTERRA, Cordoba, Argentina; [Juares, Mariana A.] Inst Antartico Argentino, Dept Biol Predadores Tope, Buenos Aires, DF, Argentina; [Juares, Mariana A.] Consejo Nacl Invest Cient &amp; Tecn CONICET, Buenos Aires, DF, Argentina; [Argota, Martin R.] Univ Nacl Cordoba, Fac Ciencias Exactas Fis &amp; Nat FCEFyN, Cordoba, Argentina</t>
  </si>
  <si>
    <t>University of North Carolina; University of North Carolina Wilmington; Consejo Nacional de Investigaciones Cientificas y Tecnicas (CONICET); National University of Cordoba; Instituto Antartico Argentino; Consejo Nacional de Investigaciones Cientificas y Tecnicas (CONICET); National University of Cordoba</t>
  </si>
  <si>
    <t>Emslie, SD (corresponding author), Univ N Carolina, Dept Biol &amp; Marine Biol, Wilmington, NC 28403 USA.</t>
  </si>
  <si>
    <t>emslies@uncw.edu</t>
  </si>
  <si>
    <t>Juares, Mariana A./0000-0002-6763-0416; Romero, Matias/0000-0002-5840-7845</t>
  </si>
  <si>
    <t>NSF [ANT-1443585]</t>
  </si>
  <si>
    <t>The author(s) disclosed receipt of the following financial support for the research, authorship, and/or publication of this article: This work was funded by NSF Grant ANT-1443585.</t>
  </si>
  <si>
    <t>SAGE PUBLICATIONS LTD</t>
  </si>
  <si>
    <t>1 OLIVERS YARD, 55 CITY ROAD, LONDON EC1Y 1SP, ENGLAND</t>
  </si>
  <si>
    <t>0959-6836</t>
  </si>
  <si>
    <t>1477-0911</t>
  </si>
  <si>
    <t>Holocene</t>
  </si>
  <si>
    <t>10.1177/0959683619875814</t>
  </si>
  <si>
    <t>KB4IG</t>
  </si>
  <si>
    <t>WOS:000490100800001</t>
  </si>
  <si>
    <t>Da Pieve, F</t>
  </si>
  <si>
    <t>Da Pieve, Fabiana</t>
  </si>
  <si>
    <t>Physicochemical Properties and Complexity of Amino Acids beyond Our Biosphere: Analysis of the Isoleucine Group from Meteorites</t>
  </si>
  <si>
    <t>ACS EARTH AND SPACE CHEMISTRY</t>
  </si>
  <si>
    <t>aliphatic amino acids; meteoritic organics; isoleucine; density functional theory calculations; many body perturbation theory; electronic properties; chirality</t>
  </si>
  <si>
    <t>VERTICAL IONIZATION ENERGIES; AB-INITIO CALCULATIONS; ORGANIC-COMPOUNDS; ENANTIOMERIC EXCESSES; QUANTUM SIMILARITY; GAS-PHASE; MOLECULES; CRYSTALS; ENTROPY; STEREOISOMERS</t>
  </si>
  <si>
    <t>Understanding the physicochemical properties of biomolecules and how these properties drive the emergence of complexity in the assembly/condensation of such systems is important for understanding a variety of reactions taking place in astrophysical environments, in particular those where polymerization processes occur on mineral surfaces or solid organic matter form in cold-chemistry processes. Here, a computational study of the structural and electronic properties of the gas and condensed phases of the isoleucine group of amino acids, found with large enantiomeric excess in Antarctic meteorites, is presented. An analysis of a statistical complexity measure related to their electronic properties, of the degree of chirality, and of the H-bond patterns is also reported. The results, based on Density Functional Theory, Many Body Perturbation Theory, and Moller-Plesset perturbation theory, show that a) the condensed amino acids keep reminiscence of structural and electronic properties of the gas phase molecules, b) the proteinogenic L-isoleucine gains in complexity and chirality upon condensation, contrary to its diastereomer, which is absent in living systems, and c) the complexity based on electronic properties can contrast with the notion of structural/geometrical complexity. The findings suggest that future scoring strategies of organic molecules should rely on both structural/geometrical molecular complexity and on the electronic properties, which in different states of matter are determined by other degrees of freedom (configurational or chiral) to a different extent, as well as on information storage capability of self-assembly configurations constrained by an atomistic chemistry perspective.</t>
  </si>
  <si>
    <t>[Da Pieve, Fabiana] Royal Belgian Inst Space Aeron, BIRA IASB, Brussels, Belgium</t>
  </si>
  <si>
    <t>Da Pieve, F (corresponding author), Royal Belgian Inst Space Aeron, BIRA IASB, Brussels, Belgium.</t>
  </si>
  <si>
    <t>fabiana.dapieve@aeronomie.be</t>
  </si>
  <si>
    <t>Da Pieve, Fabiana/G-2497-2011</t>
  </si>
  <si>
    <t>Da Pieve, Fabiana/0000-0001-6985-9145</t>
  </si>
  <si>
    <t>European Union [627569]; Research Executive Agency under the European Union's Horizon 2020 Research and Innovation program [776410]; H2020 - Industrial Leadership [776410] Funding Source: H2020 - Industrial Leadership</t>
  </si>
  <si>
    <t>European Union(European Union (EU)); Research Executive Agency under the European Union's Horizon 2020 Research and Innovation program; H2020 - Industrial Leadership(European Union (EU)H2020 - Industrial Leadership)</t>
  </si>
  <si>
    <t>The author thanks funding from the Research Executive Agency received for a Marie Curie IEF (grant ID 627569) financed under the European Union's FP7 program, under which the work has been done, and current funding from the Research Executive Agency under the European Union's Horizon 2020 Research and Innovation program (grant ID 776410), under which the work has been submitted.</t>
  </si>
  <si>
    <t>2472-3452</t>
  </si>
  <si>
    <t>ACS EARTH SPACE CHEM</t>
  </si>
  <si>
    <t>ACS Earth Space Chem.</t>
  </si>
  <si>
    <t>SEP 19</t>
  </si>
  <si>
    <t>10.1021/acsearthspacechem.9b00131</t>
  </si>
  <si>
    <t>Chemistry, Multidisciplinary; Geochemistry &amp; Geophysics</t>
  </si>
  <si>
    <t>Chemistry; Geochemistry &amp; Geophysics</t>
  </si>
  <si>
    <t>IZ6GJ</t>
  </si>
  <si>
    <t>WOS:000487179500021</t>
  </si>
  <si>
    <t>Patel, S; Shah, E; Jayaprasad, P; James, ME</t>
  </si>
  <si>
    <t>Patel, Shailee; Shah, Esha; Jayaprasad, P.; James, M. E.</t>
  </si>
  <si>
    <t>Changes in Antarctic coastline between 1997 and 2016 using RADARSAT and MODIS data</t>
  </si>
  <si>
    <t>INTERNATIONAL JOURNAL OF REMOTE SENSING</t>
  </si>
  <si>
    <t>LARSEN-ICE-SHELF; EAST ANTARCTICA; RETREAT; SAR; PENINSULA; SHEET; LAND; DISINTEGRATION; EXTRACTION; COLLAPSE</t>
  </si>
  <si>
    <t>Studies have already indicated more disintegrations and calving of ice margins and a significant negative ice balance at certain parts of Antarctica in recent times. Changes in extent of ice shelves as well as glacier fronts are indeed good signatures of climate change. This paper essentially discusses the changes in Antarctic ice margins between 1997 and 2016. Change-detection technique has been employed using the Radar Satellite (RADARSAT) mosaic of 1997 and the mosaic of Antarctic ice margins generated using MODerate resolution Imaging Satellite (MODIS) images of 2016, with the help of Earth Resources Development Assessment system (ERDAS) Imagine software. Hotspots, where significant changes occurred, have been identified. Most part of the Antarctic coast between 75 degrees E and 45 degrees W, covering all West Antarctica and about half of East Antarctica, has shown definite retreat during this period. Major retreats are observed over the both sides of Ross ice shelf, Ronne ice shelf, Thwaites glacier, and Mertz glacier. Major advancements are observed over Filchner ice shelf, Amery ice shelf, middle portion of Ross ice shelf, and Stancomwills glacier tongue. Over the East Antarctica, areas of advancement and retreat are nearly same. But, over the West Antarctica, the area of retreat is significantly higher than area of advancement.</t>
  </si>
  <si>
    <t>[Patel, Shailee; Shah, Esha; James, M. E.] Gujarat Univ, Dept Phys Elect &amp; Space Sci, Ahmadabad 380009, Gujarat, India; [Jayaprasad, P.] Space Applicat Ctr ISRO, MTDD AMHTDG EPSA, Ahmadabad, Gujarat, India</t>
  </si>
  <si>
    <t>Patel, S (corresponding author), Gujarat Univ, Dept Phys Elect &amp; Space Sci, Ahmadabad 380009, Gujarat, India.</t>
  </si>
  <si>
    <t>Shaileeharsha31@gmail.com</t>
  </si>
  <si>
    <t>Patel, Shailee/0000-0002-4202-5615</t>
  </si>
  <si>
    <t>0143-1161</t>
  </si>
  <si>
    <t>1366-5901</t>
  </si>
  <si>
    <t>INT J REMOTE SENS</t>
  </si>
  <si>
    <t>Int. J. Remote Sens.</t>
  </si>
  <si>
    <t>FEB 16</t>
  </si>
  <si>
    <t>10.1080/01431161.2019.1667550</t>
  </si>
  <si>
    <t>JM7VH</t>
  </si>
  <si>
    <t>WOS:000486974500001</t>
  </si>
  <si>
    <t>López-Quirós, A; Escutia, C; Sánchez-Navas, A; Nieto, F; Garcia-Casco, A; Martín-Algarra, A; Evangelinos, D; Salabarnada, A</t>
  </si>
  <si>
    <t>Lopez-Quiros, Adrian; Escutia, Carlota; Sanchez-Navas, Antonio; Nieto, Fernando; Garcia-Casco, Antonio; Martin-Algarra, Agustin; Evangelinos, Dimitris; Salabarnada, Ariadna</t>
  </si>
  <si>
    <t>Glaucony authigenesis, maturity and alteration in the Weddell Sea: An indicator of paleoenvironmental conditions before the onset of Antarctic glaciation</t>
  </si>
  <si>
    <t>SEDIMENTS; EOCENE; BASIN; GLAUCONITIZATION; MINERALOGY; EVOLUTION; OLIGOCENE; PATTERNS; PELLETS; ORIGIN</t>
  </si>
  <si>
    <t>Three types of glaucony grains were identified in the late Eocene (similar to 35.5-34.1 Ma) sediments from Ocean Drilling Program (ODP) Hole 696B in the northwestern Weddell Sea (Antarctica). The grains are K2O-rich (similar to 7 wt%) and formed by smectite-poor interstratified similar to 10 angstrom glauconite-smectite with flaky/rosette-shaped surface nanostructures. Two glaucony types reflect an evolved (types 1 and 2 glaucony; less mature to mature) stage and long term glauconitization, attesting to the glaucony grains being formed in situ, whereas the third type (type 3 glaucony) shows evidences of alteration and reworking from nearby areas. Conditions for the glaucony authigenesis occurred in an open-shelf environment deeper than 50 m, under sub-oxic conditions near the sediment-water interface. These environmental conditions were triggered by low sedimentation rates and recurrent winnowing action by bottom-currents, leading to stratigraphic condensation. The condensed glaucony-bearing section provides an overview of continuous sea-level rise conditions pre-dating the onset of Antarctic glaciation during the Eocene-Oligocene transition. Sediment burial, drop of O-2 levels, and ongoing reducing (postoxic to sulphidic) conditions at Hole 696B, resulting in iron-sulphide precipitation, were a key limiting factor for the glauconitization by sequestration of Fe2+.</t>
  </si>
  <si>
    <t>[Lopez-Quiros, Adrian; Escutia, Carlota; Evangelinos, Dimitris; Salabarnada, Ariadna] Univ Granada, CSIC, Inst Andaluz Ciencias Tierra, Avda Palmeras 4, Granada 18100, Spain; [Sanchez-Navas, Antonio; Nieto, Fernando; Garcia-Casco, Antonio] Univ Granada, Dept Mineral &amp; Petrol, E-18071 Granada, Spain; [Martin-Algarra, Agustin] Univ Granada, Dept Stratig &amp; Paleontol, E-18071 Granada, Spain</t>
  </si>
  <si>
    <t>Consejo Superior de Investigaciones Cientificas (CSIC); CSIC - Instituto Andaluz de Ciencias de la Tierra (IACT); University of Granada; University of Granada; University of Granada</t>
  </si>
  <si>
    <t>López-Quirós, A (corresponding author), Univ Granada, CSIC, Inst Andaluz Ciencias Tierra, Avda Palmeras 4, Granada 18100, Spain.</t>
  </si>
  <si>
    <t>alquiros@iact.ugr-csic.es</t>
  </si>
  <si>
    <t>Evangelinos, Dimitris/ABH-5910-2020; Evagelinos, Dimitris/ISU-3607-2023; Roset, Ariadna Salabarnada/L-8798-2014; López Quirós, Adrián/K-6513-2017; Garcia-Casco, Antonio/K-8295-2013; Escutia, Carlota/B-8614-2015; Nieto, Fernando/L-5377-2013; Martin Algarra, Agustin/I-6410-2018</t>
  </si>
  <si>
    <t>Evangelinos, Dimitris/0000-0002-4978-3056; Roset, Ariadna Salabarnada/0000-0003-2239-2538; López Quirós, Adrián/0000-0002-7522-2834; Garcia-Casco, Antonio/0000-0002-8814-402X; Escutia, Carlota/0000-0002-4932-8619; Salabarnada, Ariadna/0000-0003-0858-8083; Nieto, Fernando/0000-0001-6250-056X; Martin Algarra, Agustin/0000-0002-9366-3166</t>
  </si>
  <si>
    <t>Spanish Ministry of Science and Innovation - European Union through FEDER funds [CTM2014-60451-C2-1-P, CTM2017-89711-C2-1-P, CGL2016-75679P]; RNM-208 group (Discontinuidades estratigraficas, Junta de Andalucia, Spain)</t>
  </si>
  <si>
    <t>Spanish Ministry of Science and Innovation - European Union through FEDER funds; RNM-208 group (Discontinuidades estratigraficas, Junta de Andalucia, Spain)(Junta de Andalucia)</t>
  </si>
  <si>
    <t>This research used samples from the ODP. We thank the staff at the Gulf Coast core repository for assistance in ODP Leg 113 core handling and shipping. Funding for this research is provided by the Spanish Ministry of Science and Innovation (grants CTM2014-60451-C2-1-P and CTM2017-89711-C2-1-P, CGL2016-75679P) co-funded by the European Union through FEDER funds and RNM-208 group (Discontinuidades estratigraficas, Junta de Andalucia, Spain). We acknowledge the help of Dr. Maria del Mar Abad, Dr. Isabel Sanchez Almazo, Dr. Miguel Angel Hidalgo, Dr. Miguel Angel Salas, and Isabel Nieto (Scientific Instrumentation Center of the University of Granada, CIC) for their help along different phases of the laboratory work. We also acknowledge the constructive comments of two anonymous reviewers that have helped to improve this paper. We wish to thank Prof. C. Hans Nelson for their constructive comments and improvement of our English, which contributed greatly toward clarification of the text. Thanks are also given to Dr. Francisco J. Lobo and Dr. Fernando Bohoyo for their helpful comments related to the study area and regional tectonics.</t>
  </si>
  <si>
    <t>10.1038/s41598-019-50107-1</t>
  </si>
  <si>
    <t>IY7IM</t>
  </si>
  <si>
    <t>WOS:000486568400015</t>
  </si>
  <si>
    <t>Obura, DO; Aeby, G; Amornthammarong, N; Appeltans, W; Bax, N; Bishop, J; Brainard, RE; Chan, S; Fletcher, P; Gordon, TAC; Gramer, L; Gudka, M; Halas, J; Hendee, J; Hodgson, G; Huang, D; Jankulak, M; Jones, A; Kimura, T; Levy, J; Miloslavich, P; Chou, LM; Muller-Karger, F; Osuka, K; Samoilys, M; Simpson, SD; Tun, K; Wongbusarakum, S</t>
  </si>
  <si>
    <t>Obura, David O.; Aeby, Greta; Amornthammarong, Natchanon; Appeltans, Ward; Bax, Nicholas; Bishop, Joe; Brainard, Russell E.; Chan, Samuel; Fletcher, Pamela; Gordon, Timothy A. C.; Gramer, Lew; Gudka, Mishal; Halas, John; Hendee, James; Hodgson, Gregor; Huang, Danwei; Jankulak, Mike; Jones, Albert; Kimura, Tadashi; Levy, Joshua; Miloslavich, Patricia; Chou, Loke Ming; Muller-Karger, Frank; Osuka, Kennedy; Samoilys, Melita; Simpson, Stephen D.; Tun, Karenne; Wongbusarakum, Supin</t>
  </si>
  <si>
    <t>Coral Reef Monitoring, Reef Assessment Technologies, and Ecosystem-Based Management</t>
  </si>
  <si>
    <t>ecological monitoring; coral reef; climate change; Essential Ocean Variables (EOV); social-ecological; system; GOOS</t>
  </si>
  <si>
    <t>SPATIAL-PATTERNS; SOUND PRODUCTION; BIODIVERSITY; DISEASE; RESOLUTION; DIVERSITY; FRAMEWORK; ABUNDANCE; RESPONSES; ECOLOGY</t>
  </si>
  <si>
    <t>Coral reefs are exceptionally biodiverse and human dependence on their ecosystem services is high. Reefs experience significant direct and indirect anthropogenic pressures, and provide a sensitive indicator of coastal ocean health, climate change, and ocean acidification, with associated implications for society. Monitoring coral reef status and trends is essential to better inform science, management and policy, but the projected collapse of reef systems within a few decades makes the provision of accurate and actionable monitoring data urgent. The Global Coral Reef Monitoring Network has been the foundation for global reporting on coral reefs for two decades, and is entering into a new phase with improved operational and data standards incorporating the Essential Ocean Variables (EOVs) (www.goosocean.org/eov) and Framework for Ocean Observing developed by the Global Ocean Observing System. Three EOVs provide a robust description of reef health: hard coral cover and composition, macro-algal canopy cover, and fish diversity and abundance. A data quality model based on comprehensive metadata has been designed to facilitate maximum global coverage of coral reef data, and tangible steps to track capacity building. Improved monitoring of events such as mass bleaching and disease outbreaks, citizen science, and socio-economic monitoring have the potential to greatly improve the relevance of monitoring to managers and stakeholders, and to address the complex and multi-dimensional interactions between reefs and people. A new generation of autonomous vehicles (underwater, surface, and aerial) and satellites are set to revolutionize and vastly expand our understanding of coral reefs. Promising approaches include Structure from Motion image processing, and acoustic techniques. Across all systems, curation of data in linked and open online databases, with an open data culture to maximize benefits from data integration, and empowering users to take action, are priorities. Action in the next decade will be essential to mitigate the impacts on coral reefs from warming temperatures, through local management and informing national and international obligations, particularly in the context of the Sustainable Development Goals, climate action, and the role of coral reefs as a global indicator. Mobilizing data to help drive the needed behavior change is a top priority for coral reef observing systems.</t>
  </si>
  <si>
    <t>[Obura, David O.] CORDIO East Africa, Marine Biodivers Observat Network, Global Coral Reef Monitoring Network, Global Ocean Observing Syst Biol &amp; Ecosyst Panel, Mombasa, Kenya; [Aeby, Greta] Qatar Univ, Dept Biol &amp; Environm Sci, Doha, Qatar; [Amornthammarong, Natchanon; Gramer, Lew; Jankulak, Mike] CIMAS, Miami, FL USA; [Amornthammarong, Natchanon; Gramer, Lew; Jankulak, Mike] NOAA, Miami, FL USA; [Appeltans, Ward] UNESCO, Intergovt Oceanog Commiss IOC Project Off Int Oce, Intergovt Oceanog Commiss, Oostende, Belgium; [Bax, Nicholas] CSIRO, Oceans &amp; Atmosphere, Hobart, Tas, Australia; [Bax, Nicholas; Miloslavich, Patricia] Univ Tasmania, Inst Marine &amp; Antarctic Studies, Hobart, Tas, Australia; [Bishop, Joe] NOAA, La Jolla, CA USA; [Brainard, Russell E.] US Natl Ocean &amp; Atmospher Adm, Pacific Isl Fisheries Sci Ctr, Honolulu, HI USA; [Chan, Samuel; Huang, Danwei; Chou, Loke Ming] Natl Univ Singapore, Singapore, Singapore; [Fletcher, Pamela] Broward Coll, Environm Sci Dept, Gainesville, FL USA; [Gordon, Timothy A. C.; Simpson, Stephen D.] Univ Exeter, Coll Life &amp; Environm Sci, Biosci, Exeter, Devon, England; [Gordon, Timothy A. C.] Australian Inst Marine Sci, Perth, WA, Australia; [Gudka, Mishal] CORDIO East Africa, Global Coral Reef Monitoring Network Western Indi, Mombasa, Kenya; [Halas, John] Environm Moorings Int Inc, Key Largo, FL USA; [Hendee, James] NOAA, Atlantic Oceanog &amp; Meteorol Lab, Miami, FL 33149 USA; [Hodgson, Gregor] Reef Check Fdn, Marina Del Rey, CA USA; [Jones, Albert] Caribbean Community Climate Change Ctr, Belmopan, Belize; [Kimura, Tadashi] Japan Wildlife Res Ctr, Tokya, Japan; [Levy, Joshua] Univ Hawaii Manoa, Appl Res Lab, Honolulu, HI 96822 USA; [Miloslavich, Patricia] Univ Simon Bolivar, Dept Estudios Ambientales, Caracas, Venezuela; [Muller-Karger, Frank] Univ S Florida, Inst Marine Remote Sensing IMaRS, St Petersburg, FL USA; [Osuka, Kennedy; Samoilys, Melita] CORDIO East Africa, Mombasa, Kenya; [Tun, Karenne] Natl Pk Board, Singapore, Singapore; [Wongbusarakum, Supin] Univ Hawaii, Socioecon Monitoring Coastal Management Pacific I, NOAA, Honolulu, HI 96822 USA; [Wongbusarakum, Supin] Univ Hawaii, Joint Inst Marine &amp; Atmospher Res, Honolulu, HI 96822 USA</t>
  </si>
  <si>
    <t>Qatar University; National Oceanic Atmospheric Admin (NOAA) - USA; Commonwealth Scientific &amp; Industrial Research Organisation (CSIRO); University of Tasmania; National Oceanic Atmospheric Admin (NOAA) - USA; National Oceanic Atmospheric Admin (NOAA) - USA; National University of Singapore; University of Exeter; Australian Institute of Marine Science; National Oceanic Atmospheric Admin (NOAA) - USA; Atlantic Oceanographic &amp; Meteorological Laboratory (AOML); University of Hawaii System; University of Hawaii Manoa; Simon Bolivar University; State University System of Florida; University of South Florida; University of Hawaii System; National Oceanic Atmospheric Admin (NOAA) - USA; University of Hawaii System</t>
  </si>
  <si>
    <t>Obura, DO (corresponding author), CORDIO East Africa, Marine Biodivers Observat Network, Global Coral Reef Monitoring Network, Global Ocean Observing Syst Biol &amp; Ecosyst Panel, Mombasa, Kenya.</t>
  </si>
  <si>
    <t>dobura@cordioea.net</t>
  </si>
  <si>
    <t>Lamont, Timothy A C/AAH-6029-2020; Chan, Samuel/AAF-6577-2021; Chou, Loke/AAE-5266-2020; Hendee, James C/E-6358-2010; Jankulak, Michael/A-3015-2017; Gramer, Lewis James/A-5620-2010</t>
  </si>
  <si>
    <t>Lamont, Timothy A C/0000-0002-0305-6603; Chou, Loke/0000-0001-6668-399X; Gudka, Mishal/0000-0001-6733-9381; Jankulak, Michael/0000-0003-4071-1344; Chan, Samuel/0000-0003-0922-9357; Gramer, Lewis James/0000-0003-4772-1991; Miloslavich, Patricia/0000-0001-5409-1401</t>
  </si>
  <si>
    <t>United Nations Environment Programme; United Nations Educational, Scientific and Cultural Organization's Intergovernmental Oceanographic Commission; Future Earth; International Coral Reef Initiative; NERC [NE/P001572/1] Funding Source: UKRI</t>
  </si>
  <si>
    <t>United Nations Environment Programme; United Nations Educational, Scientific and Cultural Organization's Intergovernmental Oceanographic Commission; Future Earth; International Coral Reef Initiative; NERC(UK Research &amp; Innovation (UKRI)Natural Environment Research Council (NERC))</t>
  </si>
  <si>
    <t>This paper benefited from the financial support to the authors provided by their institutions and the grants for research, monitoring and/or coordination they have secured. The development of this manuscript has been supported through ongoing work of the Global Coral Reef Monitoring Network and the Global Ocean Observing System's Biology and Ecosystems Panel, supported by the International Coral Reef Initiative, United Nations Environment Programme, the United Nations Educational, Scientific and Cultural Organization's Intergovernmental Oceanographic Commission, and Future Earth among others.</t>
  </si>
  <si>
    <t>10.3389/fmars.2019.00580</t>
  </si>
  <si>
    <t>IY9AS</t>
  </si>
  <si>
    <t>WOS:000486686600001</t>
  </si>
  <si>
    <t>Rosenfeld, S; Mendez, F; Calderon, MS; Bahamonde, F; Rodríguez, JP; Ojeda, J; Marambio, J; Gorny, M; Mansilla, A</t>
  </si>
  <si>
    <t>Rosenfeld, Sebastian; Mendez, Fabio; Calderon, Martha S.; Bahamonde, Francisco; Pablo Rodriguez, Juan; Ojeda, Jaime; Marambio, Johanna; Gorny, Matthias; Mansilla, Andres</t>
  </si>
  <si>
    <t>A new record of kelp Lessonia spicata (Suhr) Santelices in the Sub-Antarctic Channels: implications for the conservation of the huiro negro in the Chilean coast</t>
  </si>
  <si>
    <t>Conservation; Extension; Biogeography; Kelp; Sub-Antarctic; Magellan</t>
  </si>
  <si>
    <t>HUMBOLDT CURRENT SYSTEM; SOUTHEASTERN PACIFIC; ECOLOGICAL INTEGRITY; MICROSCOPIC FORMS; PHAEOPHYCEAE; LAMINARIALES; NIGRESCENS; NORTHERN; PHYLOGENY; GIGARTINALES</t>
  </si>
  <si>
    <t>The Katalalixar National Reserve (KNR) lies in an isolated marine protected area of Magellan Sub-Antarctic channels, which represent an important area for marine biodiversity and macroalgal conservation. The present study is the first report of the species Lessonia spicata, huiro negro, in the Magellan Sub-Antarctic channels. This finding has implications for macroalgal biogeography and conservation concerns in the Chilean coast. In the ecological assessments of the KNR in 2018 we found populations of L. spicata, specifically on rocky shores of Torpedo Island and Castillo Channel. The morphological identification and molecular phylogeny based on nuclear (ITS1) sequences revealed that these populations of Lessonia are within the lineage of L. spicata of central Chile. This report increases the species richness of kelps for the Magellan Sub-Antarctic Channels from two to three confirmed species (L. flavicans, L. searlesiana and L. spicata), and it also extends the southern distribution range of L. spicata. This species has high harvest demand and is moving towards southern Chile; thus, these populations should be considered as essential for macroalgal conservation in high latitudes of South America.</t>
  </si>
  <si>
    <t>[Rosenfeld, Sebastian; Mendez, Fabio; Calderon, Martha S.; Bahamonde, Francisco; Pablo Rodriguez, Juan; Ojeda, Jaime; Marambio, Johanna; Mansilla, Andres] Univ Magallanes, Lab Ecosistemas Marinos Antarticos &amp; Subantartico, Punta Arenas, Chile; [Rosenfeld, Sebastian; Calderon, Martha S.; Ojeda, Jaime; Marambio, Johanna; Mansilla, Andres] Inst Ecol &amp; Biodiversidad, Santiago, Chile; [Mendez, Fabio] Univ Magallanes, Programa Doctorado Ciencias Antarticas &amp; Subantar, Punta Arenas, Chile; [Calderon, Martha S.] Univ Nacl Toribio Rodriguez Mendoza, INDES CES, Inst Invest Desarrollo Sustentable Ceja de Selva, Chachapoyas, Peru; [Bahamonde, Francisco] Univ Magallanes, Dept Ciencias &amp; Recursos Nat, Fac Ciencias, Punta Arenas, Chile; [Ojeda, Jaime] Univ Victoria, Sch Environm Studies, Victoria, BC, Canada; [Marambio, Johanna] Univ Bremen, Sci Fac, Bremen, Germany; [Gorny, Matthias] OCEANA, Santiago, Chile</t>
  </si>
  <si>
    <t>Universidad de Magallanes; Universidad de Magallanes; Universidad Nacional Toribio Rodriguez De Mendoza De Amazonas; Universidad de Magallanes; University of Victoria; University of Bremen</t>
  </si>
  <si>
    <t>Rosenfeld, S (corresponding author), Univ Magallanes, Lab Ecosistemas Marinos Antarticos &amp; Subantartico, Punta Arenas, Chile.;Rosenfeld, S (corresponding author), Inst Ecol &amp; Biodiversidad, Santiago, Chile.</t>
  </si>
  <si>
    <t>sebastian.rosenfeld@umag.cl</t>
  </si>
  <si>
    <t>Ojeda, Jaime/HHN-1455-2022; Calderon, Martha S./Z-5323-2019</t>
  </si>
  <si>
    <t>Calderon, Martha S./0000-0003-3611-140X; Rosenfeld, Sebastian/0000-0002-4363-8018; marambio, johanna/0000-0003-1958-0351; Mansilla, Andres/0000-0003-3505-7018; ojeda, jaime/0000-0003-3863-9750</t>
  </si>
  <si>
    <t>Chile's National Council for Research in Science and Technology (CONICYT) FONDECYT Program [1180433]; OCEANA Chile; [CONICYT-FB001 FONDECYT 3180539]</t>
  </si>
  <si>
    <t>Chile's National Council for Research in Science and Technology (CONICYT) FONDECYT Program; OCEANA Chile;</t>
  </si>
  <si>
    <t>This research was funded by Chile's National Council for Research in Science and Technology (CONICYT) FONDECYT Program grant 1180433 to Andres Mansilla, and the CONICYT-FB001 FONDECYT 3180539 project to Martha S. Calderon. The expedition to the Katalalixar National Reserve was financed by OCEANA Chile. The funders had no role in study design, data collection and analysis, decision to publish, or preparation of the manuscript.</t>
  </si>
  <si>
    <t>e7610</t>
  </si>
  <si>
    <t>10.7717/peerj.7610</t>
  </si>
  <si>
    <t>IY7HT</t>
  </si>
  <si>
    <t>WOS:000486566300005</t>
  </si>
  <si>
    <t>Zheng, L; Zhou, CX</t>
  </si>
  <si>
    <t>Zheng, Lei; Zhou, Chunxia</t>
  </si>
  <si>
    <t>Comparisons of snowmelt detected by microwave sensors on the Shackleton Ice Shelf, East Antarctica</t>
  </si>
  <si>
    <t>MELT DETECTION; SURFACE MELT; ALGORITHM; DURATION; RADAR; ONSET; ASCAT; DRY</t>
  </si>
  <si>
    <t>Surface snowmelt is of great importance to the ice sheet's mass and energy balance. Microwave sensors, including radiometer and scatterometer can be used to map snowmelt. Two new microwave sensors, including the Advanced Microwave Scanning Radiometer 2 (AMSR2) and the Advanced Scatterometer (ASCAT), were compared in terms of their behaviours in snowmelt detection on the Shackleton Ice Shelf (SIS) in East Antarctica. Melt signals were determined by identifying the sharp changes in AMSR2 brightness temperature and ASCAT backscatter. The results suggest that the SIS began to melt in December, melt area shrank quickly in February after reaching the peak in January. Melt area mapped by the two sensors agreed with each other on the SIS, however, also shows local discrepancies in the places with complex terrains. ASCAT failed to recognized melt signals in the regions with blue ice and rock outcrops where extensive melt ponds were observed based on Landsat 8 images. Snowmelt detected by radiometer and scatterometer shows complementary nature, the combination of multisource remote sensing images is expected to provide a better view of the ice sheet surface melting conditions.</t>
  </si>
  <si>
    <t>[Zheng, Lei; Zhou, Chunxia] Wuhan Univ, Chinese Antarctic Ctr Surveying &amp; Mapping, Wuhan 430079, Hubei, Peoples R China</t>
  </si>
  <si>
    <t>Zheng, Lei/AAU-3788-2020</t>
  </si>
  <si>
    <t>National Natural Science Foundation of China (NSFC) [41531069, 41776200, 41376187]</t>
  </si>
  <si>
    <t>This research is funded by the National Natural Science Foundation of China (NSFC) (41531069, 41776200, 41376187).</t>
  </si>
  <si>
    <t>10.1080/01431161.2019.1666316</t>
  </si>
  <si>
    <t>WOS:000486956800001</t>
  </si>
  <si>
    <t>Layton, KKS; Rouse, GW; Wilson, NG</t>
  </si>
  <si>
    <t>Layton, Kara K. S.; Rouse, Greg W.; Wilson, Nerida G.</t>
  </si>
  <si>
    <t>A newly discovered radiation of endoparasitic gastropods and their coevolution with asteroid hosts in Antarctica</t>
  </si>
  <si>
    <t>Asterophila; Endoparasites; Coevolution; Asteroidea; Antarctica</t>
  </si>
  <si>
    <t>OXIDASE SUBUNIT-I; MOLECULAR PHYLOGENY; SHIFT SPECIATION; SOUTHERN-OCEAN; DIVERSITY; MOLLUSCA; PRIMERS; DIVERSIFICATION; AMPLIFICATION; BIOGEOGRAPHY</t>
  </si>
  <si>
    <t>Background: Marine invertebrates are abundant and diverse on the continental shelf in Antarctica, but little is known about their parasitic counterparts. Endoparasites are especially understudied because they often possess highly modified body plans that pose problems for their identification. Asterophila, a genus of endoparasitic gastropod in the family Eulimidae, forms cysts in the arms and central discs of asteroid sea stars. There are currently four known species in this genus, one of which has been described from the Antarctic Peninsula (A. perknasteri). This study employs molecular and morphological data to investigate the diversity of Asterophila in Antarctica and explore cophylogenetic patterns between host and parasite. Results: A maximum-likelihood phylogeny of Asterophila and subsequent species-delimitation analysis uncovered nine well-supported putative species, eight of which are new to science. Most Asterophila species were found on a single host species, but four species were found on multiple hosts from one or two closely related genera, showing phylogenetic conservatism of host use. Both distance-based and event-based cophylogenetic analyses uncovered a strong signal of coevolution in this system, but most associations were explained by non-cospeciation events. Discussion: The prevalence of duplication and host-switching events in Asterophila and its asteroid hosts suggests that synchronous evolution may be rare even in obligate endoparasitic systems. The apparent restricted distribution of Asterophila from around the Scotia Arc may be an artefact of concentrated sampling in the area and a low obvious prevalence of infection. Given the richness of parasites on a global scale, their role in promoting host diversification, and the threat of their loss through coextinction, future work should continue to investigate parasite diversity and coevolution in vulnerable ecosystems.</t>
  </si>
  <si>
    <t>[Layton, Kara K. S.; Wilson, Nerida G.] Univ Western Australia, Ctr Evolutionary Biol, Crawley, WA 6007, Australia; [Layton, Kara K. S.; Wilson, Nerida G.] Western Australian Museum, Mol Systemat Unit, Welshpool Dc, WA 6986, Australia; [Layton, Kara K. S.] Mem Univ Newfoundland, Dept Ocean Sci, St John, NF A1C 5S7, Canada; [Rouse, Greg W.; Wilson, Nerida G.] Univ Calif San Diego, Scripps Inst Oceanog, La Jolla, CA 92093 USA</t>
  </si>
  <si>
    <t>University of Western Australia; Western Australian Museum; Memorial University Newfoundland; University of California System; University of California San Diego; Scripps Institution of Oceanography</t>
  </si>
  <si>
    <t>Layton, KKS (corresponding author), Univ Western Australia, Ctr Evolutionary Biol, Crawley, WA 6007, Australia.;Layton, KKS (corresponding author), Western Australian Museum, Mol Systemat Unit, Welshpool Dc, WA 6986, Australia.</t>
  </si>
  <si>
    <t>kara.layton@research.uwa.edu.au</t>
  </si>
  <si>
    <t>Wilson, Nerida G./AAC-1456-2019; Layton, Kara/AAC-6007-2019; Rouse, Gregory/AAW-1494-2021; Wilson, Nerida/G-8433-2011</t>
  </si>
  <si>
    <t>Layton, Kara/0000-0002-4302-3048; Rouse, Gregory/0000-0001-9036-9263; Wilson, Nerida/0000-0002-0784-0200</t>
  </si>
  <si>
    <t>National Science Foundation (USA) [ANT-1043749]; University Postgraduate Award for International Students (UPAIS); RTP International Fees Offset scholarship (RTPFI); Natural Sciences and Engineering Research Council of Canada (NSERC); Antarctic Circumnavigation Expedition, The University of Western Australia</t>
  </si>
  <si>
    <t>National Science Foundation (USA)(National Science Foundation (NSF)); University Postgraduate Award for International Students (UPAIS); RTP International Fees Offset scholarship (RTPFI); Natural Sciences and Engineering Research Council of Canada (NSERC)(Natural Sciences and Engineering Research Council of Canada (NSERC)); Antarctic Circumnavigation Expedition, The University of Western Australia</t>
  </si>
  <si>
    <t>Funding for this research comes from the Antarctic Circumnavigation Expedition, The University of Western Australia, and the National Science Foundation (USA) ANT-1043749. KKSL was supported by a University Postgraduate Award for International Students (UPAIS) and an RTP International Fees Offset scholarship (RTPFI) administered by The University of Western Australia, as well as a postgraduate doctoral scholarship from the Natural Sciences and Engineering Research Council of Canada (NSERC). These funding bodies did not have a role in the design of the study, the collection, analysis, and interpretation of data, or in writing the manuscript.</t>
  </si>
  <si>
    <t>SEP 18</t>
  </si>
  <si>
    <t>10.1186/s12862-019-1499-8</t>
  </si>
  <si>
    <t>LZ3KV</t>
  </si>
  <si>
    <t>WOS:000541128000001</t>
  </si>
  <si>
    <t>Chipman, S; Diesing, R; Reno, MH; Sarcevic, I</t>
  </si>
  <si>
    <t>Chipman, Shoshana; Diesing, Rebecca; Reno, Mary Hall; Sarcevic, Ina</t>
  </si>
  <si>
    <t>Anomalous ANITA air shower events and tau decays</t>
  </si>
  <si>
    <t>WEIZSACKER-WILLIAMS FIELD; UHE; NEUTRINOS</t>
  </si>
  <si>
    <t>Two unusual neutrino events in the Antarctic Impulse Transient Antenna (ANITA) appear to have been generated by air showers from a particle emerging from the Earth at angle similar to 25 degrees 35 degrees above the horizon. We evaluate the effective aperture for ANITA with a simplified detection model to illustrate the features of the angular dependence of expected events for incident standard model tau neutrinos and for sterile neutrinos that mix with tau neutrinos. We apply our sterile neutrino aperture results to a dark matter scenario with long-lived supermassive dark matter that decay to sterile neutrinolike particles. We find that for upgoing air showers from tau decays, from isotropic fluxes of standard model, sterile neutrinos, or other particles that couple to the tau through suppressed weak interaction cross sections cannot be responsible for the unusual events.</t>
  </si>
  <si>
    <t>[Chipman, Shoshana; Diesing, Rebecca] Univ Chicago, Dept Astron &amp; Astrophys, 5640 S Ellis Ave, Chicago, IL 60637 USA; [Reno, Mary Hall] Univ Iowa, Dept Phys &amp; Astron, Iowa City, IA 52242 USA; [Sarcevic, Ina] Univ Arizona, Dept Phys, 1118 E 4th St, Tucson, AZ 85704 USA</t>
  </si>
  <si>
    <t>University of Chicago; University of Iowa; University of Arizona</t>
  </si>
  <si>
    <t>Chipman, S (corresponding author), Univ Chicago, Dept Astron &amp; Astrophys, 5640 S Ellis Ave, Chicago, IL 60637 USA.</t>
  </si>
  <si>
    <t>Sarcevic, Ina/0000-0003-1364-6858; Reno, Mary Hall/0000-0001-6264-3990; Diesing, Rebecca/0000-0002-6679-0012</t>
  </si>
  <si>
    <t>U.S. Department of Energy [DE-SC-0010113, DE-FG02-13ER41976, DE-SC0009913]; NASA [80NSSC18K0246]; U.S. Department of Energy (DOE) [DE-SC0009913] Funding Source: U.S. Department of Energy (DOE)</t>
  </si>
  <si>
    <t>U.S. Department of Energy(United States Department of Energy (DOE)); NASA(National Aeronautics &amp; Space Administration (NASA)); U.S. Department of Energy (DOE)(United States Department of Energy (DOE))</t>
  </si>
  <si>
    <t>Thanks to Luis A. Anchordoqui, Atri Bhattacharya, John F. Krizmanic, Angela V. Olinto, Andres Romero-Wolf, and Tonia M. Venters for discussions. This work was supported in part by U.S. Department of Energy Grants No. DE-SC-0010113, No. DE-FG02-13ER41976, and No. DE-SC0009913 and NASA Grant No. 80NSSC18K0246.</t>
  </si>
  <si>
    <t>10.1103/PhysRevD.100.063011</t>
  </si>
  <si>
    <t>IY8ML</t>
  </si>
  <si>
    <t>WOS:000486648600004</t>
  </si>
  <si>
    <t>Ferreira, GVB; Barletta, M; Lima, ARA; Morley, SA; Costa, MF</t>
  </si>
  <si>
    <t>Ferreira, Guilherme V. B.; Barletta, Mario; Lima, Andre R. A.; Morley, Simon A.; Costa, Monica F.</t>
  </si>
  <si>
    <t>Dynamics of Marine Debris Ingestion by Profitable Fishes Along The Estuarine Ecocline</t>
  </si>
  <si>
    <t>MICROPLASTIC INGESTION; CENTROPOMUS-UNDECIMALIS; ORGANIC POLLUTANTS; FEEDING ECOLOGY; PLASTIC DEBRIS; COMMON SNOOK; HABITAT USE; LIFE-CYCLE; CONTAMINATION; RESOURCES</t>
  </si>
  <si>
    <t>The dynamics of microfilament (&lt;5 mm) ingestion were evaluated in three species of snooks. The ingestion of different colours and sizes of microfilaments were strongly associated with the spatio-temporal estuarine use and ontogenetic shifts of snooks. Their feeding ecology was also analysed to assess dietary relationships with patterns of contamination. All species were highly contaminated with microfilaments. The highest ingestion of microfilaments occurred in the adults, when fishes became the main prey item and also during the peak of fishing activities, in the rainy season. This suggests that trophic transfer, in addition to periods of high availability of microfilaments are important pathways for contamination. The ingestion of microfilaments of different colours and sizes was likely influenced by input sources. Blue microfilaments were frequently ingested, and appear to have both riverine and estuarine inputs, since they were ingested in all seasons and habitats. Purple and red microfilaments were more frequently ingested in the lower estuarine habitats. The length of microfilaments was also associated with environmental variability. Longer microfilaments were ingested in habitats with greater riverine influence, the opposite was observed for shorter microfilaments. Therefore, microfilament contamination in snooks are a consequence of their ecological patterns of estuarine uses through different seasons and life history stages.</t>
  </si>
  <si>
    <t>[Ferreira, Guilherme V. B.; Barletta, Mario; Lima, Andre R. A.; Costa, Monica F.] Fed Univ Pernambuco UFPE, Dept Oceanog, Lab Ecol &amp; Management Coastal &amp; Estuarine Ecosyst, Av Arquitetura S-N, BR-50740550 Recife, PE, Brazil; [Morley, Simon A.] British Antarctic Survey, Nat Environm Res Council, Madingley Rd, Cambridge CB3 0ET, England</t>
  </si>
  <si>
    <t>Universidade Federal de Pernambuco; UK Research &amp; Innovation (UKRI); Natural Environment Research Council (NERC); NERC British Antarctic Survey</t>
  </si>
  <si>
    <t>Barletta, M (corresponding author), Fed Univ Pernambuco UFPE, Dept Oceanog, Lab Ecol &amp; Management Coastal &amp; Estuarine Ecosyst, Av Arquitetura S-N, BR-50740550 Recife, PE, Brazil.</t>
  </si>
  <si>
    <t>barletta@ufpe.br</t>
  </si>
  <si>
    <t>Barletta, Mario/D-3233-2011; Ferreira, Guilherme V. B./E-5984-2019; Lima, André R A/C-4931-2019; Ferreira, Guilherme/HNC-4634-2023</t>
  </si>
  <si>
    <t>Barletta, Mario/0000-0001-5139-1628; Ferreira, Guilherme V. B./0000-0002-9153-7617; Lima, André R A/0000-0002-9698-8302; Morley, Simon/0000-0002-7761-660X</t>
  </si>
  <si>
    <t>CNPq (Conselho Nacional de Desenvolvimento Cientifico e Tecnologico) [405818/2012-2/COAGR/PESCA, 404931/2016-2]; FACEPE (Fundacao de Amparo a Ciencia e Tecnologia do Estado de Pernambuco) [AQP0911-1.08/12, FACEPE/BFP-0130-1.08/15]; CAPES (Coordenacao de Aperfeicoamento de Pessoal de Nivel Superior); NERC [bas0100036] Funding Source: UKRI</t>
  </si>
  <si>
    <t>CNPq (Conselho Nacional de Desenvolvimento Cientifico e Tecnologico)(Conselho Nacional de Desenvolvimento Cientifico e Tecnologico (CNPQ)); FACEPE (Fundacao de Amparo a Ciencia e Tecnologia do Estado de Pernambuco)(Fundacao de Amparo a Ciencia e Tecnologia do Estado de Pernambuco (FACEPE)); CAPES (Coordenacao de Aperfeicoamento de Pessoal de Nivel Superior)(Coordenacao de Aperfeicoamento de Pessoal de Nivel Superior (CAPES)); NERC(UK Research &amp; Innovation (UKRI)Natural Environment Research Council (NERC))</t>
  </si>
  <si>
    <t>This work was supported by CNPq (Conselho Nacional de Desenvolvimento Cientifico e Tecnologico) (Grant numbers 405818/2012-2/COAGR/PESCA and 404931/2016-2); FACEPE (Fundacao de Amparo a Ciencia e Tecnologia do Estado de Pernambuco) (Grant number AQP0911-1.08/12 and scholarship number FACEPE/BFP-0130-1.08/15); and CAPES (Coordenacao de Aperfeicoamento de Pessoal de Nivel Superior) for granting of a scholarship at doctoral level. MB and MFC are CNPq fellow.</t>
  </si>
  <si>
    <t>10.1038/s41598-019-49992-3</t>
  </si>
  <si>
    <t>IY4QY</t>
  </si>
  <si>
    <t>WOS:000486379300019</t>
  </si>
  <si>
    <t>Schroeder, DM; Dowdeswell, JA; Siegert, MJ; Bingham, RG; Chu, WN; MacKie, EJ; Siegfried, MR; Vega, KI; Emmons, JR; Winstein, K</t>
  </si>
  <si>
    <t>Schroeder, Dustin M.; Dowdeswell, Julian A.; Siegert, Martin J.; Bingham, Robert G.; Chu, Winnie; MacKie, Emma J.; Siegfried, Matthew R.; Vega, Katherine I.; Emmons, John R.; Winstein, Keith</t>
  </si>
  <si>
    <t>Multidecadal observations of the Antarctic ice sheet from restored analog radar records</t>
  </si>
  <si>
    <t>Antarctica; radio echo sounding; glaciology; remote sensing; archival data</t>
  </si>
  <si>
    <t>PINE ISLAND GLACIER; OCEAN ACCESS; BENEATH; SHELVES; COMPLEX; DRIVEN; WATER; LAKES; FLOW</t>
  </si>
  <si>
    <t>Airborne radar sounding can measure conditions within and beneath polar ice sheets. In Antarctica, most digital radar-sounding data have been collected in the last 2 decades, limiting our ability to understand processes that govern longer-term ice-sheet behavior. Here, we demonstrate how analog radar data collected over 40 y ago in Antarctica can be combined with modern records to quantify multidecadal changes. Specifically, we digitize over 400,000 line kilometers of exploratory Antarctic radar data originally recorded on 35-mm optical film between 1971 and 1979. We leverage the increased geometric and radiometric resolution of our digitization process to show how these data can be used to identify and investigate hydrologic, geologic, and topographic features beneath and within the ice sheet. To highlight their scientific potential, we compare the digitized data with contemporary radar measurements to reveal that the remnant eastern ice shelf of Thwaites Glacier in West Antarctica had thinned between 10 and 33% between 1978 and 2009. We also release the collection of scanned radargrams in their entirety in a persistent public archive along with updated geolocation data for a subset of the data that reduces the mean positioning error from 5 to 2.5 km. Together, these data represent a unique and renewed extensive, multidecadal historical baseline, critical for observing and modeling ice-sheet change on societally relevant timescales.</t>
  </si>
  <si>
    <t>[Schroeder, Dustin M.; Chu, Winnie; MacKie, Emma J.; Siegfried, Matthew R.; Vega, Katherine I.] Stanford Univ, Dept Geophys, Stanford, CA 94305 USA; [Schroeder, Dustin M.; Winstein, Keith] Stanford Univ, Dept Elect Engn, Stanford, CA 94305 USA; [Dowdeswell, Julian A.] Univ Cambridge, Scott Polar Res Inst, Cambridge CB2 1ER, England; [Siegert, Martin J.] Imperial Coll London, Grantham Inst, London SW7 2AZ, England; [Bingham, Robert G.] Univ Edinburgh, Sch GeoSci, Edinburgh EH8 9XP, Midlothian, Scotland; [Emmons, John R.] Stanford Univ, Dept Comp Sci, Stanford, CA 94305 USA; [Siegfried, Matthew R.] Colorado Sch Mines, Dept Geophys, Golden, CO 80401 USA</t>
  </si>
  <si>
    <t>Stanford University; Stanford University; University of Cambridge; Imperial College London; University of Edinburgh; Stanford University; Colorado School of Mines</t>
  </si>
  <si>
    <t>Siegert, Martin/M-9939-2019; Bingham, Robert G/G-3576-2017</t>
  </si>
  <si>
    <t>Siegert, Martin/0000-0002-0090-4806; Winstein, Keith/0000-0003-2305-8048; Schroeder, Dustin/0000-0003-1916-3929</t>
  </si>
  <si>
    <t>NSF CAREER Award; NASA Cryospheric Sciences Program; George Thompson Fellowship at Stanford University; NERC [NE/S006613/1] Funding Source: UKRI</t>
  </si>
  <si>
    <t>NSF CAREER Award(National Science Foundation (NSF)NSF - Office of the Director (OD)); NASA Cryospheric Sciences Program(National Aeronautics &amp; Space Administration (NASA)); George Thompson Fellowship at Stanford University; NERC(UK Research &amp; Innovation (UKRI)Natural Environment Research Council (NERC))</t>
  </si>
  <si>
    <t>The authors would like to thank the staff of the SPRI, University of Cambridge, especially Naomi Boneham, Lucy Martin, and Toby Benham as well as Jessica Daniel and Matthew Chalker for their assistance in accessing, scanning, and rearchiving the radar films. We also thank David Drewry for helping uncover the meaning of the CBD acronym. D.M.S. and E.J.M. were supported, in part, by an NSF CAREER Award. W.C. was supported, in part, by a grant from the NASA Cryospheric Sciences Program. M.R.S. was supported by the George Thompson Fellowship at Stanford University, a grant from the NASA Cryospheric Sciences Program.</t>
  </si>
  <si>
    <t>SEP 17</t>
  </si>
  <si>
    <t>10.1073/pnas.1821646116</t>
  </si>
  <si>
    <t>IY4UL</t>
  </si>
  <si>
    <t>WOS:000486388400025</t>
  </si>
  <si>
    <t>Pausch, F; Bischof, K; Trimborn, S</t>
  </si>
  <si>
    <t>Pausch, Franziska; Bischof, Kai; Trimborn, Scarlett</t>
  </si>
  <si>
    <t>Iron and manganese co-limit growth of the Southern Ocean diatom Chaetoceros debilis</t>
  </si>
  <si>
    <t>PHYTOPLANKTON COMMUNITIES; SUPEROXIDE DISMUTASES; PHOTOSYSTEM-II; DRAKE PASSAGE; TRACE-METALS; LIGHT; RESPONSES; PRYMNESIOPHYCEAE; PHOTOSYNTHESIS; TRANSPORT</t>
  </si>
  <si>
    <t>In some parts of the Southern Ocean (SO), even though low surface concentrations of iron (Fe) and manganese (Mn) indicate FeMn co-limitation, we still lack an understanding on how Mn and Fe availability influences SO phytoplankton ecophysiology. Therefore, this study investigated the effects of Fe and Mn limitation alone as well as their combination on growth, photophysiology and particulate organic carbon production of the bloom forming Antarctic diatom Chaetoceros debilis. Our results clearly show that growth, photochemical efficiency and carbon production of C. debilis were co-limited by Fe and Mn as highest values were only reached when both nutrients were provided. Even though Mn-deficient cells had higher photochemical efficiencies than Fe-limited ones, they, however, displayed similar low growth and POC production rates, indicating that Mn limitation alone drastically impeded the cell's performance. These results demonstrate that similar to low Fe concentrations, low Mn availability inhibits growth and carbon production of C. debilis. As a result from different species-specific trace metal requirements, SO phytoplankton species distribution and productivity may therefore not solely depend on the input of Fe alone, but also critically on Mn acting together as important drivers of SO phytoplankton ecology and biogeochemistry.</t>
  </si>
  <si>
    <t>[Pausch, Franziska; Trimborn, Scarlett] Helmholtz Ctr Polar &amp; Marine Res, EcoTrace, Alfred Wegener Inst, Bremen, Germany; [Pausch, Franziska; Bischof, Kai; Trimborn, Scarlett] Univ Bremen, Marine Bot, Bremen, Germany</t>
  </si>
  <si>
    <t>Pausch, F (corresponding author), Helmholtz Ctr Polar &amp; Marine Res, EcoTrace, Alfred Wegener Inst, Bremen, Germany.;Pausch, F (corresponding author), Univ Bremen, Marine Bot, Bremen, Germany.</t>
  </si>
  <si>
    <t>Franziska.Pausch@awi.de</t>
  </si>
  <si>
    <t>Trimborn, Scarlett/AAM-1061-2021</t>
  </si>
  <si>
    <t>Trimborn, Scarlett/0000-0003-1434-9927; Bischof, Kai/0000-0002-4497-1920; Pausch, Franziska/0000-0002-4207-1304</t>
  </si>
  <si>
    <t>Helmholtz Impulse Fond (HGF Young Investigators Group EcoTrace) [VH-NG-901]; Deutsche Forschungsgemeinschaft [TR 899/4-1]</t>
  </si>
  <si>
    <t>Helmholtz Impulse Fond (HGF Young Investigators Group EcoTrace); Deutsche Forschungsgemeinschaft(German Research Foundation (DFG))</t>
  </si>
  <si>
    <t>ST and FP were funded by the Helmholtz Impulse Fond (HGF Young Investigators Group EcoTrace, VH-NG-901). ST was funded by Deutsche Forschungsgemeinschaft (TR 899/4-1). The funders had no role in study design, data collection and analysis, decision to publish, or preparation of the manuscript.</t>
  </si>
  <si>
    <t>SEP 16</t>
  </si>
  <si>
    <t>e0221959</t>
  </si>
  <si>
    <t>10.1371/journal.pone.0221959</t>
  </si>
  <si>
    <t>LM4NC</t>
  </si>
  <si>
    <t>WOS:000532225700018</t>
  </si>
  <si>
    <t>Scafe, S</t>
  </si>
  <si>
    <t>Scafe, Suzanne</t>
  </si>
  <si>
    <t>Performing Ellen: Mojisola Adebayo's Moj of the Antarctic: An African Odyssey (2008) and Running a Thousand Miles for Freedom; Or, the Escape of William and Ellen Craft from Slavery (1860)</t>
  </si>
  <si>
    <t>JOURNAL OF COMMONWEALTH LITERATURE</t>
  </si>
  <si>
    <t>auto; biography; gender; Moj of the Antarctic; performance; race; slave narrative; William and Ellen Craft</t>
  </si>
  <si>
    <t>The subject of Mojisola Adebayo's one-woman performance, Moj of the Antarctic: An African Odyssey, is Ellen Craft, an ex-slave whose escape from the slave-owning state of Georgia to England in the late 1840s is recounted in the escape narrative Running a Thousand Miles for Freedom; Or the Escape of William and Ellen Craft from Slavery. Rather than using her performance to present her biographical subject with an interiority the original slave narrative scarcely offers her, Adebayo reconstitutes Ellen and relocates her in an auto/biographical work that self-consciously blurs the boundaries between autobiography, biography, and biofiction, thus exposing the overlap and interdependency of these textual forms. Through a detailed analysis of both texts and their contexts, this essay argues that Adebayo constructs a figurative, first person auto/biography of Ellen Craft, a call and response production, originating in an intimate, somatic engagement with the body of another, whose touch sets up a fluid process of identification. Her work performs a textual revision of the slave narrative genre and its rich, socio-cultural contexts. As a performed, auto/biographical reimagining of Ellen Craft's flight from slavery Moj of the Antarctic, like Running a Thousand Miles for Freedom, transgresses multiple borders and, in the process, subverts expectations of what constitutes an authentic self. It deconstructs conventionally defined categories of race, gender, and sexuality and radically extends the Crafts' own examination of the meaning of freedom.</t>
  </si>
  <si>
    <t>[Scafe, Suzanne] London South Bank Univ, 103 Borough Rd, London SE1 0AA, England</t>
  </si>
  <si>
    <t>London South Bank University</t>
  </si>
  <si>
    <t>Scafe, S (corresponding author), London South Bank Univ, 103 Borough Rd, London SE1 0AA, England.</t>
  </si>
  <si>
    <t>scafes@lsbu.ac.uk</t>
  </si>
  <si>
    <t>Scafe, Suzanne/0000-0003-4054-0522</t>
  </si>
  <si>
    <t>0021-9894</t>
  </si>
  <si>
    <t>1741-6442</t>
  </si>
  <si>
    <t>J COMMONW LIT</t>
  </si>
  <si>
    <t>J. Commonw. Lit.</t>
  </si>
  <si>
    <t>10.1177/0021989419848448</t>
  </si>
  <si>
    <t>Literature, African, Australian, Canadian</t>
  </si>
  <si>
    <t>Arts &amp; Humanities Citation Index (A&amp;HCI)</t>
  </si>
  <si>
    <t>Literature</t>
  </si>
  <si>
    <t>NC0XK</t>
  </si>
  <si>
    <t>WOS:000488437700001</t>
  </si>
  <si>
    <t>Husum, K; Howe, JA; Baltzer, A; Forwick, M; Jensen, M; Jernas, P; Korsun, S; Miettinen, A; Mohan, R; Morigi, C; Myhre, PI; Prins, MA; Skirbekk, K; Sternal, B; Boos, M; Dijkstra, N; Troelstra, S</t>
  </si>
  <si>
    <t>Husum, Katrine; Howe, John A.; Baltzer, Agnes; Forwick, Matthias; Jensen, Maria; Jernas, Patrycja; Korsun, Sergei; Miettinen, Arto; Mohan, Rahul; Morigi, Caterina; Myhre, Per Inge; Prins, Maarten A.; Skirbekk, Kari; Sternal, Beata; Boos, Michel; Dijkstra, Noortje; Troelstra, Simon</t>
  </si>
  <si>
    <t>The marine sedimentary environments of Kongsfjorden, Svalbard: an archive of polar environmental change</t>
  </si>
  <si>
    <t>fjord; environment; geology; climate; sediments; deglaciation</t>
  </si>
  <si>
    <t>WEICHSELIAN ICE-SHEET; ARCTIC FJORD; NORTH-ATLANTIC; TIDEWATER GLACIERS; WEST SPITSBERGEN; FRAM STRAIT; SEA; CLIMATE; DYNAMICS; WATER</t>
  </si>
  <si>
    <t>Kongsfjorden, a fjord in north-western Svalbard, is characterized by large environmental gradients driven by meltwater processes along the margins of tidewater glaciers and the inflow of relatively warm Atlantic Water, the main heat source for the European Arctic. These factors make Kongsfjorden a key area to investigate changes in the polar climate-ocean-glacier system and to examine the resulting effects on the marine environment. The aim of this paper is to synthesize knowledge about the marine sedimentary environment in Kongsfjorden since the last deglaciation. Fjords act as natural sedimentary traps, archiving information about past and present environmental conditions and changes. Geological studies of Kongsfjorden have demonstrated a good potential for reconstructing palaeoenvironments and establishing baselines values for the natural climate changes in the Arctic. Palaeoceanographic reconstructions reveal rising water temperatures similar to modern temperatures ca. 12 000 years ago. The extent of warm Atlantic Water entering the fjords influences processes at, and the stability of, the margins of the tidewater glaciers. Enhanced inflow may cause accelerated glacial melting that, in consequence, leads to an increase in the sediment flux from the glacial catchments into the fjord, as observed ca. 12 000 years ago and at present. However, responses of sediment flux to modern environmental changes remain poorly understood, hence long-term and monitoring studies are needed to quantify and model the effects of climate warming on the sedimentary environment of Kongsfjorden.</t>
  </si>
  <si>
    <t>[Husum, Katrine; Miettinen, Arto; Myhre, Per Inge] Norwegian Polar Res Inst, Tromso, Norway; [Howe, John A.] Scottish Assoc Marine Sci, Scottish Marine Inst, Oban, Argyll, Scotland; [Baltzer, Agnes] Univ Nantes, Nantes, France; [Forwick, Matthias; Jernas, Patrycja; Skirbekk, Kari; Sternal, Beata; Dijkstra, Noortje] UiT Arctic Univ Norway, Tromso, Norway; [Jensen, Maria] Univ Ctr Svalbard, Longyearbyen, Norway; [Jernas, Patrycja] Univ Gdansk, Inst Oceanog, Dept Marine Geol, Gdansk, Poland; [Korsun, Sergei] Russian Acad Sci, Shirshov Inst Oceanol, Moscow, Russia; [Mohan, Rahul] Natl Ctr Antarctic &amp; Ocean Res, Vasco Da Gama, Goa, India; [Morigi, Caterina] Pisa Univ, Dept Earth Sci, Pisa, Italy; [Morigi, Caterina] Geol Survey Denmark &amp; Greenland, Copenhagen, Denmark; [Prins, Maarten A.; Boos, Michel; Dijkstra, Noortje; Troelstra, Simon] Vrije Univ Amsterdam, Amsterdam, Netherlands; [Sternal, Beata] Adam Mickiewicz Univ, Poznan, Poland</t>
  </si>
  <si>
    <t>Norwegian Polar Institute; UHI Millennium Institute; Nantes Universite; UiT The Arctic University of Tromso; University Centre Svalbard (UNIS); Fahrenheit Universities; University of Gdansk; Russian Academy of Sciences; Shirshov Institute of Oceanology; Ministry of Earth Sciences (MoES) - India; National Centre for Polar and Ocean Research (NCPOR); University of Pisa; Geological Survey Of Denmark &amp; Greenland; Vrije Universiteit Amsterdam; Adam Mickiewicz University</t>
  </si>
  <si>
    <t>Husum, K (corresponding author), Norwegian Polar Res Inst, Fram Ctr, POB 6606 Langnes, NO-9296 Tromso, Norway.</t>
  </si>
  <si>
    <t>katrine.husum@npolar.no</t>
  </si>
  <si>
    <t>Husum, Katrine/HGD-4711-2022; Morigi, Caterina/B-3316-2012; Miettinen, Arto/AAG-2835-2019; Sternal, Beata/J-3584-2014; Korsun, Sergei/I-4613-2013; Miettinen, Arto/E-2458-2013</t>
  </si>
  <si>
    <t>Husum, Katrine/0000-0003-1380-5900; Morigi, Caterina/0000-0003-1340-9932; Sternal, Beata/0000-0003-0892-7583; Dijkstra Haugstvedt, Noortje/0000-0003-2596-7691; Jernas, Patrycja Ewa/0000-0002-9012-1804; Miettinen, Arto/0000-0003-4537-2556; Jensen, Maria Ansine/0000-0003-2711-3606</t>
  </si>
  <si>
    <t>Research Council of Norway; Svalbard Science Forum [246696/E10]</t>
  </si>
  <si>
    <t>Research Council of Norway(Research Council of Norway); Svalbard Science Forum</t>
  </si>
  <si>
    <t>The Research Council of Norway funded the workshop that led to this study, through the Svalbard Science Forum (project no. 246696/E10).</t>
  </si>
  <si>
    <t>10.33265/polar.v38.3380</t>
  </si>
  <si>
    <t>JA8EO</t>
  </si>
  <si>
    <t>WOS:000488083200001</t>
  </si>
  <si>
    <t>Gottschalk, J; Battaglia, G; Fischer, H; Frölicher, TL; Jaccard, SL; Jeltsch-Thömmes, A; Joos, F; Köhler, P; Meissner, KJ; Menviel, L; Nehrbass-Ahles, C; Schmitt, J; Schmittner, A; Skinner, LC; Stocker, TF</t>
  </si>
  <si>
    <t>Gottschalk, Julia; Battaglia, Gianna; Fischer, Hubertus; Frolicher, Thomas L.; Jaccard, Samuel L.; Jeltsch-Thommes, Aurich; Joos, Fortunat; Kohler, Peter; Meissner, Katrin J.; Menviel, Laurie; Nehrbass-Ahles, Christoph; Schmitt, Jochen; Schmittner, Andreas; Skinner, Luke C.; Stocker, Thomas F.</t>
  </si>
  <si>
    <t>Mechanisms of millennial-scale atmospheric CO2 change in numerical model simulations</t>
  </si>
  <si>
    <t>Palaeoclimate modelling; Carbon cycle; Atmospheric CO2 variations; Freshwater hosing; Southern-hemisphere westerlies; Sea ice; Dust</t>
  </si>
  <si>
    <t>LAST GLACIAL MAXIMUM; MERIDIONAL OVERTURNING CIRCULATION; ANTARCTIC SEA-ICE; ABRUPT CLIMATE-CHANGE; ATLANTIC DEEP-WATER; SOUTHERN-HEMISPHERE WESTERLIES; CARBON-CYCLE FEEDBACKS; EARTH SYSTEM MODELS; OCEAN-CIRCULATION; NORTH-ATLANTIC</t>
  </si>
  <si>
    <t>Numerical models are important tools for understanding the processes and feedbacks in the Earth system, including those involving changes in atmospheric CO2 (CO2,atm) concentrations. Here, we compile 55 published model studies (consisting of 778 individual simulations) that assess the impact of six forcing mechanisms on millennial-scale CO2,atm variations: changes in freshwater supply to the North Atlantic and Southern Ocean, the strength and position of the southern-hemisphere westerlies, Antarctic sea ice extent, and aeolian dust fluxes. We generally find agreement on the direction of simulated CO2,atm change across simulations, but the amplitude of change is inconsistent, primarily due to the different complexities of the model representation of Earth system processes. When freshwater is added to the North Atlantic, a reduced Atlantic Meridional Overturning Circulation (AMOC) is generally accompanied by an increase in Southern Ocean- and Pacific overturning, reduced Antarctic sea ice extent, spatially varying export production, and changes in carbon storage in the Atlantic (rising), in other ocean basins (generally decreasing) and on land (more varied). Positive or negative CO2,atm changes are simulated during AMOC minima due to a spatially and temporally varying dominance of individual terrestrial and oceanic drivers (and compensating effects between them) across the different models. In contrast, AMOC recoveries are often accompanied by rising CO2,atm levels, which are mostly driven by ocean carbon release (albeit from different regions). The magnitude of simulated CO2,atm rise broadly scales with the duration of the AMOC perturbation (i.e., the stadial length). When freshwater is added to the Southern Ocean, reduced deep-ocean ventilation drives a CO2,atm drop via reduced carbon release from the Southern Ocean. Although the impacts of shifted southern-hemisphere westerlies are inconsistent across model simulations, their intensification raises CO2,atm via enhanced Southern Ocean Ekman pumping. Increased supply of aeolian dust to the ocean, and thus iron fertilisation of marine productivity, consistently lowers modelled CO2,atm concentrations via more efficient nutrient utilisation. The magnitude of CO2,atm change in response to dust flux variations, however, largely depends on the complexity of models' marine ecosystem and iron cycle. This especially applies to simulations forced by Antarctic sea ice changes, in which the direction of simulated CO2,atm change varies greatly across model hierarchies. Our compilation highlights that no single (forcing) mechanism can explain observed past millennial-scale CO2,atm variability, and identifies important future needs in coupled carbon cycle-climate modelling to better understand the mechanisms governing CO2,atm changes in the past. (C) 2019 The Authors. Published by Elsevier Ltd.</t>
  </si>
  <si>
    <t>[Gottschalk, Julia; Jaccard, Samuel L.] Univ Bern, Inst Geol Sci, Bern, Switzerland; [Gottschalk, Julia; Jaccard, Samuel L.] Univ Bern, Oeschger Ctr Climate Change Res, Bern, Switzerland; [Gottschalk, Julia] Columbia Univ, Lamont Doherty Earth Observ, Palisades, NY 10964 USA; [Battaglia, Gianna; Fischer, Hubertus; Frolicher, Thomas L.; Jeltsch-Thommes, Aurich; Joos, Fortunat; Nehrbass-Ahles, Christoph; Schmitt, Jochen; Stocker, Thomas F.] Univ Bern, Inst Phys, Climate &amp; Environm Phys, Bern, Switzerland; [Kohler, Peter] Helmholtz Zentrum Polar &amp; Meeresforsch, Alfred Wegener Inst, Bremerhaven, Germany; [Meissner, Katrin J.; Menviel, Laurie] Univ New South Wales, Climate Change Res Ctr, Sydney, NSW, Australia; [Meissner, Katrin J.; Menviel, Laurie] ARC Ctr Excellence Climate Extremes, Sydney, NSW, Australia; [Nehrbass-Ahles, Christoph; Skinner, Luke C.] Univ Cambridge, Dept Earth Sci, Godwin Lab Palaeoclimate Res, Cambridge, England; [Schmittner, Andreas] Oregon State Univ, Coll Earth Ocean &amp; Atmospher Sci, Corvallis, OR 97331 USA</t>
  </si>
  <si>
    <t>University of Bern; University of Bern; Columbia University; University of Bern; Helmholtz Association; Alfred Wegener Institute, Helmholtz Centre for Polar &amp; Marine Research; University of New South Wales Sydney; University of Cambridge; Oregon State University</t>
  </si>
  <si>
    <t>Gottschalk, J (corresponding author), Columbia Univ, Lamont Doherty Earth Observ, Palisades, NY 10964 USA.</t>
  </si>
  <si>
    <t>jgottsch@ldeo.columbia.edu</t>
  </si>
  <si>
    <t>Fischer, Hubertus/A-1211-2014; Köhler, Peter/F-7293-2010; IPO, PAGES/JXY-7546-2024; Joos, Fortunat/B-4118-2018; Schmitt, Jochen/B-7893-2009; Froelicher, Thomas/AAG-9598-2019; Menviel, Laurie/D-6902-2013; Jaccard, Samuel/G-3447-2014</t>
  </si>
  <si>
    <t>Köhler, Peter/0000-0003-0904-8484; Joos, Fortunat/0000-0002-9483-6030; Schmitt, Jochen/0000-0003-4695-3029; Froelicher, Thomas/0000-0003-2348-7854; Menviel, Laurie/0000-0002-5068-1591; Gottschalk, Julia/0000-0002-0403-3059; Meissner, Katrin/0000-0002-0716-7415; Jaccard, Samuel/0000-0002-5793-0896; Jeltsch-Thommes, Aurich/0000-0002-2050-1975</t>
  </si>
  <si>
    <t>Deutsche Forschungsgemeinschaft [GO 2294/2-1]; Swiss National Science Foundation [200021_16300, 200020_172476, PP00P2_170687, PP00P2-144811, PP002_172915]; Australian Research Council [DP180100048, DP180102357, DE150100107]; US National Science Foundation's Marine Geology and Geophysics Program [1634719]; NERC [NE/J010545/1]; German Federal Ministry of Education and Research (BMBF); NERC [NE/J010545/1] Funding Source: UKRI; Directorate For Geosciences; Division Of Ocean Sciences [1634719] Funding Source: National Science Foundation</t>
  </si>
  <si>
    <t>Deutsche Forschungsgemeinschaft(German Research Foundation (DFG)); Swiss National Science Foundation(Swiss National Science Foundation (SNSF)); Australian Research Council(Australian Research Council); US National Science Foundation's Marine Geology and Geophysics Program; NERC(UK Research &amp; Innovation (UKRI)Natural Environment Research Council (NERC)); German Federal Ministry of Education and Research (BMBF)(Federal Ministry of Education &amp; Research (BMBF)); NERC(UK Research &amp; Innovation (UKRI)Natural Environment Research Council (NERC)); Directorate For Geosciences; Division Of Ocean Sciences(National Science Foundation (NSF)NSF - Directorate for Geosciences (GEO))</t>
  </si>
  <si>
    <t>J.G. acknowledges support from Deutsche Forschungsgemeinschaft (grant GO 2294/2-1). We are grateful for support from the Swiss National Science Foundation (J.G. and S.L.J.: grant 200021_16300; G.B., F.J., and A.J.-T.: grant 200020_172476; T.L.F.: PP00P2_170687; and grants PP00P2-144811 and PP002_172915). P.K.'s coauthorship is a contribution to the German Paleomodeling Research Project PALMOD, funded by the German Federal Ministry of Education and Research (BMBF). K.J.M. and L.M. are funded by the Australian Research Council (DP180100048, DP180102357 and DE150100107). A.S. acknowledges support from the US National Science Foundation's Marine Geology and Geophysics Program (grant 1634719). L.C.S. acknowledges the Royal Society, the Cambridge Isaac Newton Trust and NERC grant NE/J010545/1. We sincerely thank Willem Huiskamp, Nathaelle Bouttes, Axel Timmermann, Bob Anderson, Gisela Winckler, Katsumi Matsumoto, Ayako Abe-Ouchi and Jonathan Lauderdale for helpful discussions. This study benefited from discussions with attendees of meetings of the INQUA IPODS (Investigating Past Ocean Dynamics) and the PAGES (Past Global Changes) Ocean Circulation and Carbon Cycling (OC3) focus groups. We thank Timothy J. Horscroft and Henning A. Bauch for support throughout the writing of this contribution, two anonymous reviewers for constructive feedback on the manuscript, and Antje H. L Voelker for efficient editorial handling. Data presented in this study are available in the supplementary material.</t>
  </si>
  <si>
    <t>SEP 15</t>
  </si>
  <si>
    <t>10.1016/j.quascirev.2019.05.013</t>
  </si>
  <si>
    <t>JA1GO</t>
  </si>
  <si>
    <t>WOS:000487565700003</t>
  </si>
  <si>
    <t>Li, S; He, SP; Li, F; Wang, HJ</t>
  </si>
  <si>
    <t>Li, Shuo; He, Shengping; Li, Fei; Wang, Huijun</t>
  </si>
  <si>
    <t>Precursor in Arctic oscillation for the East Asian January temperature and its relationship with stationary planetary waves: Results from CMIP5 models</t>
  </si>
  <si>
    <t>AO; CMIP5; East Asian temperature; stationary planetary waves</t>
  </si>
  <si>
    <t>WINTER MONSOON; INTERANNUAL VARIABILITY; ANTARCTIC OSCILLATIONS; ATLANTIC OSCILLATION; CLIMATE; PREDICTABILITY; TELECONNECTION; STRATOSPHERE; CIRCULATION; EXTREMES</t>
  </si>
  <si>
    <t>The emerging precursor in December Arctic oscillation (AO) for the following January temperature over East Asia (T-EA) has been noticed by recent researches. This study evaluates the precursor in December AO for the following January T-EA using 35 climate models from the Coupled Model Intercomparison Project Phase 5. Results indicate that, 24 (multi-model ensemble mean; MME-GOOD) out of total 35 models reproduce the statistically significant positive correlation between the December AO and the January T-EA identified in the observation, but the remaining 11 models (MME-BAD) fail. Further, the investigation focuses on these models' simulations for the December AO-associated atmospheric circulation in January. Eighteen (MME-GOOD-18) out of the above 24 models reproduce the persistence of December AO-related atmospheric circulation, including the seesaw structure of the sea level pressure anomalies, the sweeping southerly 850-hPa wind anomalies over the East Asia-Northwest Pacific region, the weakening of the East Asian trough, and the weakened meridional shear of the East Asian jet stream in January following an enhanced December AO. It is found that the propagation of stationary planetary waves plays a crucial role in connecting the December AO and the January T-EA. Therefore, the models' ability to simulate the stratosphere-troposphere interaction is essential for the successful simulations on the persistence of December AO. Additionally, the future projections indicate that the precursor in December AO for the following January T-EA is still robust during the 21st century.</t>
  </si>
  <si>
    <t>[Li, Shuo; He, Shengping; Li, Fei; Wang, Huijun] Chinese Acad Sci, Inst Atmospher Phys, Nansen Zhu Int Res Ctr, Beijing 100029, Peoples R China; [Li, Shuo; Wang, Huijun] Chinese Acad Sci, Climate Change Res Ctr, Beijing, Peoples R China; [Li, Shuo] Univ Chinese Acad Sci, Coll Earth Sci, Beijing, Peoples R China; [He, Shengping] Univ Bergen, Inst Geophys, Bjerknes Ctr Climate Res, Bergen, Norway; [Li, Fei] NILU Norwegian Inst Air Res, Kjeller, Norway; [Wang, Huijun] Nanjing Univ Informat Sci &amp; Technol, Key Lab Meteorol Disaster, Collaborat Innovat Ctr Forecast &amp; Evaluat Meteoro, Minist Educ, Nanjing, Jiangsu, Peoples R China</t>
  </si>
  <si>
    <t>Chinese Academy of Sciences; Institute of Atmospheric Physics, CAS; Chinese Academy of Sciences; Chinese Academy of Sciences; University of Chinese Academy of Sciences, CAS; University of Bergen; Bjerknes Centre for Climate Research; NILU; Nanjing University of Information Science &amp; Technology</t>
  </si>
  <si>
    <t>Li, S (corresponding author), Chinese Acad Sci, Inst Atmospher Phys, Nansen Zhu Int Res Ctr, Beijing 100029, Peoples R China.</t>
  </si>
  <si>
    <t>lishuo2016@mail.iap.ac.cn</t>
  </si>
  <si>
    <t>Li, Fei/ABE-8179-2020; HE, Shengping/AAD-5213-2022; Li, Fei/ABN-0225-2022; Wang, Hui/HMU-9512-2023; He, Shengping/A-4084-2017; wang, hui/HSG-6135-2023</t>
  </si>
  <si>
    <t>Li, Fei/0000-0002-4301-8409; HE, Shengping/0000-0003-4245-357X; He, Shengping/0000-0003-4245-357X;</t>
  </si>
  <si>
    <t>National Key Research and Development Program of China [2016YFA0600703]; National Natural Science Foundation of China [41210007, 41505073, 41605059, 41875118]; Young Talent Support Plan launched by China Association for Science and Technology [2016QNRC001]</t>
  </si>
  <si>
    <t>National Key Research and Development Program of China; National Natural Science Foundation of China(National Natural Science Foundation of China (NSFC)); Young Talent Support Plan launched by China Association for Science and Technology</t>
  </si>
  <si>
    <t>National Key Research and Development Program of China, Grant/Award Number: 2016YFA0600703; National Natural Science Foundation of China, Grant/Award Numbers: 41210007, 41505073, 41605059, 41875118; Young Talent Support Plan launched by China Association for Science and Technology, Grant/Award Number: 2016QNRC001</t>
  </si>
  <si>
    <t>MAR 15</t>
  </si>
  <si>
    <t>10.1002/joc.6282</t>
  </si>
  <si>
    <t>KR3DE</t>
  </si>
  <si>
    <t>WOS:000486674900001</t>
  </si>
  <si>
    <t>Jiang, S; Shi, GT; Cole-Dal, J; Geng, L; Ferris, DG; An, CL; Li, YS</t>
  </si>
  <si>
    <t>Jiang, Su; Shi, Guitao; Cole-Dal, Jihong; Geng, Lei; Ferris, Dave G.; An, Chunlei; Li, Yuansheng</t>
  </si>
  <si>
    <t>Nitrate preservation in snow at Dome A, East Antarctica from ice core concentration and isotope records</t>
  </si>
  <si>
    <t>ATMOSPHERIC ENVIRONMENT</t>
  </si>
  <si>
    <t>Nitrate; Preservation; Isotopes; Ice core; Dome A</t>
  </si>
  <si>
    <t>ATMOSPHERIC NITRATE; EXPLOSIVE VOLCANISM; FORMATION PATHWAYS; REACTIVE NITROGEN; GREENLAND; CLIMATE; NOX; VARIABILITY; DEPOSITION; CHEMISTRY</t>
  </si>
  <si>
    <t>A shallow ice core from Dome A (DA2005 ice core), East Antarctica is used to investigate the preservation and variation of nitrate (NO3-) at a location with extremely low snow accumulation rate. The average NO3- concentration of 11.8 +/- 3.0 mu g kg(-1) in the last 2840 years covered by the top 100.42 m is the lowest in all Antarctic ice cores for this specific temporal frame. Isotopic composition of NO3- indicates that NO3- in the DA2005 core has experienced strong post-depositional processing most likely driven by photolytic chemistry, which results in the extremely low NO3- concentration. NO3- remaining at depth far below the surface is mainly cycled and produced locally. A decrease in NO3- concentration from AD 1250 to 1900 and a sustained NO3- dip in AD 1500-1900 below the long-term mean concentration may be linked with changes in primary NOx sources. In the DA2005 core, significant NO3- displacement is observed in layers containing volcanic sulphate; the degree of displacement is largely influenced by the volcanic signal magnitude, i.e., large volcanic signals lead to significant displacement, while small signals result in negligible displacement. In addition, it is found that snow accumulation rate could influence NO3- displacement by comparing DA2005 core and other Antarctic ice core records.</t>
  </si>
  <si>
    <t>[Jiang, Su; Shi, Guitao; An, Chunlei; Li, Yuansheng] Polar Res Inst China, Shanghai 200136, Peoples R China; [Shi, Guitao] East China Normal Univ, Sch Geog Sci, Key Lab Geog Informat Sci, Shanghai 200241, Peoples R China; [Shi, Guitao] East China Normal Univ, Inst Ecochongming, Shanghai 200241, Peoples R China; [Cole-Dal, Jihong] South Dakota State Univ, Avera Hlth &amp; Sci Ctr, Dept Chem &amp; Biochem, Box 2202, Brookings, SD 57007 USA; [Geng, Lei] Univ Sci &amp; Technol China, Sch Earth &amp; Space Sci, Anhui Prov Key Lab Polar Environm &amp; Global Change, Hefei 230026, Anhui, Peoples R China; [Ferris, Dave G.] Dartmouth Coll, Dept Earth Sci, Hanover, NH 03755 USA</t>
  </si>
  <si>
    <t>Polar Research Institute of China; East China Normal University; East China Normal University; South Dakota State University; Chinese Academy of Sciences; University of Science &amp; Technology of China, CAS; Dartmouth College</t>
  </si>
  <si>
    <t>Shi, GT (corresponding author), East China Normal Univ, Sch Geog Sci, Key Lab Geog Informat Sci, Shanghai 200241, Peoples R China.;Shi, GT (corresponding author), East China Normal Univ, Inst Ecochongming, Shanghai 200241, Peoples R China.</t>
  </si>
  <si>
    <t>gt_shi@163.com</t>
  </si>
  <si>
    <t>Cole-Dai, Jihong/B-2510-2009; geng, lei/KEZ-8801-2024; Geng, Lei/M-3418-2018</t>
  </si>
  <si>
    <t>Cole-Dai, Jihong/0000-0003-0921-5916; Jiang, Su/0000-0001-6712-7979; Shi, Guitao/0000-0003-1702-6322</t>
  </si>
  <si>
    <t>National Natural Science Foundation of China [41476169, 40906098, 41576190]; Natural Science Foundation of Shanghai, China [14ZR1444000]; US National Science Foundation [0839066]</t>
  </si>
  <si>
    <t>National Natural Science Foundation of China(National Natural Science Foundation of China (NSFC)); Natural Science Foundation of Shanghai, China(Natural Science Foundation of Shanghai); US National Science Foundation(National Science Foundation (NSF))</t>
  </si>
  <si>
    <t>Financial support was provided by the National Natural Science Foundation of China (41476169, 40906098, 41576190) and Natural Science Foundation of Shanghai, China (14ZR1444000). Ice core analysis at South Dakota State University was supported in part by the US National Science Foundation (0839066). We thank the stable isotope laboratory at University of Washington for providing technical support and assistance in analyzing the nitrate isotopic compositions in the DA2005 core. We thank all the members of the CHINARE 21 Inland Traverse (2004/05) for their contribution in collecting the ice core samples.</t>
  </si>
  <si>
    <t>1352-2310</t>
  </si>
  <si>
    <t>1873-2844</t>
  </si>
  <si>
    <t>ATMOS ENVIRON</t>
  </si>
  <si>
    <t>Atmos. Environ.</t>
  </si>
  <si>
    <t>10.1016/j.atmosenv.2019.06.031</t>
  </si>
  <si>
    <t>IW3HK</t>
  </si>
  <si>
    <t>WOS:000484870900037</t>
  </si>
  <si>
    <t>Denton, MH; Kivi, R; Ulich, T; Rodger, CJ; Clilverd, MA; Denton, JS; Lester, M</t>
  </si>
  <si>
    <t>Denton, M. H.; Kivi, R.; Ulich, T.; Rodger, C. J.; Clilverd, M. A.; Denton, J. S.; Lester, M.</t>
  </si>
  <si>
    <t>Observed response of stratospheric and mesospheric composition to sudden stratospheric warmings</t>
  </si>
  <si>
    <t>SOLAR PROTON EVENTS; ARCTIC OZONE LOSS; POLAR VORTEX; WINTER; NO2; THERMOSPHERE; TRANSPORT; O-3; DEPLETION; DYNAMICS</t>
  </si>
  <si>
    <t>In this study we investigate and quantify the statistical changes that occur in the stratosphere and mesosphere during 37 sudden stratospheric warming (SSW) events from 1989 to 2016. We consider changes in the in-situ ozonesonde observations of the stratosphere from four sites in the northern hemisphere (Ny-Alesund, Sodankyla, Lerwick, and Boulder). These data are supported by Aura/MLS satellite observations of the ozone volumetric mixing ratio above each site, and also ground-based total-column O-3 and NO2, and mesospheric wind measurements, measured at the Sodankyla site. Due to the long-time periods under consideration (weeks/months) we evaluate the observations explicitly in relation to the annual mean of each data set. Following the onset of SSWs we observe an increase in temperature above the mean (for sites usually within the polar vortex) that persists for &gt;similar to 40 days. During this time the stratospheric and mesospheric ozone (volume mixing ratio and partial pressure) increases by similar to 20% as observed by both ozonesonde and satellite instrumentation. Ground-based observations from Sodankyla demonstrate the total column NO2 does not change significantly during SSWs, remaining close to the annual mean. The zonal wind direction in the mesosphere at Sodankyla shows a clear reversal close to SSW onset. Our results have broad implications for understanding the statistical variability of atmospheric changes occurring due to SSWs and provides quantification of such changes for comparison with modelling studies.</t>
  </si>
  <si>
    <t>[Denton, M. H.] Space Sci Inst, Ctr Space Plasma Phys, Boulder, CO 80301 USA; [Denton, M. H.] New Mexico Consortium, Los Alamos, NM 87544 USA; [Kivi, R.] Finnish Meteorol Inst, Space &amp; Earth Observat Ctr, Sodankyla, Finland; [Ulich, T.] Sodankyla Geophys Observ, Sodankyla, Finland; [Rodger, C. J.] Univ Otago, Dept Phys, Dunedin, New Zealand; [Clilverd, M. A.] British Antarctic Survey NERC, Cambridge, England; [Denton, J. S.] Los Alamos Natl Lab, Nucl &amp; Radiochem C NR, Los Alamos, NM USA; [Lester, M.] Univ Leicester, Dept Phys &amp; Astron, Leicester, Leics, England</t>
  </si>
  <si>
    <t>Finnish Meteorological Institute; University of Otago; UK Research &amp; Innovation (UKRI); Natural Environment Research Council (NERC); NERC British Antarctic Survey; United States Department of Energy (DOE); Los Alamos National Laboratory; University of Leicester</t>
  </si>
  <si>
    <t>Denton, MH (corresponding author), Space Sci Inst, Ctr Space Plasma Phys, Boulder, CO 80301 USA.</t>
  </si>
  <si>
    <t>mdenton@spacescience.org; thomas.ulich@sgo.fi</t>
  </si>
  <si>
    <t>Lester, Mark/C-9657-2016; Rodger, Craig/A-1501-2011; Ulich, Thomas/G-3727-2018</t>
  </si>
  <si>
    <t>Ulich, Thomas/0000-0001-8217-022X; Rodger, Craig J./0000-0002-6770-2707</t>
  </si>
  <si>
    <t>NSF GEM program [1502947]; NASA Living With A Star [NNX16AB83G, NNX16AB75G, 80NSSC17K0682]; Academy of Finland [140408]; EU Project GAIA-CLIM; ESA's Climate Change Initiative programme; Ozone_cci sub-project; NERC [bas0100031] Funding Source: UKRI; STFC [ST/N000749/1] Funding Source: UKRI; Academy of Finland (AKA) [140408] Funding Source: Academy of Finland (AKA); NASA [907807, NNX16AB75G, 907756, NNX16AB83G] Funding Source: Federal RePORTER; Div Atmospheric &amp; Geospace Sciences; Directorate For Geosciences [1502947] Funding Source: National Science Foundation</t>
  </si>
  <si>
    <t>NSF GEM program(National Science Foundation (NSF)NSF - Directorate for Engineering (ENG)); NASA Living With A Star(National Aeronautics &amp; Space Administration (NASA)); Academy of Finland(Research Council of Finland); EU Project GAIA-CLIM; ESA's Climate Change Initiative programme; Ozone_cci sub-project; NERC(UK Research &amp; Innovation (UKRI)Natural Environment Research Council (NERC)); STFC(UK Research &amp; Innovation (UKRI)Science &amp; Technology Facilities Council (STFC)); Academy of Finland (AKA); NASA(National Aeronautics &amp; Space Administration (NASA)); Div Atmospheric &amp; Geospace Sciences; Directorate For Geosciences(National Science Foundation (NSF)NSF - Directorate for Geosciences (GEO))</t>
  </si>
  <si>
    <t>MHD is supported by NSF GEM program award number 1502947 and NASA Living With A Star grants NNX16AB83G, NNX16AB75G and 80NSSC17K0682. Research at FMI was supported by the Academy of Finland (grant number 140408); an EU Project GAIA-CLIM; the ESA's Climate Change Initiative programme and the Ozone_cci sub-project in particular. We thank NASA and NSSDC for the Earth images used in Figs. 1 and 2,. MHD wishes to thank Niel Malan for wise words and especially thank all at the FMI Arctic Research Centre, the Sodankyla Geophysical Observatory, and the SSC for their hospitality during his visit to Sodankyla in the spring of 2018.</t>
  </si>
  <si>
    <t>10.1016/j.jastp.2019.06.001</t>
  </si>
  <si>
    <t>IP9NF</t>
  </si>
  <si>
    <t>WOS:000480376200002</t>
  </si>
  <si>
    <t>Yue, YC; Ye, T</t>
  </si>
  <si>
    <t>Yue, Yingchun; Ye, Tao</t>
  </si>
  <si>
    <t>Predicting precipitable water vapor by using ANN from GPS ZTD data at Antarctic Zhongshan Station</t>
  </si>
  <si>
    <t>Artificial neural network; PWV; Genetic algorithm; Time series prediction; Antarctic Zhongshan Station</t>
  </si>
  <si>
    <t>METEOROLOGY; NETWORKS</t>
  </si>
  <si>
    <t>Precipitation plays an important role in human activities, and accurate prediction of precipitation is expected to make the arrangements accordingly, especially in Antarctic area with complicated weather conditions. Since directly forecasting precipitation usually requires a lot of meteorological data, which is difficult to be collected in Antarctic area, the precipitation is usually predicted indirectly by using precipitable water vapor (PWV). The PWV can be calculated by Hopfield model using GPS zenith tropospheric delay (LID) data if only the temperature and pressure data is available. In this paper, we adopt the artificial neural network (ANN) with genetic algorithm (GA) to predict the PWV of the Zhongshan Station in 6 and 12 h by four different input schemes, including ZTD, LTD with real-time meteorological data, PWV, and intrinsic mode functions (IMFs) of PWV. The predicted results show that the worst prediction is got by using ZTD sequences with the correlation coefficient of about 0.50. The results of using ZTD with real-time meteorological data and PWV have approximate correlation coefficient of about 0.80. The best prediction is obtained by using IMFs of PWV sequences to predict 6 h PWV with the correlation coefficient of 0.95.</t>
  </si>
  <si>
    <t>[Yue, Yingchun; Ye, Tao] China Univ Geosci, Fac Informat Engn, Wuhan 430074, Hubei, Peoples R China</t>
  </si>
  <si>
    <t>China University of Geosciences</t>
  </si>
  <si>
    <t>Ye, T (corresponding author), China Univ Geosci, Fac Informat Engn, Wuhan 430074, Hubei, Peoples R China.</t>
  </si>
  <si>
    <t>843375677@cug.edu.cn</t>
  </si>
  <si>
    <t>10.1016/j.jastp.2019.105059</t>
  </si>
  <si>
    <t>WOS:000480376200010</t>
  </si>
  <si>
    <t>O'Donnell, JP; Stuart, GW; Brisbourne, AM; Selway, K; Yang, Y; Nield, GA; Whitehouse, PL; Nyblade, AA; Wiens, DA; Aster, RC; Anandakrishnan, S; Huerta, AD; Wilson, T; Winberry, JP</t>
  </si>
  <si>
    <t>O'Donnell, J. P.; Stuart, G. W.; Brisbourne, A. M.; Selway, K.; Yang, Y.; Nield, G. A.; Whitehouse, P. L.; Nyblade, A. A.; Wiens, D. A.; Aster, R. C.; Anandakrishnan, S.; Huerta, A. D.; Wilson, T.; Winberry, J. P.</t>
  </si>
  <si>
    <t>The uppermost mantle seismic velocity structure of West Antarctica from Rayleigh wave tomography: Insights into tectonic structure and geothermal heat flow</t>
  </si>
  <si>
    <t>Antarctica; seismology; tectonics; lithosphere; mantle; heat flow</t>
  </si>
  <si>
    <t>MARIE-BYRD-LAND; AMUNDSEN SEA EMBAYMENT; TRANSANTARCTIC MOUNTAINS; ICE-SHEET; STRUCTURE BENEATH; RIFT SYSTEM; CRUSTAL; SURFACE; MODEL; LITHOSPHERE</t>
  </si>
  <si>
    <t>We present a shear wave model of the West Antarctic upper mantle to similar to 200 km depth with enhanced regional resolution from the 2016-2018 UK Antarctic Seismic Network. The model is constructed from the combination of fundamental mode Rayleigh wave phase velocities extracted from ambient noise (periods 8-25 s) and earthquake data by two-plane wave analysis (periods 20-143 s). We seek to (i) image and interpret structures against the tectonic evolution of West Antarctica, and (ii) extract information from the seismic model that can serve as boundary conditions in ice sheet and glacial isostatic adjustment modelling efforts. The distribution of low velocity anomalies in the uppermost mantle suggests that recent tectonism in the West Antarctic Rift System (WARS) is mainly concentrated beneath the rift margins and largely confined to the uppermost mantle (&lt;180 km). On the northern margin of the WARS, a pronounced low velocity anomaly extends eastward from beneath the Marie Byrd Land dome toward Pine Island Bay, underlying Thwaites Glacier, but not Pine Island Glacier. If of plume-related thermal origin, the velocity contrast of similar to 5% between this anomaly and the inner WARS translates to a temperature difference of similar to 125-200 degrees C. However, the strike of the anomaly parallels the paleo-Pacific convergent margin of Gondwana, so it may reflect subduction-related melt and volatiles rather than anomalously elevated temperatures, or a combination thereof. Motivated by xenolith analyses, we speculate that high velocity zones imaged south of the Marie Byrd Land dome and in the eastern Ross Sea Embayment might reflect the compositional signature of ancient continental fragments. A pronounced low velocity anomaly underlying the southern Transantarctic Mountains (TAM) is consistent with a published lithospheric foundering hypothesis. Taken together with a magnetotelluric study advocating flexural support of the central TAM by thick, stable lithosphere, this points to along-strike variation in the tectonic history of the TAM. A high velocity anomaly located in the southern Weddell Sea Rift System might reflect depleted mantle lithosphere following the extraction of voluminous melt related to Gondwana fragmentation. Lithospheric thickness estimates extracted from 1D shear wave velocity profiles representative of tectonic domains in West Antarctica indicate an average lithospheric thickness of similar to 85 km for the WARS, Marie Byrd Land, and Thurston Island block. This increases to similar to 96km in the Ellsworth Mountains. A surface heat flow of similar to 60 mW/m(2) and attendant geotherm best explains lithospheric mantle shear wave velocities in the central WARS and in the Thurston Island block adjacent to Pine Island Glacier; a similar to 50 mW/m(2) geotherm best explains the velocities in the Ellsworth Mountains, and a similar to 60 mW/m(2) geotherm best explains a less well-constrained velocity profile on the southern Antarctic Peninsula. We emphasise that these are regional average (many hundreds of km) heat flow estimates constrained by seismic data with limited sensitivity to upper crustal composition. (C) 2019 Elsevier B.V. All rights reserved.</t>
  </si>
  <si>
    <t>[O'Donnell, J. P.; Stuart, G. W.] Univ Leeds, Sch Earth &amp; Environm, Leeds LS2 9JT, W Yorkshire, England; [Brisbourne, A. M.] British Antarctic Survey, Nat Environm Res Council, Cambridge CB3 0ET, England; [Selway, K.; Yang, Y.] Macquarie Univ, Dept Earth &amp; Planetary Sci, N Ryde, NSW 2109, Australia; [Nield, G. A.; Whitehouse, P. L.] Univ Durham, Dept Geog, South Rd, Durham DH1 3LE, England; [Nyblade, A. A.; Anandakrishnan, S.] Penn State Univ, Dept Geosci, University Pk, PA 16802 USA; [Wiens, D. A.] Washington Univ, Dept Earth &amp; Planetary Sci, St Louis, MO 63160 USA; [Aster, R. C.] Colorado State Univ, Dept Geosci, Ft Collins, CO 80523 USA; [Huerta, A. D.; Winberry, J. P.] Cent Washington Univ, Dept Geol Sci, Ellensburg, WA 98926 USA; [Wilson, T.] Ohio State Univ, Sch Earth Sci, Columbus, OH 43210 USA</t>
  </si>
  <si>
    <t>O'Donnell, JP (corresponding author), Univ Leeds, Sch Earth &amp; Environm, Leeds LS2 9JT, W Yorkshire, England.</t>
  </si>
  <si>
    <t>Winberry, Paul/HLQ-2673-2023; Huerta, Audrey D/A-8680-2009; Facility, NERC Geophysical Equipment/G-5260-2010; Brisbourne, Alex/E-6198-2013; Aster, Richard/E-5067-2013; Yang, Yingjie/L-4951-2015; Anandakrishnan, Sridhar/JCN-5026-2023; Nield, Grace/I-8366-2012; Wiens, Douglas/J-9259-2016</t>
  </si>
  <si>
    <t>Winberry, Paul/0000-0003-1205-0745; Aster, Richard/0000-0002-0821-4906; Yang, Yingjie/0000-0002-1105-3824; Selway, Kate/0000-0001-5752-7717; Nield, Grace/0000-0002-3897-7904; Huerta, Audrey/0000-0002-0252-8496; Wiens, Douglas/0000-0002-5169-4386; O'Donnell, John Paul/0000-0003-1524-2312</t>
  </si>
  <si>
    <t>Natural Environment Research Council [NE/L006065/1, NE/L006294/1, NE/K009958/1]; Australia Research Council [F150100541]; National Science Foundation Office of Polar Programs [0632230, 0632239, 0652322, 0632335, 0632136, 0632209, 0632185]; SEIS-UK; Incorporated Research Institutions for Seismology (IRIS) through the PASSCAL Instrument Center; National Science Foundation [EAR-1063471]; NSF Office of Polar Programs; DOE National Nuclear Security Administration; Natural Environment Research Council [NE/L006294/1] Funding Source: researchfish; Office of Polar Programs (OPP); Directorate For Geosciences [0632185] Funding Source: National Science Foundation; Office of Polar Programs (OPP); Directorate For Geosciences [0632335, 0632136] Funding Source: National Science Foundation; NERC [bas0100034, NE/L006294/1, NE/L006065/1] Funding Source: UKRI</t>
  </si>
  <si>
    <t>Natural Environment Research Council(UK Research &amp; Innovation (UKRI)Natural Environment Research Council (NERC)); Australia Research Council(Australian Research Council); National Science Foundation Office of Polar Programs(National Science Foundation (NSF)NSF - Directorate for Geosciences (GEO)); SEIS-UK; Incorporated Research Institutions for Seismology (IRIS) through the PASSCAL Instrument Center; National Science Foundation(National Science Foundation (NSF)); NSF Office of Polar Programs(National Science Foundation (NSF)); DOE National Nuclear Security Administration(National Nuclear Security AdministrationUnited States Department of Energy (DOE)); Natural Environment Research Council(UK Research &amp; Innovation (UKRI)Natural Environment Research Council (NERC)); Office of Polar Programs (OPP); Directorate For Geosciences(National Science Foundation (NSF)NSF - Directorate for Geosciences (GEO)); Office of Polar Programs (OPP); Directorate For Geosciences(National Science Foundation (NSF)NSF - Directorate for Geosciences (GEO)); NERC(UK Research &amp; Innovation (UKRI)Natural Environment Research Council (NERC))</t>
  </si>
  <si>
    <t>We thank all BAS camp staff, field guides and air unit personnel for the logistical support of the UKANET seismic and GNSS networks. We similarly acknowledge all field teams and camp staff associated with the POLENET-ANET project, and thank Kenn Borek Air and the New York Air Guard for flight support. JPOD, GAN and PLW are supported by the Natural Environment Research Council [grants NE/L006065/1, NE/L006294/1 and NE/K009958/1], KS is supported by the Australia Research Council [grant F150100541]. POLENET-ANET is supported by the National Science Foundation Office of Polar Programs [grants 0632230, 0632239, 0652322, 0632335, 0632136, 0632209, and 0632185]. UKANET seismic instrumentation was provided and supported by SEIS-UK. POLENET-ANET seismic instrumentation was provided and supported by the Incorporated Research Institutions for Seismology (IRIS) through the PASSCAL Instrument Center. The UKANET (www.ukanetwixsite.com/ukanet; network code 1D; https://doi.org/10.7914/SN/1D_2016) data will be accessible through the IRIS Data Management Center (http://www.iris.edu/mda) from January 2021. POLENET-ANET (network code YT), ASAIN (network code AI), GSN (network code IU) and SEPA (network code XB) seismic data can be accessed through the IRIS DMC. The facilities of the IRIS Consortium are supported by the National Science Foundation under cooperative agreement EAR-1063471, the NSF Office of Polar Programs, and the DOE National Nuclear Security Administration. Figures were created using the Generic Mapping Tools (GMT) software (http://gmt.soest.hawaii.edu).The phase and shear wave velocity models developed here can be accessed at the UK Polar Data Centre (https://doi.org/10.5285/c11bdb27-df44-4b56-8f4c-afc51b6e1e3a and https://doi.org/10.5285/b5ffac8a-9846-4f86-9a71-3ce992a18148).We thank Jolante van Wijk and an anonymous reviewer for helpful reviews.</t>
  </si>
  <si>
    <t>10.1016/j.epsl.2019.06.024</t>
  </si>
  <si>
    <t>IN5IK</t>
  </si>
  <si>
    <t>WOS:000478708900023</t>
  </si>
  <si>
    <t>Yokoyama, Y; Yamane, M; Nakamura, A; Miyairi, Y; Horiuchi, K; Aze, T; Matsuzaki, H; Shirahama, Y; Ando, Y</t>
  </si>
  <si>
    <t>Yokoyama, Yusuke; Yamane, Masako; Nakamura, Atsunori; Miyairi, Yosuke; Horiuchi, Kazuho; Aze, Takahiro; Matsuzaki, Hiroyuki; Shirahama, Yoshiki; Ando, Yuka</t>
  </si>
  <si>
    <t>In-situ and meteoric 10Be and 26Al measurements: Improved preparation and application at the University of Tokyo</t>
  </si>
  <si>
    <t>Cosmogenic nuclides; Chemical preparation</t>
  </si>
  <si>
    <t>COSMOGENIC BE-10; EROSION RATES; LONAR CRATER; HISTORY; ICE; SURFACES; RECORD; AGE</t>
  </si>
  <si>
    <t>Cosmogenic radionuclides have been widely used to decipher Earth surface processes. At the University of Tokyo Accelerator Mass Spectrometry facility (5 MV Tandem accelerator), we have been measuring both in-situ and meteoric cosmogenic Be-10 and Al-26. In this paper, we report some development of methodology, including how to prepare target samples chemically to reduce their background. We then introduce some examples using the method to provide further insights into earth surface processes. These studies include: i) exposure dating to identify the growths and decays of the Antarctic ice sheet, ii) understanding ice shelf collapse history, iii) paleomagnetic excursion history reconstructions using ice cores, iv) understanding the erosion rates using depth profiles of mid latitude outcrops, v) identifying the timing of impact crater formation.</t>
  </si>
  <si>
    <t>[Yokoyama, Yusuke; Yamane, Masako; Miyairi, Yosuke; Aze, Takahiro; Ando, Yuka] Univ Tokyo, Atmosphere &amp; Ocean Res Inst, 5-1-5 Kashiwanoha, Kashiwa, Chiba 2778564, Japan; [Yokoyama, Yusuke] Univ Tokyo, Grad Sch Sci, Dept Earth &amp; Planetary Sci, Bunkyo Ku, 7-3-1 Hongo, Tokyo 1130033, Japan; [Yokoyama, Yusuke] Japan Agcy Marine Earth Sci &amp; Technol, Dept Biogeochem, Natsushima 2-15, Yokosuka, Kanagawa 2370061, Japan; [Nakamura, Atsunori; Shirahama, Yoshiki] Natl Inst Adv Ind Sci &amp; Technol, Geol Survey Japan, Tsukuba Cent 7, 1-1-1 Higashi, Tsukuba, Ibaraki 3058567, Japan; [Horiuchi, Kazuho] Hirosaki Univ, Grad Sch Sci &amp; Technol, Hirosaki, Aomori, Japan; [Matsuzaki, Hiroyuki] Univ Tokyo, Micro Anal Lab, Tandem Accelerator MALT, Tokyo, Japan</t>
  </si>
  <si>
    <t>University of Tokyo; University of Tokyo; Japan Agency for Marine-Earth Science &amp; Technology (JAMSTEC); National Institute of Advanced Industrial Science &amp; Technology (AIST); Hirosaki University; University of Tokyo</t>
  </si>
  <si>
    <t>Yokoyama, Y (corresponding author), Univ Tokyo, Atmosphere &amp; Ocean Res Inst, 5-1-5 Kashiwanoha, Kashiwa, Chiba 2778564, Japan.</t>
  </si>
  <si>
    <t>yokoyama@aori.u-tokyo.ac.jp; yamane@aori.u-tokyo.ac.jp; nakamura-a@aist.go.jp; miyairi@aori.u-tokyo.ac.jp; kh@hirosaki-u.ac.jp; aze@aori.u-tokyo.ac.jp; hmatsu@um.u-tokyo.ac.jp; y.shirahama@aist.go.jp; ando-yu@aori.u-tokyo.ac.jp</t>
  </si>
  <si>
    <t>Shirahama, Yoshiki/M-1032-2018; Nakamura, Atsunori/X-2865-2019</t>
  </si>
  <si>
    <t>Nakamura, Atsunori/0000-0002-7322-8976; Yamane, Masako/0000-0002-5063-0719; Yokoyama, Yusuke/0000-0001-7869-5891; Horiuchi, Kazuho/0000-0003-3185-8766</t>
  </si>
  <si>
    <t>Japan Society for the Promotion of Science (JSPS) KAKENHI [15KK0151, 17H01168]</t>
  </si>
  <si>
    <t>Japan Society for the Promotion of Science (JSPS) KAKENHI(Ministry of Education, Culture, Sports, Science and Technology, Japan (MEXT)Japan Society for the Promotion of ScienceGrants-in-Aid for Scientific Research (KAKENHI))</t>
  </si>
  <si>
    <t>This work was supported by a grant from the Japan Society for the Promotion of Science (JSPS) KAKENHI (15KK0151, 17H01168). Adam Sproson is thanked to proof read the manuscript.</t>
  </si>
  <si>
    <t>10.1016/j.nimb.2019.01.026</t>
  </si>
  <si>
    <t>IM1XZ</t>
  </si>
  <si>
    <t>WOS:000477786500042</t>
  </si>
  <si>
    <t>Hausmann, A; Toivonen, T; Fink, C; Heikinheimo, V; Tenkanen, H; Butchart, SHM; Brooks, TM; Di Minin, E</t>
  </si>
  <si>
    <t>Hausmann, Anna; Toivonen, Tuuli; Fink, Christoph; Heikinheimo, Vuokko; Tenkanen, Henrikki; Butchart, Stuart H. M.; Brooks, Thomas M.; Di Minin, Enrico</t>
  </si>
  <si>
    <t>Assessing global popularity and threats to Important Bird and Biodiversity Areas using social media data</t>
  </si>
  <si>
    <t>Social media; Biodiversity; Big data; Ecotourism; IBAs; Threat</t>
  </si>
  <si>
    <t>CONSERVATION; INDICATOR; TOURISM</t>
  </si>
  <si>
    <t>Understanding worldwide patterns of human use of sites of international significance for biodiversity conservation is crucial for meeting global conservation targets. However, robust global datasets are scarce. In this study, we used social media data, mined from Flickr and Twitter, geolocated in Important Bird and Biodiversity Areas (IBAs) to assess i) patterns of popularity; ii) relationships of this popularitywith geographical and biological variables; and iii) identify sites under high pressure fromvisitors. IBAs located in Europe and Asia, and in temperate biomes, had the highest density of users. Sites of importance for congregatory species, which were also more accessible, more densely populated and provided more tourism facilities, received higher visitation than did sites richer in bird species. Wefound 17% of all IBAs assessed to be under very high threat also received high visitation. Our results showinwhich IBAs enhancedmonitoring should be implemented to reduce potential visitation risks to sites of conservation concern for birds, and to harness the potential benefits of tourism for conservation. (C) 2019 The Authors. Published by Elsevier B.V.</t>
  </si>
  <si>
    <t>[Hausmann, Anna; Toivonen, Tuuli; Fink, Christoph; Heikinheimo, Vuokko; Tenkanen, Henrikki; Di Minin, Enrico] Univ Helsinki, Dept Geosci &amp; Geog, FI-00014 Helsinki, Finland; [Hausmann, Anna; Toivonen, Tuuli; Fink, Christoph; Heikinheimo, Vuokko; Tenkanen, Henrikki; Di Minin, Enrico] Univ Helsinki, Helsinki Inst Sustainabil Sci HEISUS, FI-00014 Helsinki, Finland; [Butchart, Stuart H. M.] BirdLife Int, David Atienborough Bldg Pembroke St, Cambridge CB2 3QZ, England; [Butchart, Stuart H. M.] Univ Cambridge, Dept Zool, Downing St, Cambridge CB2 3EJ, England; [Brooks, Thomas M.] Int Union Conservat Nat, 28 Rue Mauverney, CH-1196 Gland, Switzerland; [Brooks, Thomas M.] Univ Philippines Los Banos, World Agroforestry Ctr ICRAF, Laguna 4031, Philippines; [Brooks, Thomas M.] Univ Tasmania, Inst Marine &amp; Antarctic Studies, Hobart, Tas 7001, Australia; [Di Minin, Enrico] Univ Kwazulu Natal, Sch Life Sci, Durban, South Africa</t>
  </si>
  <si>
    <t>University of Helsinki; University of Helsinki; BirdLife International; University of Cambridge; University of the Philippines System; University of the Philippines Los Banos; CGIAR; World Agroforestry (ICRAF); University of Tasmania; University of Kwazulu Natal</t>
  </si>
  <si>
    <t>Hausmann, A (corresponding author), Univ Helsinki, Dept Geosci &amp; Geog, FI-00014 Helsinki, Finland.;Hausmann, A (corresponding author), Univ Helsinki, Helsinki Inst Sustainabil Sci HEISUS, FI-00014 Helsinki, Finland.</t>
  </si>
  <si>
    <t>anna.hausmann@helsinki.fi</t>
  </si>
  <si>
    <t>Fink, Christoph/AEX-0106-2022; Butchart, Stuart/AAJ-1852-2021; Di Minin, Enrico/J-6904-2013</t>
  </si>
  <si>
    <t>Fink, Christoph/0000-0003-1251-9726; Butchart, Stuart/0000-0002-1140-4049; Tenkanen, Henrikki/0000-0002-0918-4710; Toivonen, Tuuli/0000-0002-6625-4922; Heikinheimo, Vuokko/0000-0001-5119-0957; Hausmann, Anna/0000-0002-9639-9532; Di Minin, Enrico/0000-0002-5562-318X</t>
  </si>
  <si>
    <t>KONE Foundation; Helsinki Institute of Sustainability Science (HELSUS); University of Helsinki; Helsinki-Metropolitan Region Urban Research Program (KATUMETRO); DENVI doctoral school; Academy of Finland [296524]; HELSUS</t>
  </si>
  <si>
    <t>KONE Foundation; Helsinki Institute of Sustainability Science (HELSUS); University of Helsinki; Helsinki-Metropolitan Region Urban Research Program (KATUMETRO); DENVI doctoral school; Academy of Finland(Research Council of Finland); HELSUS</t>
  </si>
  <si>
    <t>A.H. was supported by KONE Foundation and Helsinki Institute of Sustainability Science (HELSUS). V.H. thanks KONE Foundation for support. C.F. thanks the University of Helsinki for support. H.T. thanks Helsinki-Metropolitan Region Urban Research Program (KATUMETRO) and DENVI doctoral school for support. E.D.M. thanks the Academy of Finland 2016-2019, Grant 296524, HELSUS, and the University of Helsinki for support. We are thankful for CSC - IT Center for Science Ltd. and oGIIR infrastructure for computational services.</t>
  </si>
  <si>
    <t>10.1016/j.scitotenv.2019.05.268</t>
  </si>
  <si>
    <t>ID4PA</t>
  </si>
  <si>
    <t>WOS:000471657600063</t>
  </si>
  <si>
    <t>Huai, BJ; Wang, YT; Ding, MH; Zhang, JL; Dong, X</t>
  </si>
  <si>
    <t>Huai, Baojuan; Wang, Yetang; Ding, Minghu; Zhang, Junlong; Dong, Xu</t>
  </si>
  <si>
    <t>An assessment of recent global atmospheric reanalyses for Antarctic near surface air temperature</t>
  </si>
  <si>
    <t>Antarctic Ice Sheet; Reanalysis estimate; Air temperature; In-situ observations</t>
  </si>
  <si>
    <t>ICE-SHEET; TRENDS; MODEL</t>
  </si>
  <si>
    <t>The quality-controlled monthly air temperature records from 32 manned stations and 10 automatic weather stations are used to assess the performance of Climate Forecast System Reanalysis (CFSR), the ECMWF Interim reanalysis (ERA-Interim), the Japan Meteorological Agency 55-year Reanalysis (JRA-55), the Modern-Era Retrospective Analysis for Research and Applications 2 (MERRA-2), and four twentieth century reanalysis data sets (20CR, ERA-20C, CERA-20C and ERA-20CM). The performance of the datasets for Antarctic air temperature differs on different time scales and with glaciological regime. In general, these datasets have higher mean absolute error (MAE) in the winter months and lower MAE in the summer months. Overall, MERRA-2 presents highest performance for monthly air temperature values, with MAE &lt; 2 degrees C at any month. ERA-Interim best represents the inter-annual variability in monthly air temperature for the 1979-2010 period. In the 20th century datasets, changes in temperature prior to 1979 are more uncertain than variability after 1979. Furthermore, substantial inhomogeneities occur in the 20th century datasets, and as a result, their temperature trends are found to be largely spurious.</t>
  </si>
  <si>
    <t>[Huai, Baojuan; Wang, Yetang; Zhang, Junlong; Dong, Xu] Shandong Normal Univ, Coll Geog &amp; Environm, Jinan 250014, Shandong, Peoples R China; [Ding, Minghu] Chinese Acad Meteorol Sci, Inst Climate Syst, Beijing, Peoples R China</t>
  </si>
  <si>
    <t>Shandong Normal University; China Meteorological Administration; Chinese Academy of Meteorological Sciences (CAMS)</t>
  </si>
  <si>
    <t>yetangwang@sdnu.edu.cn</t>
  </si>
  <si>
    <t>Zhang, Junlong/IUP-9306-2023; Ding, Minghu/AFU-3600-2022</t>
  </si>
  <si>
    <t>Ding, Minghu/0000-0002-1142-6598</t>
  </si>
  <si>
    <t>National Natural Science Foundation of China [41576182]; Strategic Priority Research Program of the Chinese Academy of Sciences [XAD19070103]; Outstanding Youth Fund of Shandong Provincial Universities [ZR2016JL030]</t>
  </si>
  <si>
    <t>Funding this work was the National Natural Science Foundation of China (41576182), the Strategic Priority Research Program of the Chinese Academy of Sciences (XAD19070103), and the Outstanding Youth Fund of Shandong Provincial Universities (ZR2016JL030). We are also grateful to the ECMWF Data Center for providing CERA20C, ERA20C, ERA20CM and ERA-Interim data sets, NOAA's Earth System Research Lab for providing 20CR data set, and NCAR's Research Data Archive for providing JRA-55, CFSR, and NASA for providing MERAA-2.</t>
  </si>
  <si>
    <t>10.1016/j.atmosres.2019.04.029</t>
  </si>
  <si>
    <t>IA9VD</t>
  </si>
  <si>
    <t>WOS:000469904100014</t>
  </si>
  <si>
    <t>Delmonte, B; Winton, H; Baroni, M; Baccolo, G; Hansson, M; Andersson, P; Baroni, C; Salvatore, MC; Lanci, L; Maggi, V</t>
  </si>
  <si>
    <t>Delmonte, Barbara; Winton, Holly; Baroni, Melanie; Baccolo, Giovanni; Hansson, Margareta; Andersson, Per; Baroni, Carlo; Salvatore, Maria Cristina; Lanci, Luca; Maggi, Valter</t>
  </si>
  <si>
    <t>Holocene dust in East Antarctica: Provenance and variability in time and space</t>
  </si>
  <si>
    <t>dust; dust stratigraphy; East Antarctica; Holocene; ice cores; provenance</t>
  </si>
  <si>
    <t>DRONNING-MAUD LAND; NORTHERN VICTORIA-LAND; ICE-CORE DUST; BUNGER-HILLS; DOME-C; AEOLIAN DUST; ROSS-SEA; ATMOSPHERIC CIRCULATION; MINERAL DUST; TALOS DOME</t>
  </si>
  <si>
    <t>In this paper, we provide a comprehensive overview of the state-of-knowledge of dust flux and variability in time and space in different sectors of East Antarctica during the Holocene. By integrating the literature data with new evidences, we discuss the dust flux and grain-size variability during the current interglacial and its provenance in the innermost part of the East Antarctic plateau as well as in peripheral regions located close to the Transantarctic Mountains. The local importance of aeolian mineral dust aerosol deflated from low-elevation areas of peripheral East Antarctica is also discussed in the light of new data from several coastal, low-elevation sites.</t>
  </si>
  <si>
    <t>[Delmonte, Barbara; Baccolo, Giovanni; Maggi, Valter] Univ Milano Bicocca, Dept Environm &amp; Earth Sci, I-20126 Milan, Italy; [Winton, Holly] Curtin Univ, Phys &amp; Astron, Perth, WA, Australia; [Winton, Holly] British Antarctic Survey, Cambridge, England; [Baroni, Melanie] Aix Marseille Univ, Coll France, CNRS, INRA,IRD,CEREGE, Aix En Provence, France; [Hansson, Margareta] Stockholm Univ, Dept Phys Geog, Stockholm, Sweden; [Andersson, Per] Swedish Museum Nat Hist, Stockholm, Sweden; [Baroni, Carlo; Salvatore, Maria Cristina] Univ Pisa, Dept Earth Sci, Pisa, Italy; [Baroni, Carlo; Salvatore, Maria Cristina] CNR, Inst Geosci &amp; Earth Resources, Rome, Italy; [Lanci, Luca] Univ Urbino Carlo Bo, Dept Pure &amp; Appl Sci, Urbino, Italy</t>
  </si>
  <si>
    <t>University of Milano-Bicocca; Curtin University; UK Research &amp; Innovation (UKRI); Natural Environment Research Council (NERC); NERC British Antarctic Survey; Aix-Marseille Universite; INRAE; Institut de Recherche pour le Developpement (IRD); Universite PSL; College de France; Centre National de la Recherche Scientifique (CNRS); Stockholm University; Swedish Museum of Natural History; University of Pisa; Consiglio Nazionale delle Ricerche (CNR); Istituto di Geoscienze e Georisorse (IGG-CNR); University of Urbino</t>
  </si>
  <si>
    <t>Delmonte, B (corresponding author), Univ Milano Bicocca, Dept Environm &amp; Earth Sci, I-20126 Milan, Italy.</t>
  </si>
  <si>
    <t>barbara.delmonte@unimib.it</t>
  </si>
  <si>
    <t>Salvatore, Maria Cristina/AAS-4000-2020; Delmonte, Barbara/L-2555-2015; Maggi, Valter/AAX-5728-2020; Baroni, Carlo/D-8184-2012; Winton, Holly/J-5486-2019; IPO, PAGES/JXY-7546-2024; Baccolo, Giovanni/J-9543-2019</t>
  </si>
  <si>
    <t>Salvatore, Maria Cristina/0000-0002-1590-7284; Delmonte, Barbara/0000-0002-9074-2061; Maggi, Valter/0000-0001-6287-1213; Baroni, Carlo/0000-0001-5905-4650; Winton, Holly/0000-0001-7112-6768; Baccolo, Giovanni/0000-0002-1246-8968</t>
  </si>
  <si>
    <t>SYNTHESYS project [SE-TAF-5636]; 'Friends of the Museum' Grant; Franco-Italian project SOLARICE [IPEV1145, PNRA16_00008]; NERC [bas0100032] Funding Source: UKRI</t>
  </si>
  <si>
    <t>SYNTHESYS project; 'Friends of the Museum' Grant; Franco-Italian project SOLARICE; NERC(UK Research &amp; Innovation (UKRI)Natural Environment Research Council (NERC))</t>
  </si>
  <si>
    <t>B.D. acknowledges the SYNTHESYS SE-TAF-5636 project; H.W. acknowledges the 'Friends of the Museum' Grant. This article is an outcome of Project 'MIUR-Dipartimenti di Eccellenza 2018-2022'. All the authors acknowledge P. Augustinus for providing raised beach deposit samples from Bunger Hills and P. Biscaye for providing samples from Dronning Maud Land. This paper is a contribution to the Franco-Italian project SOLARICE (IPEV1145, PNRA16_00008). The fieldwork at Concordia benefited from logistical support from the French and Italian Polar Agencies, IPEV and PNRA, and the C2FN for drilling activities.</t>
  </si>
  <si>
    <t>10.1177/0959683619875188</t>
  </si>
  <si>
    <t>LM7GU</t>
  </si>
  <si>
    <t>WOS:000491718500001</t>
  </si>
  <si>
    <t>Kingsley, MR; Lavers, JL; Steeves, TE; Burridge, CP</t>
  </si>
  <si>
    <t>Kingsley, Mahalia R.; Lavers, Jennifer L.; Steeves, Tammy E.; Burridge, Christopher P.</t>
  </si>
  <si>
    <t>Genetic distinctiveness of Masked Booby (Sula dactylatra) on Bedout Island, Western Australia</t>
  </si>
  <si>
    <t>EMU-AUSTRAL ORNITHOLOGY</t>
  </si>
  <si>
    <t>Gene flow; subspecies; Sulidae; conservation genetics; mitochondrial DNA</t>
  </si>
  <si>
    <t>CONSERVATION; FLOW; DIVERSIFICATION; PHYLOGEOGRAPHY; BARRIERS; SEABIRD</t>
  </si>
  <si>
    <t>The Masked Booby is a highly vagile, pantropical seabird of which up to six subspecies have been recognised: S. d. dactylatra, S. d. californica, S. d. personata, S. d. melanops, S. d. bedouti and S. d. tasmani. The genetic distinction of several S. dactylatra colonies has been previously investigated, but this has not yet been conducted for the Bedout Island population in Western Australia, which has been considered by some to be part of a distinct subspecies. Suspected population decline on Bedout Island has renewed interest in determining the extent to which genetic novelty might be threatened. To answer this question, morphological and mitochondrial control region sequence variation were used to determine the distinction of the Bedout Island population. Whereas the morphological measures were equivocal, six haplotypes were identified from 31 individuals, none of which were shared by individuals previously sampled from the Indo-Pacific. The Bedout Island haplotypes were most closely related to other haplotypes found in a distinct Indian Ocean haplogroup, but haplotype frequencies at Bedout Island differed significantly from all other. This indicates that the Bedout Island population rarely exchanges mitochondrial genes with any of the other Masked Booby colonies presently studied, which may reflect dependence on local recruitment for its persistence.</t>
  </si>
  <si>
    <t>[Kingsley, Mahalia R.; Burridge, Christopher P.] Univ Tasmania, Sch Nat Sci, Discipline Biol Sci, Hobart, Tas, Australia; [Lavers, Jennifer L.] Univ Tasmania, Inst Marine &amp; Antarctic Studies, Launceston, Tas, Australia; [Steeves, Tammy E.] Univ Canterbury, Sch Biol Sci, Christchurch, New Zealand</t>
  </si>
  <si>
    <t>University of Tasmania; University of Tasmania; University of Canterbury</t>
  </si>
  <si>
    <t>Burridge, CP (corresponding author), Univ Tasmania, Sch Nat Sci, Discipline Biol Sci, Hobart, Tas, Australia.</t>
  </si>
  <si>
    <t>Chris.Burridge@utas.edu.au</t>
  </si>
  <si>
    <t>Lavers, Jennifer/IWM-5417-2023; Lavers, Jennifer/O-4831-2017; Burridge, Chris/L-4392-2019; Burridge, Christopher/J-2653-2012</t>
  </si>
  <si>
    <t>Lavers, Jennifer/0000-0001-7596-6588; Burridge, Christopher/0000-0002-8185-6091</t>
  </si>
  <si>
    <t>Detached Foundation; Women Divers Hall of Fame Research Grant; Western Australian Department of Biodiversity, Conservation and Attractions (DBCA)</t>
  </si>
  <si>
    <t>Special thanks to Detached Foundation, Women Divers Hall of Fame Research Grant, C. Noone, K. Lyons, J. Vermeulen, A. Whittington, J. King, and the Western Australian Department of Biodiversity, Conservation and Attractions (DBCA) for providing funding and/or logistical support for this project. Samples were collected under the approval of the University of Tasmania Animal Ethics Committee (permit no. A13746 and A16141) and DBCA (permit no. 01-000125-2 and 01-000125-4). Assistance in the field was provided by A. Fidler, M. Grant, A. Whittington, and J. King.</t>
  </si>
  <si>
    <t>TAYLOR &amp; FRANCIS AUSTRALIA</t>
  </si>
  <si>
    <t>LEVEL 2, 11 QUEENS RD, MELBOURNE, VIC 3004, AUSTRALIA</t>
  </si>
  <si>
    <t>0158-4197</t>
  </si>
  <si>
    <t>1448-5540</t>
  </si>
  <si>
    <t>EMU</t>
  </si>
  <si>
    <t>Emu</t>
  </si>
  <si>
    <t>APR 2</t>
  </si>
  <si>
    <t>10.1080/01584197.2019.1663125</t>
  </si>
  <si>
    <t>MQ1NB</t>
  </si>
  <si>
    <t>WOS:000486268300001</t>
  </si>
  <si>
    <t>Engelbrecht, A; Mors, T; Reguero, MA; Kriwet, J</t>
  </si>
  <si>
    <t>Engelbrecht, Andrea; Mors, Thomas; Reguero, Marcelo A.; Kriwet, Jurgen</t>
  </si>
  <si>
    <t>Skates and rays (Elasmobranchii, Batomorphii) from the Eocene La Meseta and Submeseta formations, Seymour Island, Antarctica</t>
  </si>
  <si>
    <t>Batoids; Southern Ocean; Paleogene; Antarctic Peninsula</t>
  </si>
  <si>
    <t>DENTAL SEXUAL-DIMORPHISM; MIDDLE EOCENE; LISBON FORMATION; SELACHIAN FAUNA; MARINE FISH; CHONDRICHTHYES; RAJIDAE; SHARKS; COUNTY; ALABAMA</t>
  </si>
  <si>
    <t>Eocene deposits of the famous La Meseta Formation of Seymour Island, Antarctic Peninsula, yielded the most diverse Paleogene fossil elasmobranch association of the Southern Hemisphere. In this assemblage, sharks clearly dominate the fauna, whereas batoids are very rare components. Herein, we describe two new taxa of cold water tolerant skates, Marambioraja leiostemma gen. et sp. nov., and Mesetaraja maleficapelli gen. et sp. nov., two new species of the genus Raja, Raja amphitrita sp. nov. and Raja manitaria sp. nov., as well as remains of warm water adapted myliobatiforms. It is, however, not possible to unambiguously assign these remains either to Myliobatidae or Rhinopteridae, or to any specific genus. Previously reported remains of Raja/Bathyraja sp. are assigned to the new described species Raja manitaria sp. nov. The biogeographic distribution of extant and extinct rays and skates clearly shows that both groups are more widely distributed today than in the past, and additionally seem to have been more diverse in the Northern than the Southern Hemisphere. The occurrence, albeit rare of isolated teeth of skates (Rajidae) and rays (Myliobatidae) in the La Meseta Formation representes a minimum age constraint for their first appearance in the Southern Ocean.</t>
  </si>
  <si>
    <t>[Engelbrecht, Andrea; Kriwet, Jurgen] Univ Vienna, Dept Palaeontol, Vienna, Austria; [Mors, Thomas] Swedish Museum Nat Hist, Dept Palaeobiol, Stockholm, Sweden; [Reguero, Marcelo A.] Museo La Plata, Div Paleontol Vertebrados, La Plata, Buenos Aires, Argentina</t>
  </si>
  <si>
    <t>University of Vienna; Swedish Museum of Natural History; National University of La Plata; Museo La Plata</t>
  </si>
  <si>
    <t>Engelbrecht, A (corresponding author), Univ Vienna, Dept Palaeontol, Vienna, Austria.</t>
  </si>
  <si>
    <t>andrea.engelbrecht@univie.ac.at</t>
  </si>
  <si>
    <t>Kriwet, Jurgen/0000-0002-6439-8455; Reguero, Marcelo A./0000-0003-0875-8484; Mors, Thomas/0000-0003-2268-5824</t>
  </si>
  <si>
    <t>Austrian Science Fund [FWF] [P26465-825]; University of Vienna; Swedish Research Council [VR] [2009-4447]; Consejo Nacional de lnvesligaciones Cienlificas y Tecnicas (CONICET) [PIP 0462]; Argentinian National Agency for Promotion of Science and Technology (ANPCyT) [PICTO 0093/2010]; Austrian Science Fund (FWF) [P26465] Funding Source: Austrian Science Fund (FWF)</t>
  </si>
  <si>
    <t>Austrian Science Fund [FWF](Austrian Science Fund (FWF)); University of Vienna; Swedish Research Council [VR](Swedish Research Council); Consejo Nacional de lnvesligaciones Cienlificas y Tecnicas (CONICET); Argentinian National Agency for Promotion of Science and Technology (ANPCyT)(ANPCyT); Austrian Science Fund (FWF)(Austrian Science Fund (FWF))</t>
  </si>
  <si>
    <t>This work was supported by The Austrian Science Fund [FWF, grant number P26465-825] to J. K.; a graduation scholarship of the University of Vienna to A. E.; the Swedish Research Council [VR grant number 2009-4447] to T. M.; the Consejo Nacional de lnvesligaciones Cienlificas y Tecnicas (CONICET) [grant number PIP 0462] to M. R.; and the Argentinian National Agency for Promotion of Science and Technology (ANPCyT) [grant number PICTO 0093/2010] to M. R.</t>
  </si>
  <si>
    <t>SEP 14</t>
  </si>
  <si>
    <t>10.1080/08912963.2017.1417403</t>
  </si>
  <si>
    <t>IK6GD</t>
  </si>
  <si>
    <t>WOS:000476682900005</t>
  </si>
  <si>
    <t>Opazo-Capurro, A; Higgins, PG; Wille, J; Seifert, H; Cigarroa, C; González-Muñoz, P; Quezada-Aguiluz, M; Domínguez-Yévenes, M; Bello-Toledo, H; Vergara, L; González-Rocha, G</t>
  </si>
  <si>
    <t>Opazo-Capurro, Andres; Higgins, Paul G.; Wille, Julia; Seifert, Harald; Cigarroa, Camila; Gonzalez-Munoz, Paulina; Quezada-Aguiluz, Mario; Dominguez-Yevenes, Mariana; Bello-Toledo, Helia; Vergara, Luis; Gonzalez-Rocha, Gerardo</t>
  </si>
  <si>
    <t>Genetic Features of Antarctic Acinetobacter radioresistens Strain A154 Harboring Multiple Antibiotic-Resistance Genes</t>
  </si>
  <si>
    <t>FRONTIERS IN CELLULAR AND INFECTION MICROBIOLOGY</t>
  </si>
  <si>
    <t>antibiotic-resistance genes; Acinetobacter; Antarctica; whole-genome sequencing; resistance plasmid; ecotoxicology</t>
  </si>
  <si>
    <t>BETA-LACTAMASE; CARBAPENEM RESISTANCE; IDENTIFICATION; PLASMIDS; SCO-1</t>
  </si>
  <si>
    <t>While antibiotic-resistant bacteria have been detected in extreme environments, including Antarctica, to date there are no reports of Acinetobacter species isolated from this region. Here, we characterized by whole-genome sequencing (WGS) the genetic content of a single antibiotic-resistant Acinetobacter spp. isolate (A154) collected in Antarctica. The isolate was recovered in 2013 from soil samples at Fildes Peninsula, Antarctica, and was identified by detection of the intrinsic OXA-23 gene, and confirmed by Tetra Correlation Search (ICS) and WGS. The antibiotic susceptibility profile was determined by disc diffusion, E-test, and broth microdilution methods. From WGS data, the acquired resistome and insertion sequence (IS) content were identified by in silico analyses. Plasmids were studied by the alkaline lysis method followed by pulsed-field gel electrophoresis and conventional PCR. The A154 isolate was identified as A. radioresistens by WGS analysis and displayed &gt;99.9 of similarity by TCS in relation with the databases. Moreover, it was resistant to ampicillin, ceftriaxone, ceftazidime, cefepime, cefotaxime, streptomycin, and kanamycin. Likewise, in addition to the intrinsic bla(OXA-)(23-like) gene, A154 harbored the plasmid-encoded antibiotic-resistance genes bla(PER-2), tet(B), aph(3')-VIa, strA, and strB, as well as a large diversity of ISs. This is the first report of antibiotic-resistant A. radioresistens in Antarctica. Our findings show the presence of several resistance genes which could be either intrinsic or acquired in the region.</t>
  </si>
  <si>
    <t>[Opazo-Capurro, Andres; Cigarroa, Camila; Gonzalez-Munoz, Paulina; Quezada-Aguiluz, Mario; Dominguez-Yevenes, Mariana; Bello-Toledo, Helia; Gonzalez-Rocha, Gerardo] Univ Concepcion, Fac Ciencias Biol, Dept Microbiol, LIAA, Concepcion, Chile; [Opazo-Capurro, Andres; Gonzalez-Munoz, Paulina; Quezada-Aguiluz, Mario; Dominguez-Yevenes, Mariana; Bello-Toledo, Helia; Gonzalez-Rocha, Gerardo] Millennium Nucleus Collaborat Res Bacterial Resis, Santiago, Chile; [Higgins, Paul G.; Wille, Julia; Seifert, Harald] Univ Cologne, Inst Med Microbiol Immunol &amp; Hyg, Cologne, Germany; [Higgins, Paul G.; Wille, Julia; Seifert, Harald] German Ctr Infect Res DZIF, Partner Site Bonn Cologne, Cologne, Germany; [Gonzalez-Munoz, Paulina; Vergara, Luis] Univ San Sebastian, Fac Med &amp; Ciencia, Dept Ciencias Biol &amp; Quim, Concepcion, Chile</t>
  </si>
  <si>
    <t>Universidad de Concepcion; University of Cologne; German Center for Infection Research; University of Cologne; Universidad San Sebastian</t>
  </si>
  <si>
    <t>González-Rocha, G (corresponding author), Univ Concepcion, Fac Ciencias Biol, Dept Microbiol, LIAA, Concepcion, Chile.;González-Rocha, G (corresponding author), Millennium Nucleus Collaborat Res Bacterial Resis, Santiago, Chile.</t>
  </si>
  <si>
    <t>ggonzal@udec.cl</t>
  </si>
  <si>
    <t>Gonzalez, Luis Vergara/P-6897-2019; Higgins, Paul G/B-6708-2011; Gonzalez, Luis Vergara/N-4886-2017; Gonzalez-Rocha, Gerardo E/M-3610-2014; Bello-Toledo, H/AAA-2387-2022; Gonzalez, Gerardo/KHE-5265-2024</t>
  </si>
  <si>
    <t>Gonzalez, Luis Vergara/0000-0002-9287-2855; Higgins, Paul G/0000-0001-8677-9454; Gonzalez, Luis Vergara/0000-0002-9287-2855; Bello-Toledo, H/0000-0002-9277-4681; Quezada-Aguiluz, Mario/0000-0001-9644-8368; Opazo-Capurro, Andres/0000-0002-6382-7625</t>
  </si>
  <si>
    <t>National Fund for Scientific and Technological Development (FONDECYT) [3150286]; [RT_06_12]</t>
  </si>
  <si>
    <t>National Fund for Scientific and Technological Development (FONDECYT)(Comision Nacional de Investigacion Cientifica y Tecnologica (CONICYT)CONICYT FONDECYT);</t>
  </si>
  <si>
    <t>This work was funded by the post-doctoral project No 3150286 from The National Fund for Scientific and Technological Development (FONDECYT) and the Chilean Antarctic Institute (INACH) project number RT_06_12.</t>
  </si>
  <si>
    <t>2235-2988</t>
  </si>
  <si>
    <t>FRONT CELL INFECT MI</t>
  </si>
  <si>
    <t>Front. Cell. Infect. Microbiol.</t>
  </si>
  <si>
    <t>SEP 13</t>
  </si>
  <si>
    <t>10.3389/fcimb.2019.00328</t>
  </si>
  <si>
    <t>IX5DG</t>
  </si>
  <si>
    <t>WOS:000485704300001</t>
  </si>
  <si>
    <t>Li, Y; Sun, LL; Sun, YY; Cha, QQ; Lie, CY; Zhao, DL; Song, XY; Wang, M; McMinn, A; Chen, XL; Zhang, YZ; Qin, QL</t>
  </si>
  <si>
    <t>Li, Yi; Sun, Lin-Lin; Sun, Yuan-Yuan; Cha, Qian-Qian; Lie, Chun-Yang; Zhao, Dian-Li; Song, Xiao-Yan; Wang, Min; McMinn, Andrew; Chen, Xiu-Lan; Zhang, Yu-Zhong; Qin, Qi-Long</t>
  </si>
  <si>
    <t>Extracellular Enzyme Activity and Its Implications for Organic Matter Cycling in Northern Chinese Marginal Seas</t>
  </si>
  <si>
    <t>extracellular enzyme; distribution pattern; enzyme-producing clades; DOC utilization; environmental factors; Chinese marginal seas</t>
  </si>
  <si>
    <t>MARINE-BACTERIA; MICROBIAL COMMUNITIES; TEMPORAL DISTRIBUTIONS; WATER-COLUMN; DEGRADATION; TEMPERATURE; PHOSPHATASE; MECHANISM; NUTRIENTS; INSIGHTS</t>
  </si>
  <si>
    <t>Extracellular enzymes, initiating the degradation of organic macromolecules, are important functional components of marine ecosystems. Measuring in situ seawater extracellular enzyme activity (EEA) can provide fundamental information for understanding the biogeochemical cycling of organic matter in the ocean. Here we investigate the patterns of EEA and the major factors affecting the seawater EEA of Chinese marginal seas. The geographic distribution of EEA along a latitudinal transect was examined and found to be associated with dissolved organic carbon. Compared with offshore waters, inshore waters had higher enzyme activity. All the tested substrates were hydrolyzed at different rates and phosphatase, beta-glucosidase and protease contributed greatly to summed hydrolysis rates. For any particular enzyme activity, the contribution of dissolved to total EEA was strongly heterogenous between stations. Comparisons of hydrolysis rates of the polymers and their corresponding oligomers suggest that molecule size does not necessarily limit the turnover of marine organic matter. In addition, several typical enzyme-producing clades, such as Bacteroidetes, Planctomycetes, Chloroflexi, Roseobacter, Alteromonas, and Pseudoalteromonas, were detected in the in situ environments. These enzyme-producing clades may be responsible for the production of different enzymes. Overall, each enzyme was found to flexibly respond to environmental conditions and were linked to microbial community composition. It is likely that this activity will profoundly affect organic matter cycling in the Chinese marginal seas.</t>
  </si>
  <si>
    <t>[Li, Yi; Sun, Lin-Lin; Sun, Yuan-Yuan; Cha, Qian-Qian; Song, Xiao-Yan; Chen, Xiu-Lan; Zhang, Yu-Zhong; Qin, Qi-Long] Shandong Univ, Marine Biotechnol Res Ctr, State Key Lab Microbial Technol, Qingdao, Shandong, Peoples R China; [Lie, Chun-Yang; Wang, Min; McMinn, Andrew; Zhang, Yu-Zhong] Ocean Univ China, Coll Marine Life Sci, Qingdao, Shandong, Peoples R China; [Zhao, Dian-Li; Zhang, Yu-Zhong] Qingdao Natl Lab Marine Sci &amp; Technol, Lab Marine Biol &amp; Biotechnol, Qingdao, Shandong, Peoples R China; [McMinn, Andrew] Univ Tasmania, Inst Marine &amp; Antarctic Studies, Hobart, Tas, Australia</t>
  </si>
  <si>
    <t>Shandong University; Ocean University of China; Laoshan Laboratory; University of Tasmania</t>
  </si>
  <si>
    <t>Qin, QL (corresponding author), Shandong Univ, Marine Biotechnol Res Ctr, State Key Lab Microbial Technol, Qingdao, Shandong, Peoples R China.</t>
  </si>
  <si>
    <t>Wang, Min/AFR-9645-2022; McMinn, Andrew/A-9910-2008; liu, peiyao/KFT-1810-2024; sun, jiamin/JPY-2155-2023; Li, Chun-Yang/JBS-2194-2023; Wang, zijun/JNS-5435-2023</t>
  </si>
  <si>
    <t>Wang, Min/0000-0002-2357-589X; Li, Chun-Yang/0000-0002-1151-4897; McMinn, Andrew/0000-0002-2133-3854; Zhang, Yu-Zhong/0000-0002-2017-1005</t>
  </si>
  <si>
    <t>National Key R&amp;D Program of China [2018YFC1406504, 2016YFA0601303, 2018YFC1406702]; National Natural Science Foundation of China [31670038, U1706207, 31570042, 91851205, 41706152, 31870101]; AoShan Talents Cultivation Program - Qingdao National Laboratory for Marine Science and Technology [2017ASTCP-OS14]; Taishan Scholars Program of Shandong Province [2009TS079]; Young Scholars Program of Shandong University [2016WLJH36]</t>
  </si>
  <si>
    <t>National Key R&amp;D Program of China; National Natural Science Foundation of China(National Natural Science Foundation of China (NSFC)); AoShan Talents Cultivation Program - Qingdao National Laboratory for Marine Science and Technology; Taishan Scholars Program of Shandong Province; Young Scholars Program of Shandong University</t>
  </si>
  <si>
    <t>The work was supported by the National Key R&amp;D Program of China (Grants 2018YFC1406504, 2016YFA0601303, and 2018YFC1406702), the National Natural Science Foundation of China (Grants 31670038, U1706207, 31570042, 91851205, 41706152, and 31870101), AoShan Talents Cultivation Program supported by Qingdao National Laboratory for Marine Science and Technology (2017ASTCP-OS14), Taishan Scholars Program of Shandong Province (2009TS079), and the Young Scholars Program of Shandong University (2016WLJH36).</t>
  </si>
  <si>
    <t>10.3389/fmicb.2019.02137</t>
  </si>
  <si>
    <t>IX4KC</t>
  </si>
  <si>
    <t>WOS:000485654100001</t>
  </si>
  <si>
    <t>Schmidt, JO; Bograd, SJ; Arrizabalaga, H; Azevedo, JL; Barbeaux, SJ; Barth, JA; Boyer, T; Brodie, S; Cárdenas, JJ; Cross, S; Druon, JN; Fransson, A; Hartog, J; Hazen, EL; Hobday, A; Jacox, M; Karstensen, J; Kupschus, S; Lopez, J; Madureira, LASP; Martinelli, JE; Miloslavich, P; Santos, CP; Scales, K; Speich, S; Sullivan, MB; Szoboszlai, A; Tommasi, D; Wallace, D; Zador, S; Zawislak, PA</t>
  </si>
  <si>
    <t>Schmidt, Joern O.; Bograd, Steven J.; Arrizabalaga, Haritz; Azevedo, Jose L.; Barbeaux, Steven J.; Barth, John A.; Boyer, Tim; Brodie, Stephanie; Jose Cardenas, Juan; Cross, Scott; Druon, Jean-Nobl; Fransson, Agneta; Hartog, Jason; Hazen, Elliott L.; Hobday, Alistair; Jacox, Michael; Karstensen, Johannes; Kupschus, Sven; Lopez, Jon; Madureira, Lauro A. S-P; Martinelli Filho, Jose E.; Miloslavich, Patricia; Santos, Catarina P.; Scales, Kylie; Speich, Sabrina; Sullivan, Matthew B.; Szoboszlai, Amber; Tommasi, Desiree; Wallace, Douglas; Zador, Stephani; Zawislak, Paulo Antonio</t>
  </si>
  <si>
    <t>Future Ocean Observations to Connect Climate, Fisheries and Marine Ecosystems</t>
  </si>
  <si>
    <t>Ecosystem Based Management; technology; data needs; capacity development; Integration of Ocean Observing Systems</t>
  </si>
  <si>
    <t>DYNAMIC OCEAN; CARIBBEAN SEA; ATLANTIC; MANAGEMENT; SATELLITE; FISH; TUNA; FEATURES; PROGRAM; IMPACTS</t>
  </si>
  <si>
    <t>Advances in ocean observing technologies and modeling provide the capacity to revolutionize the management of living marine resources. While traditional fisheries management approaches like single-species stock assessments are still common, a global effort is underway to adopt ecosystem-based fisheries management (EBFM) approaches. These approaches consider changes in the physical environment and interactions between ecosystem elements, including human uses, holistically. For example, integrated ecosystem assessments aim to synthesize a suite of observations (physical, biological, socioeconomic) and modeling platforms [ocean circulation models, ecological models, short-term forecasts, management strategy evaluations (MSEs)] to assess the current status and recent and future trends of ecosystem components. This information provides guidance for better management strategies. A common thread in EBFM approaches is the need for high-quality observations of ocean conditions, at scales that resolve critical physical-biological processes and are timely for management needs. Here we explore options for a future observing system that meets the needs of EBFM by (i) identifying observing needs for different user groups, (ii) reviewing relevant datasets and existing technologies, (iii) showcasing regional case studies, and (iv) recommending observational approaches required to implement EBFM. We recommend linking ocean observing within the context of Global Ocean Observing System (GOOS) and other regional ocean observing efforts with fisheries observations, new forecasting methods, and capacity development, in a comprehensive ocean observing framework.</t>
  </si>
  <si>
    <t>[Schmidt, Joern O.] Univ Kiel, Kiel Marine Sci, Kiel, Germany; [Bograd, Steven J.; Hazen, Elliott L.; Jacox, Michael] NOAA, Div Environm Res, Southwest Fisheries Sci Ctr, Monterey, CA USA; [Arrizabalaga, Haritz] AZTI Tecnalia, Marine Res Div, Pasaia, Spain; [Azevedo, Jose L.; Madureira, Lauro A. S-P] Rio Grade Fed Univ, Inst Oceanog, Rio Grande, Brazil; [Barbeaux, Steven J.; Zador, Stephani] NOAA, Alaska Fisheries Sci Ctr, Seattle, WA USA; [Barth, John A.] Oregon State Univ, Coll Earth Ocean &amp; Atmospher Sci, Corvallis, OR 97331 USA; [Boyer, Tim] NOAA, Natl Ctr Environm Informat, Silver Spring, MD USA; [Brodie, Stephanie; Tommasi, Desiree] Univ Calif Santa Cruz, Inst Marine Sci, Santa Cruz, CA 95064 USA; [Jose Cardenas, Juan] Univ Simon Bolivar, Inst Tecnol &amp; Ciencias Marinas, Caracas, Venezuela; [Cross, Scott] NOAA, Southeast Fisheries Sci Ctr, Miami, FL USA; [Druon, Jean-Nobl] European Commiss Joint Res Ctr, Directorate D Sustainable Resource, Unit D02 Water &amp; Marine Resources, Ispra, Italy; [Fransson, Agneta] Norwegian Polar Res Inst, Fram Ctr, Tromso, Norway; [Hartog, Jason; Hobday, Alistair] CSIRO, Oceans &amp; Atmosphere, Hobart, Tas, Australia; [Jacox, Michael] NOAA, Div Phys Sci, Earth Syst Res Lab, Boulder, CO USA; [Karstensen, Johannes] GEOMAR Helmholtz Ctr Ocean Res Kiel, Kiel, Germany; [Kupschus, Sven] Ctr Environm Fisheries &amp; Aquaculture Sci, Lowestoft Lab, Lowestoft, Suffolk, England; [Lopez, Jon] Interamer Trop Tuna Commiss, La Jolla, CA USA; [Martinelli Filho, Jose E.] Univ Fed Para, Inst Geociencias, Lab Oceanog Biol, Campus Guama, Belem, Para, Brazil; [Martinelli Filho, Jose E.] Univ Fed Para, Inst Geociencias, Lab Pesquisa Monitoramento Ambiental Marinho, Campus Guama, Belem, Para, Brazil; [Miloslavich, Patricia] Univ Tasmania, Inst Marine &amp; Antarctic Studies, Hobart, Tas, Australia; [Miloslavich, Patricia] Univ Simon Bolivar, Dept Estudios Ambientales, Caracas, Venezuela; [Santos, Catarina P.] Univ Lisbon, Fac Ciencias, Lab Maritimo Guia, MARE Marine &amp; Environm Sci Ctr, Lisbon, Portugal; [Scales, Kylie] Univ Sunshine Coast, Sch Sci &amp; Engn, Maroochydore, Qld, Australia; [Speich, Sabrina] Ecole Normale Super Paris, Lab Meteorol Dynam, IPSL, Paris, France; [Sullivan, Matthew B.] Ohio State Univ, Dept Microbiol, Dept Civil Environm &amp; Geodet Engn, 484 W 12th Ave, Columbus, OH 43210 USA; [Sullivan, Matthew B.] Ohio State Univ, Byrd Polar &amp; Climate Res Ctr, Columbus, OH 43210 USA; [Szoboszlai, Amber] Farallon Inst Adv Ecosyst Res, Petaluma, CA USA; [Tommasi, Desiree] NOAA, Fisheries Res Div, Southwest Fisheries Sci Ctr, La Jolla, CA USA; [Wallace, Douglas] Dalhousie Univ, Dept Oceanog, Halifax, NS, Canada; [Zawislak, Paulo Antonio] Univ Fed Rio Grande do Sul, Innovat Res Ctr, Sch Management, Porto Alegre, RS, Brazil</t>
  </si>
  <si>
    <t>University of Kiel; National Oceanic Atmospheric Admin (NOAA) - USA; AZTI; National Oceanic Atmospheric Admin (NOAA) - USA; Oregon State University; National Oceanic Atmospheric Admin (NOAA) - USA; University of California System; University of California Santa Cruz; Simon Bolivar University; National Oceanic Atmospheric Admin (NOAA) - USA; European Commission Joint Research Centre; EC JRC ISPRA Site; Norwegian Polar Institute; Commonwealth Scientific &amp; Industrial Research Organisation (CSIRO); National Oceanic Atmospheric Admin (NOAA) - USA; Helmholtz Association; GEOMAR Helmholtz Center for Ocean Research Kiel; Centre for Environment Fisheries &amp; Aquaculture Science; Universidade Federal do Para; Universidade Federal do Para; University of Tasmania; Simon Bolivar University; Universidade de Lisboa; University of the Sunshine Coast; Universite PSL; Ecole Normale Superieure (ENS); Universite Paris Cite; Sorbonne Universite; University System of Ohio; Ohio State University; University System of Ohio; Ohio State University; National Oceanic Atmospheric Admin (NOAA) - USA; Dalhousie University; Universidade Federal do Rio Grande do Sul</t>
  </si>
  <si>
    <t>Schmidt, JO (corresponding author), Univ Kiel, Kiel Marine Sci, Kiel, Germany.</t>
  </si>
  <si>
    <t>jschmidt@economics.uni-kiel.de</t>
  </si>
  <si>
    <t>Schmidt, Jörn Oliver/A-7714-2008; Sullivan, Matthew B/H-3256-2011; Speich, Sabrina/L-3780-2014; Tommasi, Desiree/M-1668-2015; Hazen, Elliott/G-4149-2014; Arrizabalaga, Haritz/B-8238-2009; Bograd, Steven/AAA-4824-2021; Karstensen, Johannes/A-8534-2013; Hobday, Alistair/A-1460-2012; Martinelli-Filho, José Eduardo/L-3990-2013; Scales, Kylie/L-9318-2018; Santos, Catarina/O-3708-2015; Zawislak, Paulo/M-5297-2014</t>
  </si>
  <si>
    <t>Schmidt, Jörn Oliver/0000-0002-4420-6532; Speich, Sabrina/0000-0002-5452-8287; Tommasi, Desiree/0000-0003-4027-6047; Hazen, Elliott/0000-0002-0412-7178; Arrizabalaga, Haritz/0000-0002-3861-6316; Karstensen, Johannes/0000-0001-5044-7079; Brodie, Stephanie/0000-0003-0869-9939; Miloslavich, Patricia/0000-0001-5409-1401; Barbeaux, Steven/0000-0001-9498-0369; Jacox, Michael/0000-0003-3684-0717; Scales, Kylie/0000-0003-0843-0956; Santos, Catarina/0000-0001-6526-4291; Martinelli Filho, Jose Eduardo/0000-0001-8445-1332; Zawislak, Paulo/0000-0002-0487-9177; Lopez, Jon/0000-0002-4172-4094</t>
  </si>
  <si>
    <t>Cluster of Excellence Future Ocean; Kiel Marine Science; European Union's Horizon 2020 Research and Innovation Program [633211, 730960]; Fundacao para a Ciencia e Tecnologia (FCT) [UID/MAR/04292/2019, SFRH/BD/117890/2016]; Brazilian Biodiversity Fund (FUNBIO-GEF); ACTEMSA-Leal Santos Ltda; UK Department for Environment, Food and Rural Affairs (Marine Advisory Schedule) [MA016A]; Gordon and Betty Moore Foundation [3790]; NSF [1829831]; NOAA Climate Program Office [NA17OAR4310268, NA17OAR4310108]; NOAA/NMFS Office of Science and Technology; Pro-Reitoria de Pesquisa e Pos-graduacao, Universidade Federal do Para (PROPESP/UFPA) [05/2018]; Conselho Nacional de Desenvolvimento Cientifico e Tecnologico (CNPq) [438075/2018-8]; Ocean Acidification flagship within the FRAM-High North Centre for Climate and the Environment, Norway; U.S. National Science Foundation; National Oceanic and Atmospheric Administration; Fundação para a Ciência e a Tecnologia [SFRH/BD/117890/2016] Funding Source: FCT; Division Of Ocean Sciences; Directorate For Geosciences [1829831] Funding Source: National Science Foundation</t>
  </si>
  <si>
    <t>Cluster of Excellence Future Ocean; Kiel Marine Science; European Union's Horizon 2020 Research and Innovation Program; Fundacao para a Ciencia e Tecnologia (FCT)(Fundacao para a Ciencia e a Tecnologia (FCT)); Brazilian Biodiversity Fund (FUNBIO-GEF); ACTEMSA-Leal Santos Ltda; UK Department for Environment, Food and Rural Affairs (Marine Advisory Schedule); Gordon and Betty Moore Foundation(Gordon and Betty Moore Foundation); NSF(National Science Foundation (NSF)); NOAA Climate Program Office(National Oceanic Atmospheric Admin (NOAA) - USA); NOAA/NMFS Office of Science and Technology; Pro-Reitoria de Pesquisa e Pos-graduacao, Universidade Federal do Para (PROPESP/UFPA); Conselho Nacional de Desenvolvimento Cientifico e Tecnologico (CNPq)(Conselho Nacional de Desenvolvimento Cientifico e Tecnologico (CNPQ)); Ocean Acidification flagship within the FRAM-High North Centre for Climate and the Environment, Norway; U.S. National Science Foundation(National Science Foundation (NSF)); National Oceanic and Atmospheric Administration(National Oceanic Atmospheric Admin (NOAA) - USA); Fundação para a Ciência e a Tecnologia(Fundacao para a Ciencia e a Tecnologia (FCT)); Division Of Ocean Sciences; Directorate For Geosciences(National Science Foundation (NSF)NSF - Directorate for Geosciences (GEO))</t>
  </si>
  <si>
    <t>JS received funding from the Cluster of Excellence Future Ocean and Kiel Marine Science. JK and SS have received funding from the European Union's Horizon 2020 Research and Innovation Program under grant agreement nos. 633211 (AtlantOS) and 730960 (SeaDataCloud). CS received support from Fundacao para a Ciencia e Tecnologia (FCT) through the strategic project UID/MAR/04292/2019 granted to MARE and a doctoral grant (SFRH/BD/117890/2016). LM, JA, and PZ were partly funded by the Brazilian Biodiversity Fund (FUNBIO-GEF) and ACTEMSA-Leal Santos Ltda. SK was funded by the UK Department for Environment, Food and Rural Affairs (Marine Advisory Schedule MA016A). MS received support from a Gordon and Betty Moore Foundation award (#3790) and an NSF award (OCE#1829831). MJ, SB, and DT received funding from the NOAA Climate Program Office (grants NA17OAR4310268 and NA17OAR4310108) and the NOAA/NMFS Office of Science and Technology. JM was supported by the Pro-Reitoria de Pesquisa e Pos-graduacao, Universidade Federal do Para (PROPESP/UFPA grant no. 05/2018) and the Conselho Nacional de Desenvolvimento Cientifico e Tecnologico (CNPq grant no. 438075/2018-8). AF was funded by the Ocean Acidification flagship within the FRAM-High North Centre for Climate and the Environment, Norway. JB received support from the U.S. National Science Foundation and National Oceanic and Atmospheric Administration.</t>
  </si>
  <si>
    <t>10.3389/fmars.2019.00550</t>
  </si>
  <si>
    <t>IX5UX</t>
  </si>
  <si>
    <t>WOS:000485750200001</t>
  </si>
  <si>
    <t>Qi, L; Wang, SX</t>
  </si>
  <si>
    <t>Qi, Ling; Wang, Shuxiao</t>
  </si>
  <si>
    <t>Fossil fuel combustion and biomass burning sources of global black carbon from GEOS-Chem simulation and carbon isotope measurements</t>
  </si>
  <si>
    <t>CLOUD CONDENSATION NUCLEI; SOURCE APPORTIONMENT; ORGANIC-CARBON; FIRE EMISSIONS; MIXING STATE; AEROSOL; RADIOCARBON; MODEL; EC; IMPLEMENTATION</t>
  </si>
  <si>
    <t>We identify sources (fossil fuel combustion versus biomass burning) of black carbon (BC) in the atmosphere and in deposition using a global 3-D chemical transport model GEOS-Chem. We validate the simulated sources against carbon isotope measurements of BC around the globe and find that the model reproduces mean biomass burning contribution (f(bb); %) in various regions within a factor of 2 (except in Europe, where f(bb) is underestimated by 63 %). GEOS-Chem shows that contribution from biomass burning in the Northern Hemisphere (f(bb): 35 +/- 14 %) is much less than that in the Southern Hemisphere (50 +/- 11 %). The largest atmospheric f(bb) is in Africa (64 +/- 20 %). Comparable contributions from biomass burning and fossil fuel combustion are found in southern (S) Asia (53 +/- 10 %), southeastern (SE) Asia (53 +/- 11 %), S America (47 +/- 14 %), the S Pacific (47 +/- 7 %), Australia (53 +/- 14 %) and the Antarctic (51 +/- 2 %). f(bb) is relatively small in eastern Asia (40 +/- 13 %), Siberia (35 +/- 8 %), the Arctic (33 +/- 6 %), Canada (31 +/- 7 %), the US (25 +/- 4 %) and Europe (19 +/- 7 %). Both observations and model results suggest that atmospheric f(bb) is higher in summer (59 %-78 %, varying with sub-regions) than in winter (28 %-32 %) in the Arctic, while it is higher in winter (42 %-58 %) and lower in summer (16 %-42 %) over the Himalayan-Tibetan Plateau. The seasonal variations of Atmospheric f(bb) are relatively flat in North America, Europe and Asia. We conducted four experiments to investigate the uncertainties associated with biofuel emissions, hygroscopicity of BC in fresh emissions, the aging rate and size-resolved wet scavenging. We find that doubling biofuel emissions for domestic heating north of 45 degrees N increases f(bb )values in Europe in winter by similar to 30 %, reducing the discrepancy between observed and modeled atmospheric f(bb) from -63 % to -54 %. The remaining large negative discrepancy between model and observations suggests that the biofuel emissions are probably still underestimated at high latitudes. Increasing the fraction of thickly coated hydrophilic BC from 20 % to 70 % in fresh biomass burning plumes increases the fraction of hydrophilic BC in biomass burning plumes by 0 %-20 % (varying with seasons and regions) and thereby reduces atmospheric f(bb) by up to 11 %. Faster aging (4 h e-folding time versus 1.15 d e-folding time) of BC in biomass burning plumes reduces atmospheric f(bb) by 7 % (1 %-14 %, varying with seasons and regions), with the largest reduction in remote regions, such as the Arctic, the Antarctic and the S Pacific. Using size-resolved scavenging accelerates scavenging of BC particles in both fossil fuel and biomass burning plumes, with a faster scavenging of BC in fossil fuel plumes. Thus, atmospheric f(bb) increases in most regions by 1 %-14 %. Overall, atmospheric f(bb) is determined mainly by f(bb) in emissions and, to a lesser extent, by atmospheric processes, such as aging and scavenging. This confirms the assumption that f(bb) in local emissions determines atmospheric f(bb) in previous studies, which compared measured atmospheric f(bb) directly with local f(bb) in bottom-up emission inventories.</t>
  </si>
  <si>
    <t>[Qi, Ling; Wang, Shuxiao] Tsinghua Univ, Sch Environm, State Key Joint Lab Environm Simulat &amp; Pollut Con, Beijing 100084, Peoples R China; [Wang, Shuxiao] State Environm Protect Key Lab Sources &amp; Control, Beijing 100084, Peoples R China</t>
  </si>
  <si>
    <t>Tsinghua University</t>
  </si>
  <si>
    <t>Wang, SX (corresponding author), Tsinghua Univ, Sch Environm, State Key Joint Lab Environm Simulat &amp; Pollut Con, Beijing 100084, Peoples R China.;Wang, SX (corresponding author), State Environm Protect Key Lab Sources &amp; Control, Beijing 100084, Peoples R China.</t>
  </si>
  <si>
    <t>shxwang@tsinghua.edu.cn</t>
  </si>
  <si>
    <t>wang, lin/HZK-4145-2023; wang, shuxiao/H-5990-2011</t>
  </si>
  <si>
    <t>wang, shuxiao/0000-0001-9727-1963</t>
  </si>
  <si>
    <t>Key Projects of National Key Research and Development Program of the Ministry of Science and Technology of China [2017YFC0213005]; National Natural Science Foundation of China [21625701, 21806088]; National Research Program for Key Issues in Air Pollution Control [DQGG0301, DQGG0303]</t>
  </si>
  <si>
    <t>Key Projects of National Key Research and Development Program of the Ministry of Science and Technology of China; National Natural Science Foundation of China(National Natural Science Foundation of China (NSFC)); National Research Program for Key Issues in Air Pollution Control</t>
  </si>
  <si>
    <t>This research has been supported by Key Projects of National Key Research and Development Program of the Ministry of Science and Technology of China (grant no. 2017YFC0213005), the National Natural Science Foundation of China (grant nos. 21625701 and 21806088), and the National Research Program for Key Issues in Air Pollution Control (grant nos. DQGG0301 and DQGG0303).</t>
  </si>
  <si>
    <t>SEP 12</t>
  </si>
  <si>
    <t>10.5194/acp-19-11545-2019</t>
  </si>
  <si>
    <t>IX5IU</t>
  </si>
  <si>
    <t>WOS:000485718700001</t>
  </si>
  <si>
    <t>Foley, CM; Lynch, HJ</t>
  </si>
  <si>
    <t>Foley, Catherine M.; Lynch, Heather J.</t>
  </si>
  <si>
    <t>A method to estimate pre-exploitation population size</t>
  </si>
  <si>
    <t>Antarctic fur seal; approximate Bayesian computation; commercial harvesting; green list; historical ecology; shifting baselines; South Georgia; captura comercial; computo bayesiano aproximado; ecologia historica; foca antartica; Georgia del Sur; lineas base cambiantes; lista verde</t>
  </si>
  <si>
    <t>ANTARCTIC FUR-SEAL; BASE-LINE SYNDROME; SOUTH GEORGIA; MARINE; GROWTH</t>
  </si>
  <si>
    <t>Antarctic fur seals (Arctocephalus gazella) were commercially exploited on the subantarctic island of South Georgia for over 100 years and nearly driven to extinction. Since the cessation of harvesting, however, their populations have rebounded, and they are now often considered a nuisance species whose impact on the terrestrial landscape should be mitigated. Any evaluation of their current population requires the context provided by their historic, pre-exploitation abundance, lest ecologists fall prey to shifting baseline syndrome in which their perspective on current abundance is compared only with an altered state resulting from past anthropogenic disturbance. Estimating pre-exploitation abundance is critical to defining species recovery and setting recovery targets, both of which are needed for the International Union for the Conservation of Nature's recent efforts to develop a green list of recovering species. To address this issue, we reconstructed the South Georgia fur seal harvest from 1786 to 1908 from ship logbooks and other historical records and interpolated missing harvest data as necessary with a generalized linear model fit to the historical record. Using an approximate Bayesian computation framework, harvest data, and a stochastic age-structured population model, we estimated the pre-exploitation abundance of Antarctic fur seals on South Georgia was 2.5 million females (95% CI 1.5-3.5 million). This estimate is similar to recent abundance estimates, and suggests current populations, and the ecological consequences of so many fur seals on the island, may be similar to conditions prior to human harvest. Although the historic archive on the fur sealing era is unavoidably patchy, the use of archival records is essential for reconstructing the past and, correspondingly, to understanding the present. Article impact statement: Defining species recovery requires an understanding of baseline population state, which can be estimated through statistical methods.</t>
  </si>
  <si>
    <t>[Foley, Catherine M.] Univ Hawaii Manoa, Hawaii Inst Marine Biol, POB 1346, Kaneohe, HI 96744 USA; [Lynch, Heather J.] SUNY Stony Brook, Dept Ecol &amp; Evolut, 650 Life Sci Bldg, Stony Brook, NY 11794 USA</t>
  </si>
  <si>
    <t>University of Hawaii System; University of Hawaii Manoa; State University of New York (SUNY) System; State University of New York (SUNY) Stony Brook</t>
  </si>
  <si>
    <t>Foley, CM (corresponding author), Univ Hawaii Manoa, Hawaii Inst Marine Biol, POB 1346, Kaneohe, HI 96744 USA.</t>
  </si>
  <si>
    <t>foleyc@hawaii.edu</t>
  </si>
  <si>
    <t>Lynch, Heather/0000-0002-9026-1612</t>
  </si>
  <si>
    <t>U.S. National Science Foundation Office of Polar Programs [NSF/OPP-1255058]; Explorer's Club Mamot Award; Explorer's Club Marmot Award; Stony Brook University Sokal Award for Statistical Ecology</t>
  </si>
  <si>
    <t>U.S. National Science Foundation Office of Polar Programs(National Science Foundation (NSF)); Explorer's Club Mamot Award; Explorer's Club Marmot Award; Stony Brook University Sokal Award for Statistical Ecology</t>
  </si>
  <si>
    <t>We gratefully acknowledge assistance from the U.S. National Science Foundation Office of Polar Programs (award NSF/OPP-1255058) and the Explorer's Club Mamot Award. Funding for travel to historical archives was provided by The Explorer's Club Marmot Award and the Stony Brook University Sokal Award for Statistical Ecology. Computational support provided by Stony Brook University's Institute for Advanced Computational Science and the SeaWulf computing cluster. We thank R. Akcakaya for his suggestions in constructing the population model, Y. El-Laham and Z. Krayem for help improving the sampling efficiency of the ABC model, and the research teams at the New BedfordWhaling Museum, New Bedford, Massachusetts, G. W. Blunt White Library at the Mystic Seaport, Mystic, Connecticut, British Library, London, and the Scott Polar Research Institute, Cambridge, United Kingdom, for help with the archival research.</t>
  </si>
  <si>
    <t>10.1111/cobi.13416</t>
  </si>
  <si>
    <t>KG0MI</t>
  </si>
  <si>
    <t>WOS:000486293700001</t>
  </si>
  <si>
    <t>Putzke, J; Vieira, FCB; Pereira, AB</t>
  </si>
  <si>
    <t>Putzke, Jair; Beber Vieira, Frederico Costa; Pereira, Antonio Batista</t>
  </si>
  <si>
    <t>Vegetation recovery after the removal of a facility in Elephant Island, Maritime Antarctic</t>
  </si>
  <si>
    <t>LAND DEGRADATION &amp; DEVELOPMENT</t>
  </si>
  <si>
    <t>Antarctica; anthropogenic impact; mosses; plant community; recolonization; refuge</t>
  </si>
  <si>
    <t>REPRODUCTION</t>
  </si>
  <si>
    <t>This study aimed to evaluate the speed of revegetation of Antarctic soil affected by 13 years of anthropogenic influence in the form of a refuge building at Stinker Point, Elephant Island, Antarctica. Fourteen years after the removal, in the 2011/2012 austral summer, a qualitative survey of the vegetation cover and biodiversity was conducted using photographs and image processing of the entire field. Data were compared with records from the Technical Archive of the Brazilian Antarctic Program. Recovery had occurred at a faster rate than expected. There was a rapid covering of Deschampsia antarctica Desv. (Poaceae), Sanionia uncinata (Hedw.) Loeske, and Bryum argentum Hedw. (Bryophyta), evidenced by the larger percentage of surface coverage and frequency by these species. The findings are important because they help establish new concepts on environmental security related to preserving plant communities in new Antarctic settlements or camps, supporting that the rapid recovery of the ecosystem after their removal is possible.</t>
  </si>
  <si>
    <t>[Putzke, Jair; Beber Vieira, Frederico Costa; Pereira, Antonio Batista] Univ Fed Pampa UNIPAMPA, NEVA, Ave Antonio Trilha 1847, BR-97300000 Sao Gabriel, RS, Brazil</t>
  </si>
  <si>
    <t>Universidade Federal do Pampa</t>
  </si>
  <si>
    <t>Vieira, FCB (corresponding author), Univ Fed Pampa UNIPAMPA, NEVA, Ave Antonio Trilha 1847, BR-97300000 Sao Gabriel, RS, Brazil.</t>
  </si>
  <si>
    <t>fredericovieira@unipampa.edu.br</t>
  </si>
  <si>
    <t>Putzke, Jair/P-9380-2019; Pereira, Antonio/AAD-5703-2019; Pereira, Antonio B/I-8201-2014</t>
  </si>
  <si>
    <t>Pereira, Antonio B/0000-0003-0368-4594; , jair/0000-0002-9018-9024; Vieira, Frederico/0000-0001-5565-7593</t>
  </si>
  <si>
    <t>INCT-APA; FAPERJ [E-26/170.023/2008]; CNPq [574018/2008]</t>
  </si>
  <si>
    <t>INCT-APA; FAPERJ(Fundacao Carlos Chagas Filho de Amparo a Pesquisa do Estado do Rio De Janeiro (FAPERJ)); CNPq(Conselho Nacional de Desenvolvimento Cientifico e Tecnologico (CNPQ))</t>
  </si>
  <si>
    <t>INCT-APA; FAPERJ, Grant/Award Number: E-26/170.023/2008; CNPq, Grant/Award Number: 574018/2008</t>
  </si>
  <si>
    <t>1085-3278</t>
  </si>
  <si>
    <t>1099-145X</t>
  </si>
  <si>
    <t>LAND DEGRAD DEV</t>
  </si>
  <si>
    <t>Land Degrad. Dev.</t>
  </si>
  <si>
    <t>JAN 15</t>
  </si>
  <si>
    <t>10.1002/ldr.3431</t>
  </si>
  <si>
    <t>Environmental Sciences; Soil Science</t>
  </si>
  <si>
    <t>Environmental Sciences &amp; Ecology; Agriculture</t>
  </si>
  <si>
    <t>KA8HI</t>
  </si>
  <si>
    <t>WOS:000486323500001</t>
  </si>
  <si>
    <t>Laptikhovsky, V</t>
  </si>
  <si>
    <t>Laptikhovsky, Vladimir</t>
  </si>
  <si>
    <t>White blood of the Antarctic icefish: Why?</t>
  </si>
  <si>
    <t>Icefish; Channichthyinae; Haemoglobin; Antarctic; Evolution</t>
  </si>
  <si>
    <t>IRON FERTILIZATION EXPERIMENTS; DISSOLVED IRON; FISH HEMOGLOBINS; EVOLUTION; OCEAN; CONSEQUENCES; EXPRESSION; TRANSPORT; STORAGE; GENES</t>
  </si>
  <si>
    <t>The Antarctic icefish subfamily Channichthyinae have evolved a range of unique physiological adaptations that permit them to exist without the oxygen-transporting haemoglobin proteins, and some species even lack the intracellular oxygen-binding protein myoglobin. These physiological adaptations have been the subject of numerous studies, but the simple problem of why this group lost such a valuable adaptation during their evolutionary history has never been addressed. Here, I hypothesise that it happened during a period of iron deficiency in the Southern Ocean after the Antarctic ecosystem acquired its recent oceanographic properties. Alower dependence on dissolved iron in this new environment probably gave some evolutionary advantages to fish species that did not require this element in essential amounts for their physiological needs.</t>
  </si>
  <si>
    <t>[Laptikhovsky, Vladimir] Cefas, Pakefield Rd, Lowestoft NR33 0HT, Suffolk, England</t>
  </si>
  <si>
    <t>Centre for Environment Fisheries &amp; Aquaculture Science</t>
  </si>
  <si>
    <t>Laptikhovsky, V (corresponding author), Cefas, Pakefield Rd, Lowestoft NR33 0HT, Suffolk, England.</t>
  </si>
  <si>
    <t>vladimir.laptikhovsky@cefas.co.uk</t>
  </si>
  <si>
    <t>10.3354/meps13078</t>
  </si>
  <si>
    <t>IX5QX</t>
  </si>
  <si>
    <t>WOS:000485739800017</t>
  </si>
  <si>
    <t>Dadic, R; Schneebeli, M; Wiese, M; Bertler, NAN; Salamatin, AN; Theile, TC; Alley, RB; Lipenkov, VY</t>
  </si>
  <si>
    <t>Dadic, R.; Schneebeli, M.; Wiese, M.; Bertler, N. A. N.; Salamatin, A. N.; Theile, T. C.; Alley, R. B.; Lipenkov, V. Ya.</t>
  </si>
  <si>
    <t>Temperature-Driven Bubble Migration as Proxy for Internal Bubble Pressures and Bubble Trapping Function in Ice Cores</t>
  </si>
  <si>
    <t>air bubbles; ice cores; pressure distribution; bubble trapping function; past changes</t>
  </si>
  <si>
    <t>ATMOSPHERIC METHANE CONCENTRATION; ACCUMULATION-RATE; AGE DIFFERENCE; GAS-TRANSPORT; AIR BUBBLES; POLAR ICE; ROSS SEA; FIRN; ANTARCTICA; CLIMATE</t>
  </si>
  <si>
    <t>Ice core data record significant and abrupt past climate changes that are associated with large and rapid changes in atmospheric greenhouse gases, such as methane. Due to the gradual close-off of gas bubbles and the relatively fast diffusion of gases within the firn column, even a discrete or quick step increase in air composition may be smoothed or integrated in the data; current laboratory analyses of gases consider the mean gas content value across all bubbles in a sample, rather than the content of individual bubbles. The convolution of the distribution of trapping ages with the history of atmospheric composition thus smears the measured gas record in each sample. We developed a nondestructive method to determine pressure distribution in all bubbles in a sample and estimate the shape of the trapping function derived from that bubble pressure distribution and site characteristics. Our method works not only for present conditions but also through varying paleo-atmospheric conditions, while providing accurate measurements of morphological bubble properties. The method is based on using temperature-driven air bubble migration as a proxy for the pressure of individual bubbles, which we combine with a model for bubbly ice densification to obtain the gas trapping functions and constrain the age distribution of air bubbles for past conditions, which are preserved at different depths. The trapping functions will help us to obtain a more accurate gas signal in the future that is less attenuated through the age distribution of the gas during the close-off process.</t>
  </si>
  <si>
    <t>[Dadic, R.; Bertler, N. A. N.] Victoria Univ Wellington, Antarctic Res Ctr, Wellington, New Zealand; [Schneebeli, M.; Wiese, M.; Theile, T. C.] WSL Inst Snow &amp; Avalanche Res SLF, Davos, Switzerland; [Bertler, N. A. N.] GNS Sci, Lower Hutt, New Zealand; [Salamatin, A. N.] Kazan Fed Univ, Dept Appl Math, Kazan, Russia; [Alley, R. B.] Penn State Univ, Dept Geosci, University Pk, PA 16802 USA; [Lipenkov, V. Ya.] Arctic &amp; Antarctic Res Inst, St Petersburg, Russia</t>
  </si>
  <si>
    <t>Victoria University Wellington; Swiss Federal Institutes of Technology Domain; Swiss Federal Institute for Forest, Snow &amp; Landscape Research; GNS Science - New Zealand; Kazan Federal University; Pennsylvania Commonwealth System of Higher Education (PCSHE); Pennsylvania State University; Pennsylvania State University - University Park; Arctic &amp; Antarctic Research Institute</t>
  </si>
  <si>
    <t>Dadic, R (corresponding author), Victoria Univ Wellington, Antarctic Res Ctr, Wellington, New Zealand.</t>
  </si>
  <si>
    <t>ruzica.dadic@vuw.ac.nz</t>
  </si>
  <si>
    <t>Schneebeli, Martin/B-1063-2008; Bertler, Nancy A N/F-3967-2011; Salamatin, Andrey/A-9831-2016</t>
  </si>
  <si>
    <t>Schneebeli, Martin/0000-0003-2872-4409; Salamatin, Andrey/0000-0002-5988-6024; Bertler, Nancy/0000-0001-6028-4891; Wiese, Mareike/0000-0002-1056-338X; Alley, Richard/0000-0003-1833-0115; Dadic, Ruzica/0000-0003-1303-1896</t>
  </si>
  <si>
    <t>New Zealand Royal Society Marsden Fund [VUW1314, 15-VUW-131]; New Zealand Ministry of Business, Innovation, and Employment Grants through Victoria University of Wellington [RDF-VUW-1103]; GNS Science [540GCT32, 540GCT12]; Swiss National Science Foundation [200021-143839]; Antarctica New Zealand [K049]; Swiss National Science Foundation (SNF) [200021_143839] Funding Source: Swiss National Science Foundation (SNF)</t>
  </si>
  <si>
    <t>New Zealand Royal Society Marsden Fund(Royal Society of New ZealandMarsden Fund (NZ)); New Zealand Ministry of Business, Innovation, and Employment Grants through Victoria University of Wellington(New Zealand Ministry of Business, Innovation and Employment (MBIE)); GNS Science; Swiss National Science Foundation(Swiss National Science Foundation (SNSF)); Antarctica New Zealand; Swiss National Science Foundation (SNF)(Swiss National Science Foundation (SNSF))</t>
  </si>
  <si>
    <t>This work was funded by the New Zealand Royal Society Marsden Fund (VUW1314 and 15-VUW-131), by the New Zealand Ministry of Business, Innovation, and Employment Grants through Victoria University of Wellington (RDF-VUW-1103) and GNS Science (540GCT32 and 540GCT12), and Antarctica New Zealand (K049). M.Wiese was funded by the Swiss National Science Foundation (200021-143839).We would like to thank the WSL Institute for Snow and Avalanche Research SLF for hosting R. Dadic and making the laboratory work possible. M. Jaggi coordinated the ice core sample transport and storage and provided help in the laboratory at SLF. GNS Science and R. Pyne provided cold laboratory space and support for the second set of experiments with the microscope. A. Staffensdottir set up and conducted those experiments with the help of A. Pyne, A. Benson, D. Mandeno, and R. Pyne. A. Beliaev always found a solution for computer-related difficulties, and B. Anderson and H. Horgan gave valuable feedback on ice processes. M. Winstrup, H. Conway, J.Lee, and E. Brook shared invaluable data from the RICE core. This work is a contribution to the Roosevelt Island Climate Evolution (RICE) Program, funded by national contributions from New Zealand, Australia, Denmark, Germany, Italy, the People's Republic of China, Sweden, the United Kingdom, and the United States. The main logistics support was provided by Antarctica New Zealand (K049) and the US Antarctic Program. We are grateful to the editor and the reviewers for their constructive comments, which improved the manuscript significantly. The data from our experiments are available at https://doi.org/10.1594/PANGAEA.905074.</t>
  </si>
  <si>
    <t>17-18</t>
  </si>
  <si>
    <t>10.1029/2019JD030891</t>
  </si>
  <si>
    <t>JK3LS</t>
  </si>
  <si>
    <t>WOS:000486872200001</t>
  </si>
  <si>
    <t>Wege, M; de Bruyn, PJN; Hindell, MA; Lea, MA; Bester, MN</t>
  </si>
  <si>
    <t>Wege, Mia; de Bruyn, P. J. Nico; Hindell, Mark A.; Lea, Mary-Anne; Bester, Marthan N.</t>
  </si>
  <si>
    <t>Preferred, small-scale foraging areas of two Southern Ocean fur seal species are not determined by habitat characteristics</t>
  </si>
  <si>
    <t>BMC ECOLOGY</t>
  </si>
  <si>
    <t>Arctocephalus; Boosted regression tree; Foraging behaviour; Foraging segregation; Machine learning; Marion Island; Niche; Sympatry</t>
  </si>
  <si>
    <t>PRINCE EDWARD ISLANDS; ARCTOCEPHALUS-TROPICALIS; OCEANOGRAPHIC FEATURES; COLONY SIZE; PUP GROWTH; SEABIRDS; BEHAVIOR; PENGUINS; PREDATOR; ASSEMBLAGES</t>
  </si>
  <si>
    <t>Background To understand and predict the distribution of foragers, it is crucial to identify the factors that affect individual movement decisions at different scales. Individuals are expected to adjust their foraging movements to the hierarchical spatial distribution of resources. At a small local scale, spatial segregation in foraging habitat happens among individuals of closely situated colonies. If foraging segregation is due to differences in distribution of resources, we would expect segregated foraging areas to have divergent habitat characteristics. Results We investigated how environmental characteristics of preferred foraging areas differ between two closely situated Subantarctic fur seal (Arctocephalus tropicalis) colonies and a single Antarctic fur seal (A. gazella) colony that forage in different pelagic areas even though they are located well within each other's foraging range. We further investigated the influence of the seasonal cycle on those environmental factors. This study used tracking data from 121 adult female Subantarctic and Antarctic fur seals, collected during summer and winter (2009-2015), from three different colonies. Boosted Regression Tree species distribution models were used to determine key environmental variables associated with areas of fur seal restricted search behaviour. There were no differences in the relative influence of key environmental variables between colonies and seasons. The variables with the most influence for each colony and season were latitude, longitude and magnitude of sea-currents. The influence of latitude and longitude is a by-product of the species' distinct foraging areas, despite the close proximity (&lt; 25 km) of the colonies. The predicted potential foraging areas for each colony changed from summer to winter, reflecting the seasonal cycle of the Southern Ocean. The model predicted that the potential foraging areas of females from the three colonies should overlap, and the fact they do not in reality indicates that factors other than environmental are influencing the location of each colony's foraging area. Conclusions The results indicated that small scale spatial segregation of foraging habitats is not driven by bottom-up processes. It is therefore important to also consider other potential drivers, e.g. competition, information transfer, and memory, to understand animal foraging decisions and movements.</t>
  </si>
  <si>
    <t>[Wege, Mia; de Bruyn, P. J. Nico; Bester, Marthan N.] Univ Pretoria, Dept Zool &amp; Entomol, Mammal Res Inst, Private Bag X20, ZA-0028 Pretoria, South Africa; [Hindell, Mark A.; Lea, Mary-Anne] Univ Tasmania, Inst Marine &amp; Antarctic Studies, 20 Castray Esplanade, Hobart, Tas 7004, Australia; [Hindell, Mark A.] Univ Tasmania, Antarctic Climate &amp; Ecosyst Cooperat Res Ctr, Hobart, Tas 7004, Australia</t>
  </si>
  <si>
    <t>University of Pretoria; University of Tasmania; Antarctic Climate &amp; Ecosystems Cooperative Research Centre (ACE CRC); University of Tasmania</t>
  </si>
  <si>
    <t>Wege, M (corresponding author), Univ Pretoria, Dept Zool &amp; Entomol, Mammal Res Inst, Private Bag X20, ZA-0028 Pretoria, South Africa.</t>
  </si>
  <si>
    <t>mia.wege@gmail.com</t>
  </si>
  <si>
    <t>de Bruyn, P. J. Nico/E-4176-2010; Wege, Mia/B-1103-2016; Hindell, Mark A/K-1131-2013; Lea, Mary-Anne/E-9054-2013</t>
  </si>
  <si>
    <t>de Bruyn, P. J. Nico/0000-0002-9114-9569; Wege, Mia/0000-0002-9022-3069; Lea, Mary-Anne/0000-0001-8318-9299; Hindell, Mark/0000-0002-7823-7185</t>
  </si>
  <si>
    <t>South African Department of Science and Technology (DST); National Research Foundation (NRF) [93071]</t>
  </si>
  <si>
    <t>South African Department of Science and Technology (DST); National Research Foundation (NRF)</t>
  </si>
  <si>
    <t>Funding for the project was obtained from the South African Department of Science and Technology (DST) and National Research Foundation (NRF), Grant Number 93071. The Department of Environmental Affairs supplied logistical support within the South African National Antarctic Programme. The DST and the NRF played no role in the design of the study and collection, analysis, and interpretation of data and in writing the manuscript.</t>
  </si>
  <si>
    <t>1472-6785</t>
  </si>
  <si>
    <t>BMC ECOL</t>
  </si>
  <si>
    <t>BMC Ecol.</t>
  </si>
  <si>
    <t>SEP 11</t>
  </si>
  <si>
    <t>10.1186/s12898-019-0252-x</t>
  </si>
  <si>
    <t>IX8IP</t>
  </si>
  <si>
    <t>WOS:000485930400003</t>
  </si>
  <si>
    <t>Harrison, LMK; Goetz, K; Cox, MJ; Harcourt, R</t>
  </si>
  <si>
    <t>Harrison, Lisa-Marie K.; Goetz, Kimberly; Cox, Martin J.; Harcourt, Robert</t>
  </si>
  <si>
    <t>A Southern Ocean archipelago enhances feeding opportunities for a krill predator</t>
  </si>
  <si>
    <t>Antarctic krill; density surface model; feeding; humpback whale; island mass effect; prey field; southern ocean</t>
  </si>
  <si>
    <t>HUMPBACK WHALES; EUPHAUSIA-SUPERBA; PHYTOPLANKTON PRODUCTION; ENVIRONMENTAL VARIABLES; MEGAPTERA-NOVAEANGLIAE; FORAGING BEHAVIOR; ATLANTIC SECTOR; BALEEN WHALES; FRONTAL ZONES; BOTTOM-UP</t>
  </si>
  <si>
    <t>Productivity in the oceans is heightened around oceanographic and bathymetric features such as fronts and islands. This can have a flow-on effect, providing increased food availability for higher trophic level species. Using data from a 5-day combined visual and acoustic survey, we examined the hypothesis that higher Antarctic krill (Euphausia superba) density provides a lucrative resource for humpback whales (Megaptera novaeangliae) at a remote Antarctic feeding area, the Balleny Islands (67(o)S, 164 degrees E). We assessed whale presence at the feeding area in relation to prey (krill), productivity and environmental variables using density surface modeling. We found stark differences between krill swarms near the islands and those in adjacent open water. Swarms were twice as dense and three times more numerous near the Balleny Islands compared to an open water pelagic environment, suggesting that the islands offered a profitable feeding opportunity. At the feeding area, whales were found in deeper and more productive waters with medium krill densities. These relationships, along with the high krill availability around the islands, may be the result of the Island Mass Effect.</t>
  </si>
  <si>
    <t>[Harrison, Lisa-Marie K.; Harcourt, Robert] Macquarie Univ, Fac Sci &amp; Engn, Dept Biol Sci, Marine Predator Res Grp, N Ryde, NSW 2109, Australia; [Goetz, Kimberly] Natl Inst Water &amp; Atmospher Res, Wellington, New Zealand; [Cox, Martin J.] Australian Antarctic Div, Kingston, Tas, Australia</t>
  </si>
  <si>
    <t>Macquarie University; National Institute of Water &amp; Atmospheric Research (NIWA) - New Zealand; Australian Antarctic Division</t>
  </si>
  <si>
    <t>Harcourt, R (corresponding author), Macquarie Univ, Fac Sci &amp; Engn, Dept Biol Sci, Marine Predator Res Grp, N Ryde, NSW 2109, Australia.</t>
  </si>
  <si>
    <t>robert.harcourt@mq.edu.au</t>
  </si>
  <si>
    <t>Goetz, Kimberly/AID-8232-2022</t>
  </si>
  <si>
    <t>Harcourt, Robert/0000-0003-4666-2934</t>
  </si>
  <si>
    <t>Antarctica New Zealand [TAN1502]; Australian Antarctic Division [4102, 4104]; Australian Research Council [FS11020005]; Macquarie University; National Institute of Water and Atmospheric Research [VES15303]</t>
  </si>
  <si>
    <t>Antarctica New Zealand; Australian Antarctic Division; Australian Research Council(Australian Research Council); Macquarie University; National Institute of Water and Atmospheric Research</t>
  </si>
  <si>
    <t>Antarctica New Zealand, Grant/Award Number: TAN1502; Australian Antarctic Division, Grant/Award Numbers: Project 4102, Project 4104; Australian Research Council, Grant/Award Number: FS11020005; Macquarie University, Grant/Award Number: Macquarie University Research Excellence Scholarsh; National Institute of Water and Atmospheric Research, Grant/Award Number: VES15303</t>
  </si>
  <si>
    <t>10.1111/mms.12645</t>
  </si>
  <si>
    <t>KA1RX</t>
  </si>
  <si>
    <t>WOS:000485487500001</t>
  </si>
  <si>
    <t>Barbat, MM; Rackow, T; Hellmer, HH; Wesche, C; Mata, MM</t>
  </si>
  <si>
    <t>Barbat, Mauro M.; Rackow, Thomas; Hellmer, Hartmut H.; Wesche, Christine; Mata, Mauricio M.</t>
  </si>
  <si>
    <t>Three Years of Near-Coastal Antarctic Iceberg Distribution From a Machine Learning Approach Applied to SAR Imagery</t>
  </si>
  <si>
    <t>icebergs; SAR imagery; remote sensing; machine learning; Southern Ocean</t>
  </si>
  <si>
    <t>WEDDELL SEA; BOTTOM WATER; SIZE; IDENTIFICATION; CLIMATOLOGY; EVOLUTION; TRACKING; IMPACT; DRIFT; MELT</t>
  </si>
  <si>
    <t>Mass loss around the Antarctic Ice Sheet is driven by basal melting and iceberg calving, which constitute the two dominant paths of freshwater flux into the Southern Ocean. Although of similar magnitude, icebergs play an important and still not fully understood role in the balance of heat and freshwater around Antarctica. This lack of understanding is partly due to operational difficulties in large-scale monitoring in polar regions, despite observational and remote sensing efforts. In this study, a novel machine learning approach, augmented by visual inspection, was applied to three Synthetic Aperture Radar (SAR) mosaics of the whole Antarctic continent and its adjacent coastal zone. Although originally intended for a mapping of the Antarctic continent, the SAR mosaics allow us to document the evolution and distribution of the size (and mass) of icebergs in the pan-Antarctic near-coastal zone for the years 1997, 2000, and 2008. Our novel algorithm identified 7,649 icebergs in 1997, 13,712 icebergs in 2000, and 7,246 icebergs in 2008 with surface areas between 0.1 and 4,567.82 km(2) and total masses of 4,641.53, 6,862.81, and 5,263.69 Gt, respectively. Large regional variability was observed, although a zonal pattern distribution is present. This has implications for future climate modeling studies that try to estimate the freshwater flux from melting icebergs, which demands a realistic representation of the interannually varying near-coastal iceberg pattern to initialize the simulations.</t>
  </si>
  <si>
    <t>[Barbat, Mauro M.; Mata, Mauricio M.] Fundacao Univ Fed Rio Grande, Inst Oceanog, Rio Grande, Brazil; [Rackow, Thomas; Hellmer, Hartmut H.; Wesche, Christine] Helmholtz Ctr Polar &amp; Marine Res, Alfred Wegener Inst, Bremerhaven, Germany</t>
  </si>
  <si>
    <t>Universidade Federal do Rio Grande; Helmholtz Association; Alfred Wegener Institute, Helmholtz Centre for Polar &amp; Marine Research</t>
  </si>
  <si>
    <t>Barbat, MM (corresponding author), Fundacao Univ Fed Rio Grande, Inst Oceanog, Rio Grande, Brazil.</t>
  </si>
  <si>
    <t>Barbat, Mauro/AAB-9829-2020; Rackow, Thomas/AAP-2735-2020; Mata, Mauricio/H-4605-2011</t>
  </si>
  <si>
    <t>Barbat, Mauro/0000-0001-7930-1612; Rackow, Thomas/0000-0002-5468-575X; Mata, Mauricio/0000-0002-9028-8284; Wesche, Christine/0000-0002-9786-4010; Hellmer, Hartmut/0000-0002-9357-9853</t>
  </si>
  <si>
    <t>Brazilian National Institute of Science and Technology of the Cryosphere (INCT-CRIOSFERA) [465680/2014-3]; Brazilian Antarctic Program (PROANTAR) through the Brazilian Ministry of the Environment (MMA); Brazilian Ministry of Science, Technology, Innovation and Communication (MCTIC); Council for Research and Scientific Development of Brazil (CNPq) [405869/2013-4]; CAPES Foundation [AUXPE 1995/2014, 88881.177236/2018-01]; CNPq [306896/2015-0, 140910/2016-6]; Alfred Wegener Institute for Polar and Marine Research (AWI)</t>
  </si>
  <si>
    <t>Brazilian National Institute of Science and Technology of the Cryosphere (INCT-CRIOSFERA); Brazilian Antarctic Program (PROANTAR) through the Brazilian Ministry of the Environment (MMA); Brazilian Ministry of Science, Technology, Innovation and Communication (MCTIC); Council for Research and Scientific Development of Brazil (CNPq)(Conselho Nacional de Desenvolvimento Cientifico e Tecnologico (CNPQ)); CAPES Foundation(Coordenacao de Aperfeicoamento de Pessoal de Nivel Superior (CAPES)); CNPq(Conselho Nacional de Desenvolvimento Cientifico e Tecnologico (CNPQ)); Alfred Wegener Institute for Polar and Marine Research (AWI)</t>
  </si>
  <si>
    <t>This study is a contribution to the activities of the Brazilian High Latitudes Oceanography Group (GOAL) and the Brazilian National Institute of Science and Technology of the Cryosphere (INCT-CRIOSFERA; 465680/2014-3). The GOAL has been funded by the Brazilian Antarctic Program (PROANTAR) through the Brazilian Ministry of the Environment (MMA), the Brazilian Ministry of Science, Technology, Innovation and Communication (MCTIC), the Council for Research and Scientific Development of Brazil (CNPq; 405869/2013-4), and CAPES Foundation (AUXPE 1995/2014). M. M. Barbat acknowledges the fellowships from CNPq (140910/2016-6), CAPES Foundation (88881.177236/2018-01), and Alfred Wegener Institute for Polar and Marine Research (AWI). M. M. Mata acknowledges CNPq grant 306896/2015-0. We also thank the Canadian Cryospheric Information Network (CCIN) for providing the SAR data used in this study, which can be accessed online (https://www.polardata.ca/pdcsearch/).In addition, we have uploaded the full iceberg database and software used in this work to the institutional website of Federal University of Rio Grande, Brazil (https://goal.furg.br/producao-cientifica/supplements).</t>
  </si>
  <si>
    <t>10.1029/2019JC015205</t>
  </si>
  <si>
    <t>JG6QX</t>
  </si>
  <si>
    <t>WOS:000489663200001</t>
  </si>
  <si>
    <t>Zhang, DM; Vogelmann, A; Kollias, P; Luke, E; Yang, F; Lubin, D; Wang, ZE</t>
  </si>
  <si>
    <t>Zhang, Damao; Vogelmann, Andrew; Kollias, Pavlos; Luke, Edward; Yang, Fan; Lubin, Dan; Wang, Zhien</t>
  </si>
  <si>
    <t>Comparison of Antarctic and Arctic Single-Layer Stratiform Mixed-Phase Cloud Properties Using Ground-Based Remote Sensing Measurements</t>
  </si>
  <si>
    <t>polar; stratiform mixed-phase clouds; remote sensing; retrievals; cloud macrophysical and microphysical properties; supercooled liquid fraction</t>
  </si>
  <si>
    <t>ICE WATER-CONTENT; MICROPHYSICAL PROPERTIES; RADAR MEASUREMENTS; LIQUID WATER; ROSS ISLAND; PART I; RETRIEVAL; SURFACE; OCEAN; REFLECTIVITY</t>
  </si>
  <si>
    <t>Ground-based remote sensing measurements from the Atmospheric Radiation Measurement Program (ARM) West Antarctic Radiation Experiment (AWARE) campaign at the McMurdo station and the ARM North Slope of Alaska (NSA) Utqia &amp; x121;vik site are used to retrieve and analyze single-layer stratiform mixed-phase cloud macrophysical and microphysical properties for these different polar environments. Single-layer stratiform mixed-phase clouds have annual frequencies of occurrence of similar to 14.7% at Utqia &amp; x121;vik and similar to 7.3% at McMurdo, with the highest occurrences in early autumn. Compared to Utqia &amp; x121;vik, stratiform mixed-phase clouds at McMurdo have overall higher and colder cloud-tops, thicker ice layer depth, thinner liquid-dominated layer depth, and smaller liquid water path. These properties show clear seasonal variations. Supercooled liquid fraction at McMurdo is greater than at Utqia &amp; x121;vik because, at a given temperature, McMurdo clouds have comparable liquid water paths but smaller ice water paths. Analyses of retrieved cloud microphysical properties show that compared to Utqia &amp; x121;vik, stratiform mixed-phase clouds at McMurdo have greater liquid droplet number concentration, smaller layer-mean effective radius, and smaller ice water content and ice number concentration at a given cloud-top temperature. These relationships may be related to different aerosol loading and chemical composition, and environment dynamics. Results presented in this study can be used as observational constraints for model representations of stratiform mixed-phase clouds.</t>
  </si>
  <si>
    <t>[Zhang, Damao; Vogelmann, Andrew; Kollias, Pavlos; Luke, Edward; Yang, Fan] Brookhaven Natl Lab, Upton, NY 11973 USA; [Kollias, Pavlos] SUNY Stony Brook, Sch Marine &amp; Atmospher Sci, New York, NY USA; [Lubin, Dan] Univ Calif San Diego, Scripps Inst Oceanog, La Jolla, CA 92093 USA; [Wang, Zhien] Univ Wyoming, Dept Atmospher Sci, Laramie, WY 82071 USA</t>
  </si>
  <si>
    <t>United States Department of Energy (DOE); Brookhaven National Laboratory; State University of New York (SUNY) System; State University of New York (SUNY) Stony Brook; University of California System; University of California San Diego; Scripps Institution of Oceanography; University of Wyoming</t>
  </si>
  <si>
    <t>Zhang, DM (corresponding author), Brookhaven Natl Lab, Upton, NY 11973 USA.</t>
  </si>
  <si>
    <t>dzhang@bnl.gov</t>
  </si>
  <si>
    <t>Yang, Fan/JGM-1775-2023; Yang, Fan/AAA-9588-2020; Zhang, Damao/JVD-9442-2023; Wang, Zhien/AAB-1528-2021; Wang, Zhien/AAN-2341-2020; Zhang, Damao/A-2900-2016; Wang, Zhien/F-4857-2011; Vogelmann, Andrew/M-8779-2014</t>
  </si>
  <si>
    <t>Yang, Fan/0000-0001-8866-6664; Yang, Fan/0000-0001-8866-6664; Zhang, Damao/0000-0002-3518-292X; Lubin, Dan/0000-0002-5899-8358; Wang, Zhien/0000-0003-3871-3834; Vogelmann, Andrew/0000-0003-1918-5423; Luke, Edward/0000-0002-1606-0046; Kollias, Pavlos/0000-0002-5984-7869</t>
  </si>
  <si>
    <t>DOE ARM Climate Research Facility Program; NSF Division of Polar Program; U.S. Department of Energy (DOE) [DE-SC0012704]; DOE [DE-SC0017981, DE-SC0018926]; U.S. National Science Foundation [PLR-1443549, OPP-1744954]; U.S. Department of Energy (DOE) [DE-SC0018926] Funding Source: U.S. Department of Energy (DOE)</t>
  </si>
  <si>
    <t>DOE ARM Climate Research Facility Program; NSF Division of Polar Program; U.S. Department of Energy (DOE)(United States Department of Energy (DOE)); DOE(United States Department of Energy (DOE)); U.S. National Science Foundation(National Science Foundation (NSF)); U.S. Department of Energy (DOE)(United States Department of Energy (DOE))</t>
  </si>
  <si>
    <t>AcknowledgementsAWARE is supported by the DOE ARM Climate Research Facility and NSF Division of Polar Programs. We thank the personnel responsible for the challenging operations and data collection for AWARE and Utqiagvik. We thank Laura Fierce for discussions on aerosol characteristics. D. Z, A. V, P. K, E. L, and F. Y are supported by the U.S. Department of Energy (DOE) under grant DE-SC0012704. D. L. is supported by DOE under grant DE-SC0017981 and by the U.S. National Science Foundation under grants PLR-1443549 and OPP-1744954. Z. W is supported by DOE under grant DE-SC0018926. The authors also want to thank the three anonymous reviewers for their helpful comments in improving the manuscript.</t>
  </si>
  <si>
    <t>10.1029/2019JD030673</t>
  </si>
  <si>
    <t>WOS:000486892200001</t>
  </si>
  <si>
    <t>Winter, K; Woodward, J; Ross, N; Dunning, SA; Hein, AS; Westoby, MJ; Culberg, R; Marrero, SM; Schroeder, DM; Sugden, DE; Siegert, MJ</t>
  </si>
  <si>
    <t>Winter, Kate; Woodward, John; Ross, Neil; Dunning, Stuart A.; Hein, Andrew S.; Westoby, Matthew J.; Culberg, Riley; Marrero, Shasta M.; Schroeder, Dustin M.; Sugden, David E.; Siegert, Martin J.</t>
  </si>
  <si>
    <t>Radar-Detected Englacial Debris in the West Antarctic Ice Sheet</t>
  </si>
  <si>
    <t>radio echo sounding; ground-penetrating radar; West Antarctic Ice Sheet; sediment transfer; debris entrainment; blue ice areas</t>
  </si>
  <si>
    <t>ELLSWORTH MOUNTAINS; LATE PLEISTOCENE; CLIMATE RECORD; PATRIOT HILLS; WEDDELL SEA; STREAM; EVOLUTION; MORAINES; BED</t>
  </si>
  <si>
    <t>Structural glaci-geological processes can entrain basal sediment into ice, leading to its transportation and deposition downstream. Sediments potentially rich in essential nutrients, like silica and iron, can thus be transferred from continental sources to the ocean, where deposition could enhance marine primary productivity. However, a lack of data has limited our knowledge of sediment entrainment, transfer, and distribution in Antarctica, until now. We use ice-penetrating radar to examine englacial sediments in the Weddell Sea sector of the West Antarctic Ice Sheet. Radargrams reveal englacial reflectors on the leeside of nunataks and subglacial highlands, where Mie scattering analysis of the reflectors suggests particle sizes consistent with surface moraine sediments. We hypothesize that these sediments are entrained at the thermal boundary between cold and warm-based ice. Conservative estimates of &gt;130 x 10(9) kg of englacial sediment in Horseshoe Valley alone suggest that the ice sheet has significant entrainment potential unappreciated previously.</t>
  </si>
  <si>
    <t>[Winter, Kate; Woodward, John; Westoby, Matthew J.] Northumbria Univ, Fac Engn &amp; Environm, Dept Geog &amp; Environm Sci, Newcastle Upon Tyne, Tyne &amp; Wear, England; [Ross, Neil; Dunning, Stuart A.] Newcastle Univ, Sch Geog Polit &amp; Sociol, Newcastle Upon Tyne, Tyne &amp; Wear, England; [Hein, Andrew S.; Marrero, Shasta M.; Sugden, David E.] Univ Edinburgh, Sch Geosci, Edinburgh, Midlothian, Scotland; [Culberg, Riley; Schroeder, Dustin M.] Stanford Univ, Dept Elect Engn, Stanford, CA 94305 USA; [Schroeder, Dustin M.] Stanford Univ, Dept Geophys, Stanford, CA 94305 USA; [Siegert, Martin J.] Imperial Coll London, Grantham Inst, London, England; [Siegert, Martin J.] Imperial Coll London, Dept Earth Sci &amp; Engn, London, England</t>
  </si>
  <si>
    <t>Northumbria University; Newcastle University - UK; University of Edinburgh; Stanford University; Stanford University; Imperial College London; Imperial College London</t>
  </si>
  <si>
    <t>Winter, K (corresponding author), Northumbria Univ, Fac Engn &amp; Environm, Dept Geog &amp; Environm Sci, Newcastle Upon Tyne, Tyne &amp; Wear, England.</t>
  </si>
  <si>
    <t>k.winter@northumbria.ac.uk</t>
  </si>
  <si>
    <t>Westoby, Matthew/JNE-9260-2023; Woodward, John/I-1046-2013; Siegert, Martin/M-9939-2019; Hein, Andrew/JWO-3756-2024; Dunning, Stuart/A-1820-2010; Westoby, Matthew/D-3880-2016</t>
  </si>
  <si>
    <t>Siegert, Martin/0000-0002-0090-4806; Dunning, Stuart/0000-0002-2310-7367; Schroeder, Dustin/0000-0003-1916-3929; Woodward, John/0000-0002-4980-4080; Marrero, Shasta/0000-0003-2917-0292; Winter, Kate/0000-0003-2389-8637; Culberg, Riley/0000-0002-4460-2359; Westoby, Matthew/0000-0002-2070-5580</t>
  </si>
  <si>
    <t>UK Natural Environment Research Council (NERC) [NE/I027576/1, NE/I025840/1]; NERC Antarctic Funding Initiative grant [NE/G03071/1]; NSF CAREER Award [1745137]; NERC [NE/I025840/1, NE/G00465X/3, NE/I027576/1, NE/K004956/2] Funding Source: UKRI; Directorate For Geosciences; Office of Polar Programs (OPP) [1745137] Funding Source: National Science Foundation</t>
  </si>
  <si>
    <t>UK Natural Environment Research Council (NERC)(UK Research &amp; Innovation (UKRI)Natural Environment Research Council (NERC)); NERC Antarctic Funding Initiative grant; NSF CAREER Award(National Science Foundation (NSF)NSF - Office of the Director (OD)); NERC(UK Research &amp; Innovation (UKRI)Natural Environment Research Council (NERC)); Directorate For Geosciences; Office of Polar Programs (OPP)(National Science Foundation (NSF)NSF - Directorate for Geosciences (GEO))</t>
  </si>
  <si>
    <t>Project work was funded by the UK Natural Environment Research Council (NERC) standard grants NE/I027576/1 and NE/I025840/1. Financial support for the collection of airborne radio-echo sounding data was provided by the NERC Antarctic Funding Initiative grant NE/G03071/1. R. Culberg and D. M. Schroeder were partially supported by NSF CAREER Award 1745137. Radargrams from the Institute and Moller Funding Initiative (IMAFI) are available in SEG-Y format from https://doi:10.5285/8a975b9e-f18c-4c51-9bdb-b00b82da52b8. The comments and advice of the Editor, Edward King and an anonymous referee are gratefully acknowledged. Bernd Kulessa, Robin Bell and Jonathan Kingslake also provided helpful discussions. We thank the British Antarctic Survey for field and logistics support.</t>
  </si>
  <si>
    <t>SEP 1</t>
  </si>
  <si>
    <t>10.1029/2019GL084012</t>
  </si>
  <si>
    <t>KE2JW</t>
  </si>
  <si>
    <t>WOS:000485396900001</t>
  </si>
  <si>
    <t>Cannata, A; Cannavò, F; Moschella, S; Gresta, S; Spina, L</t>
  </si>
  <si>
    <t>Cannata, Andrea; Cannavo, Flavio; Moschella, Salvatore; Gresta, Stefano; Spina, Laura</t>
  </si>
  <si>
    <t>Exploring the link between microseism and sea ice in Antarctica by using machine learning</t>
  </si>
  <si>
    <t>OCEAN MICROSEISMS; AMBIENT-NOISE; WAVE CLIMATE; VARIABILITY; TRANSFORM; ORIGIN; MODEL</t>
  </si>
  <si>
    <t>The most continuous and ubiquitous seismic signal on Earth is the microseism, closely related to ocean wave energy coupling with the solid Earth. A peculiar feature of microseism recorded in Antarctica is the link with the sea ice, making the temporal pattern of microseism amplitudes different with respect to the microseism recorded in low-middle latitude regions. Indeed, during austral winters, in Antarctica the oceanic waves cannot efficiently excite seismic energy because of the sea ice in the Southern Ocean. Here, we quantitatively investigate the relationship between microseism, recorded along the Antarctic coasts, and sea ice concentration. In particular, we show a decrease in sea ice sensitivity of microseism, due to the increasing distance from the station recording the seismic signal. The influence seems to strongly reduce for distances above 1,000 km. Finally, we present an algorithm, based on machine learning techniques, allowing to spatially and temporally reconstruct the sea ice distribution around Antarctica based on the microseism amplitudes. This technique will allow reconstructing the sea ice concentration in both Arctic and Antarctica in periods when the satellite images, routinely used for sea ice monitoring, are not available, with wide applications in many fields, first of all climate studies.</t>
  </si>
  <si>
    <t>[Cannata, Andrea; Moschella, Salvatore; Gresta, Stefano] Univ Catania, Dipartimento Sci Biol Geol &amp; Ambientali, Sez Sci Terra, Corso Italia 57, I-95129 Catania, Italy; [Cannata, Andrea; Cannavo, Flavio] Ist Nazl Geofis &amp; Vulcanol, Osservatorio Etneo Sez Catania, Piazza Roma 2, I-95123 Catania, Italy; [Spina, Laura] Ist Nazl Geofis &amp; Vulcanol, Sez Roma 1, Via Vigna Murata 605, I-00143 Rome, Italy</t>
  </si>
  <si>
    <t>University of Catania; Istituto Nazionale Geofisica e Vulcanologia (INGV); Istituto Nazionale Geofisica e Vulcanologia (INGV)</t>
  </si>
  <si>
    <t>Cannata, A (corresponding author), Univ Catania, Dipartimento Sci Biol Geol &amp; Ambientali, Sez Sci Terra, Corso Italia 57, I-95129 Catania, Italy.;Cannata, A (corresponding author), Ist Nazl Geofis &amp; Vulcanol, Osservatorio Etneo Sez Catania, Piazza Roma 2, I-95123 Catania, Italy.</t>
  </si>
  <si>
    <t>andrea.cannata@unict.it</t>
  </si>
  <si>
    <t>; Cannata, Andrea/N-8589-2014</t>
  </si>
  <si>
    <t>Spina, Laura/0000-0002-0467-2061; Cannata, Andrea/0000-0002-0028-5822</t>
  </si>
  <si>
    <t>PNRA (Programma Nazionale di Ricerche in Antartide); ICE-VOLC (MultiparametrIC Experiment at antarctica VOLCanoes: data from volcano and cryosphere-ocean-atmosphere dynamics [PNRA14_00011]; University of Catania, Piano Triennale della Ricerca di Dipartimento 2016-18 - seconda annualita [22722132140]</t>
  </si>
  <si>
    <t>PNRA (Programma Nazionale di Ricerche in Antartide); ICE-VOLC (MultiparametrIC Experiment at antarctica VOLCanoes: data from volcano and cryosphere-ocean-atmosphere dynamics; University of Catania, Piano Triennale della Ricerca di Dipartimento 2016-18 - seconda annualita</t>
  </si>
  <si>
    <t>We acknowledge PNRA (Programma Nazionale di Ricerche in Antartide) for funding the project ICE-VOLC, ENEA for providing field logistics, and CNR for scientific support. This work was funded by PNRA14_00011 project, called ICE-VOLC (MultiparametrIC Experiment at antarctica VOLCanoes: data from volcano and cryosphere-ocean-atmosphere dynamics, www.icevolc-project.com) and by University of Catania, Piano Triennale della Ricerca di Dipartimento 2016-18 - seconda annualita, cod. 22722132140 (Project Coordinator M. Viccaro).</t>
  </si>
  <si>
    <t>SEP 10</t>
  </si>
  <si>
    <t>10.1038/s41598-019-49586-z</t>
  </si>
  <si>
    <t>IW4ZJ</t>
  </si>
  <si>
    <t>WOS:000484988100024</t>
  </si>
  <si>
    <t>Halpern, BS; Cottrell, RS; Blanchard, JL; Bouwman, L; Froehlich, HE; Gephart, JA; Jacobsen, NS; Kuempel, CD; McIntyre, PB; Metian, M; Moran, DD; Nash, KL; Többen, J; Williams, DR</t>
  </si>
  <si>
    <t>Halpern, Benjamin S.; Cottrell, Richard S.; Blanchard, Julia L.; Bouwman, Lex; Froehlich, Halley E.; Gephart, Jessica A.; Jacobsen, Nis Sand; Kuempel, Caitlin D.; McIntyre, Peter B.; Metian, Marc; Moran, Daniel D.; Nash, Kirsty L.; Tobben, Johannes; Williams, David R.</t>
  </si>
  <si>
    <t>Putting all foods on the same table: Achieving sustainable food systems requires full accounting</t>
  </si>
  <si>
    <t>[Halpern, Benjamin S.; Froehlich, Halley E.; Kuempel, Caitlin D.] Univ Calif Santa Barbara, Natl Ctr Ecol Anal &amp; Synth, Santa Barbara, CA 93101 USA; [Halpern, Benjamin S.; Williams, David R.] Univ Calif Santa Barbara, Bren Sch Environm Sci &amp; Management, Santa Barbara, CA 93106 USA; [Cottrell, Richard S.; Blanchard, Julia L.; Nash, Kirsty L.] Univ Tasmania, Ctr Marine Socioecol, Hobart, Tas 7004, Australia; [Cottrell, Richard S.; Blanchard, Julia L.; Nash, Kirsty L.] Univ Tasmania, Inst Marine &amp; Antarctic Studies, Hobart, Tas 7004, Australia; [Bouwman, Lex] Ocean Univ China, Key Lab Marine Chem Theory &amp; Technol, Minist Educ, Qingdao 266100, Shandong, Peoples R China; [Bouwman, Lex] Univ Utrecht, Fac Geosci, Dept Earth Sci, NL-3508 TA Utrecht, Netherlands; [Bouwman, Lex] PBL Netherlands Environm Assessment Agcy, NL-2500 GH The Hague, Netherlands; [Froehlich, Halley E.] Univ Calif Santa Barbara, Ecol Evolut &amp; Marine Biol, Santa Barbara, CA 93106 USA; [Froehlich, Halley E.] Univ Calif Santa Barbara, Environm Studies, Santa Barbara, CA 93106 USA; [Gephart, Jessica A.] Natl Socioenvironm Synth Ctr, Annapolis, MD 21401 USA; [Gephart, Jessica A.] Amer Univ, Dept Environm Sci, Washington, DC 20016 USA; [Jacobsen, Nis Sand] CNR, Washington, DC 20001 USA; [McIntyre, Peter B.] Cornell Univ, Dept Nat Resources, Fernow Hall, Ithaca, NY 14853 USA; [Metian, Marc] IAEA EL, MC-98000 Monaco, Monaco; [Moran, Daniel D.; Tobben, Johannes] Norwegian Univ Sci &amp; Technol, Dept Energy &amp; Proc Technol, Ind Ecol Programme, N-7491 Trondheim, Norway; [Williams, David R.] Univ Leeds, Sch Earth &amp; Environm, Sustainabil Res Inst, Leeds LS2 9JT, W Yorkshire, England</t>
  </si>
  <si>
    <t>National Center for Ecological Analysis &amp; Synthesis; University of California System; University of California Santa Barbara; University of California System; University of California Santa Barbara; University of Tasmania; University of Tasmania; Ocean University of China; Utrecht University; University of California System; University of California Santa Barbara; University of California System; University of California Santa Barbara; American University; Cornell University; Norwegian University of Science &amp; Technology (NTNU); University of Leeds</t>
  </si>
  <si>
    <t>Halpern, BS (corresponding author), Univ Calif Santa Barbara, Natl Ctr Ecol Anal &amp; Synth, Santa Barbara, CA 93101 USA.;Halpern, BS (corresponding author), Univ Calif Santa Barbara, Bren Sch Environm Sci &amp; Management, Santa Barbara, CA 93106 USA.</t>
  </si>
  <si>
    <t>halpern@nceas.ucsb.edu</t>
  </si>
  <si>
    <t>Williams, David/HKN-3732-2023; Nash, Kirsty L/B-5456-2015; Blanchard, Julia L/E-4919-2010; Moran, Daniel/AAE-6028-2019; Metian, Marc/F-8010-2018; Kuempel, Caitlin D./AAV-8807-2020; Gephart, Jessica/HCH-3165-2022; Cottrell, Richard S./AAT-8401-2020; Bouwman, Lex F/B-7053-2012; Bouwman, Lex/F-1444-2015</t>
  </si>
  <si>
    <t>Nash, Kirsty L/0000-0003-0976-3197; Moran, Daniel/0000-0002-2310-2275; Metian, Marc/0000-0003-1485-5029; Kuempel, Caitlin D./0000-0003-1609-9706; Cottrell, Richard S./0000-0002-6499-7503; Blanchard, Julia/0000-0003-0532-4824; Froehlich, Halley/0000-0001-7322-1523; McIntyre, Peter/0000-0003-1809-7552; Jacobsen, Nis Sand/0000-0001-8754-4518; Bouwman, Lex/0000-0002-2045-1859</t>
  </si>
  <si>
    <t>Zegar Family Foundation; National Socio-Environmental Synthesis Center: National Science Foundation [DBI-1052875]</t>
  </si>
  <si>
    <t>Zegar Family Foundation; National Socio-Environmental Synthesis Center: National Science Foundation</t>
  </si>
  <si>
    <t>The National Center for Ecological Analysis and Synthesis at the University of California, Santa Barbara provided invaluable infrastructural support for this work. The Zegar Family Foundation provided support for the working group; additional support for J. A. G. was from the National Socio-Environmental Synthesis Center: National Science Foundation DBI-1052875.</t>
  </si>
  <si>
    <t>10.1073/pnas.1913308116</t>
  </si>
  <si>
    <t>IW7EC</t>
  </si>
  <si>
    <t>WOS:000485145400001</t>
  </si>
  <si>
    <t>Engebretson, MJ; Pilipenko, VA; Ahmed, LY; Posch, JL; Steinmetz, ES; Moldwin, MB; Connors, MG; Weygand, JM; Mann, IR; Boteler, DH; Russell, CT; Vorobev, AV</t>
  </si>
  <si>
    <t>Engebretson, M. J.; Pilipenko, V. A.; Ahmed, L. Y.; Posch, J. L.; Steinmetz, E. S.; Moldwin, M. B.; Connors, M. G.; Weygand, J. M.; Mann, I. R.; Boteler, D. H.; Russell, C. T.; Vorobev, A. V.</t>
  </si>
  <si>
    <t>Nighttime Magnetic Perturbation Events Observed in Arctic Canada: 1. Survey and Statistical Analysis</t>
  </si>
  <si>
    <t>magnetic impulse events; substorms; magnetic storms; geomagnetically induced currents</t>
  </si>
  <si>
    <t>GEOMAGNETICALLY INDUCED CURRENTS; GAUSSIAN DISTRIBUTION FUNCTION; IMPULSE EVENTS; INDEX FLUCTUATIONS; MAGNETOMETER ARRAY; SOLAR-WIND; FIELD; STORMS; DISTURBANCES; SYSTEMS</t>
  </si>
  <si>
    <t>The rapid changes of magnetic fields associated with large, isolated magnetic perturbations with amplitudes |Delta B| of hundreds of nanotesla and 5- to 10-min periods can induce bursts of geomagnetically induced currents that can harm technological systems. This paper presents statistical summaries of the characteristics of nightside magnetic perturbation events observed in Eastern Arctic Canada from 2014 through 2017 using data from stations that are part of four magnetometer arrays: MACCS, AUTUMNX, CANMOS, and CARISMA, covering a range of magnetic latitudes from 68 to 78 degrees. Most but not all of the magnetic perturbation events were associated with substorms: roughly two thirds occurred between 5 and 30 min after onset. The association of intense nighttime magnetic perturbation events with magnetic storms was significantly reduced at latitudes above 73 degrees, presumably above the nominal auroral oval. A superposed epoch study of 21 strong events at Cape Dorset showed that the largest |dB/dt| values appeared within an similar to 275-km radius that was associated with a region of shear between upward and downward field-aligned currents. The statistical distributions of impulse amplitudes of both |Delta B| and |dB/dt| fit well the log-normal distribution at all stations. The |Delta B| distributions are similar over the magnetic latitude range studied, but the kurtosis and skewness of the |dB/dt| distributions show a slight increase with latitude. Knowledge of the statistical characteristics of these events has enabled us to estimate the occurrence probability of extreme impulsive disturbances using the approximation of a log-normal distribution.</t>
  </si>
  <si>
    <t>[Engebretson, M. J.; Pilipenko, V. A.; Ahmed, L. Y.; Posch, J. L.; Steinmetz, E. S.] Augsburg Univ, Dept Phys, Minneapolis, MN 55454 USA; [Pilipenko, V. A.] Inst Phys Earth, Moscow, Russia; [Moldwin, M. B.] Univ Michigan, Dept Climate &amp; Space Sci &amp; Engn, Ann Arbor, MI 48109 USA; [Connors, M. G.] Athabasca Univ, Athabasca Univ Observ, Athabasca, AB, Canada; [Weygand, J. M.] UCLA, ESS, IGPP, Los Angeles, CA USA; [Mann, I. R.] Univ Alberta, Dept Phys, Edmonton, AB, Canada; [Boteler, D. H.] Nat Resources Canada, Geomagnet Lab, Ottawa, ON, Canada; [Russell, C. T.] Univ Calif Los Angeles, Earth Planetary &amp; Space Sci, Los Angeles, CA USA; [Vorobev, A. V.] Ufa State Aviat Tech Univ, Dept Geoinformat Syst, Ufa, Russia</t>
  </si>
  <si>
    <t>Augsburg University; Russian Academy of Sciences; Schmidt Institute of Physics of the Earth of the Russian Academy of Sciences; University of Michigan System; University of Michigan; Athabasca University; University of California System; University of California Los Angeles; University of Alberta; Natural Resources Canada; University of California System; University of California Los Angeles; Ufa University of Science &amp; Technology</t>
  </si>
  <si>
    <t>Engebretson, MJ (corresponding author), Augsburg Univ, Dept Phys, Minneapolis, MN 55454 USA.</t>
  </si>
  <si>
    <t>engebret@augsburg.edu</t>
  </si>
  <si>
    <t>Vorobev, Andrei/ABC-8106-2021; Russell, Christopher T/E-7745-2012; Vorobev, Andrei/U-6901-2018; Pilipenko, Vyacheslav/K-9747-2015; Moldwin, Mark/F-8785-2011</t>
  </si>
  <si>
    <t>Vorobev, Andrei/0000-0002-9680-5609; Mann, Ian/0000-0003-1004-7841; Pilipenko, Vyacheslav/0000-0003-3056-7465; Moldwin, Mark/0000-0003-0954-1770</t>
  </si>
  <si>
    <t>NSF [AGS1654044, AGS-1651263]; NASA [NAS5-02099, 80NSSC18K0570, 80NSSC18K1220]; Russian Science Foundation [16-17-00121]; Natural Sciences and Engineering Research Council of Canada; Canadian Space Agency; Russian Science Foundation [19-17-11017] Funding Source: Russian Science Foundation</t>
  </si>
  <si>
    <t>NSF(National Science Foundation (NSF)); NASA(National Aeronautics &amp; Space Administration (NASA)); Russian Science Foundation(Russian Science Foundation (RSF)); Natural Sciences and Engineering Research Council of Canada(Natural Sciences and Engineering Research Council of Canada (NSERC)CGIAR); Canadian Space Agency(Canadian Space Agency); Russian Science Foundation(Russian Science Foundation (RSF))</t>
  </si>
  <si>
    <t>We thank S. Ohtani for helpful comments. This work was supported by NSF grant AGS-1651263 to Augsburg University (M. J. E., V. A. P., L. Y. A., J. L. P., and E. S. S.), NSF grant AGS1654044 to the University of Michigan (M. B. M.), NASA grants 80NSSC18K0570 and 80NSSC18K1220 and NASA contract NAS5-02099 to UCLA (J. M. W.), and grant 16-17-00121 from the Russian Science Foundation (A. V. V.). I. R. M. was supported by the Natural Sciences and Engineering Research Council of Canada. We thank D. K. Milling and the rest of the CARISMA team for data. CARISMA is operated by the University of Alberta, funded by the Canadian Space Agency. MACCS magnetometer data are available at http://space.augsburg.edu/maccs/requestdatafile.jsp; AUTUMNX data are available at http://autumn.athabascau.ca/autumnxquery2.php? year=2015&amp; mon=01 &amp; day=01; CANMOS data, provided by the Geological Survey of Canada, are available at http://geomag.nrcan.gc.ca/datadonnee/sd-en.php; and CARISMA data are available at http://www.carisma.ca/carisma-data-repository. The SME index is available from SuperMAG (http://supermag.jhuapl.edu/indices/; PI J. Gjerloev), derived from magnetometer data from Intermagnet; USGS, J. J. Love; CARISMA, PI I. Mann; CANMOS, Geomagnetism Unit of the Geological Survey of Canada; The SRAMP Database, PI K. Yumoto and K. Shiokawa; The SPIDR database; AARI, PI O. Troshichev; The MACCS program, PI M. Engebretson; GIMA; MEASURE, UCLA IGPP and Florida Institute of Technology; 210 Chain, PI K. Yumoto; SAMNET, PI F. Honary; the institutes who maintain the IMAGE magnetometer array, PI E. Tanskanen; PENGUIN; AUTUMN, PI M. Connors; DTU Space, PI R. Behlke; South Pole and McMurdo Magnetometer, PI's L. J. Lanzerotti and A. T. Weatherwax; ICESTAR; RAPIDMAG; PENGUIn; British Antarctic Survey; McMAC, PI P. Chi; BGS, PI S. Macmillan; Pushkov Institute of Terrestrial Magnetism, Ionosphere and Radio Wave Propagation (IZMIRAN); GFZ, PI Juergen Matzka; MFGI, PI B. Heilig; IGFPAS, PI J. Reda; University of L'Aquila, PI M. Vellante.</t>
  </si>
  <si>
    <t>10.1029/2019JA026794</t>
  </si>
  <si>
    <t>JG0FK</t>
  </si>
  <si>
    <t>WOS:000485991500001</t>
  </si>
  <si>
    <t>Nunes, AJP; Sabry-Neto, H; Oliveira-Neto, S; Burri, L</t>
  </si>
  <si>
    <t>Nunes, Alberto J. P.; Sabry-Neto, Hassan; Oliveira-Neto, Severino; Burri, Lena</t>
  </si>
  <si>
    <t>Feed preference and growth response of juvenile Litopenaeus vannamei to supplementation of marine chemoattractants in a fishmeal-challenged diet</t>
  </si>
  <si>
    <t>JOURNAL OF THE WORLD AQUACULTURE SOCIETY</t>
  </si>
  <si>
    <t>chemoattractants; feed stimulation; growth enhancement; shrimp</t>
  </si>
  <si>
    <t>PACIFIC WHITE SHRIMP; KRILL MEAL; PRACTICAL DIETS; BIOGENIC-AMINES; BLUE SHRIMP; PROTEIN; PERFORMANCE; INGREDIENTS; ATTRACTANTS; METHIONINE</t>
  </si>
  <si>
    <t>This study compared the feed preference and growth response of Litopenaeus vannamei to chemoattractants. A diet with 3% fishmeal was supplemented with either 3% salmon meal (POS), 3% soy protein concentrate (NEG), 3% krill meal (KRM), 3% squid meal (SQM), 3% shrimp head meal (SHM), 3% shrimp meal (SM), 3% squid liver meal (SLM), or 5% liquid sardine hydrolysate (SAH). Shrimp with a body weight (BW) of 0.99 +/- 0.08 g were stocked at 100 animals/m(2) in 56 tanks of 1 m(3) and fed 10 times daily for 74 days. Feed preference was evaluated by feeding shrimp of 10.87 +/- 1.82 g in excess twice a day for 10 days in two separate feeding trays allocated in 50 tanks of 0.5 m(3). Survival reached 93.3 +/- 5.80% and was unaffected by supplementation. Final BW was the highest for shrimp fed the KRM-supplemented diet (11.97 +/- 0.93 g), followed by POS (11.11 +/- 0.77 g) and SQM (11.01 +/- 1.17 g). Diets SHM, SM, SLM, and NEG showed a lower shrimp BW than POS, but were not statistically different among them. Shrimp fed the SAH diet achieved the lowest BW (10.06 +/- 1.02 g). The highest gained yield was obtained with diets KRM and POS. No statistical difference was observed in shrimp yield among other diets. The lowest feed conversion ratio (FCR) was achieved with shrimp fed KRM (1.31 +/- 0.05) when compared to diets SHM (1.47 +/- 0.05), SAH (1.47 +/- 0.07), and SLM (1.45 +/- 0.17). Two-by-two comparisons indicated that shrimp preferred SHM and KRM, except when these were compared to SQM and SLM. No difference in feed preference was found between diets with SQM and SLM. SAH was the least preferred raw material in all comparisons. Results indicated that KRM acts as a powerful feeding effector and growth enhancer in fishmeal-challenged diets for whiteleg shrimp. A dietary supplementation with 3% KRM is more effective than the same dose of any other chemoattractant evaluated.</t>
  </si>
  <si>
    <t>[Nunes, Alberto J. P.; Sabry-Neto, Hassan; Oliveira-Neto, Severino] Univ Fed Ceara, LABOMAR Inst Ciencias Mar, Ave Abolicao,3207 Meireles, BR-60165081 Fortaleza, Ceara, Brazil; [Burri, Lena] Aker BioMarine Antarctic AS, Lysaker, Norway</t>
  </si>
  <si>
    <t>Universidade Federal do Ceara</t>
  </si>
  <si>
    <t>Nunes, AJP (corresponding author), Univ Fed Ceara, LABOMAR Inst Ciencias Mar, Ave Abolicao,3207 Meireles, BR-60165081 Fortaleza, Ceara, Brazil.</t>
  </si>
  <si>
    <t>alberto.nunes@ufc.br</t>
  </si>
  <si>
    <t>Nunes, Alberto J.P./O-6926-2017</t>
  </si>
  <si>
    <t>CNPq (Conselho Nacional de Desenvolvimento Cientifico e Tecnologico) [303678/2017-8]</t>
  </si>
  <si>
    <t>CNPq (Conselho Nacional de Desenvolvimento Cientifico e Tecnologico)(Conselho Nacional de Desenvolvimento Cientifico e Tecnologico (CNPQ))</t>
  </si>
  <si>
    <t>CNPq (Conselho Nacional de Desenvolvimento Cientifico e Tecnologico), Grant/Award Number: 303678/2017-8</t>
  </si>
  <si>
    <t>0893-8849</t>
  </si>
  <si>
    <t>1749-7345</t>
  </si>
  <si>
    <t>J WORLD AQUACULT SOC</t>
  </si>
  <si>
    <t>J. World Aquacult. Soc.</t>
  </si>
  <si>
    <t>10.1111/jwas.12648</t>
  </si>
  <si>
    <t>OB9MY</t>
  </si>
  <si>
    <t>WOS:000485615200001</t>
  </si>
  <si>
    <t>Wing, SR; O'Connell-Milne, SA; Wing, LC; Reid, MR</t>
  </si>
  <si>
    <t>Wing, Stephen R.; O'Connell-Milne, Sorrel A.; Wing, Lucy C.; Reid, Malcolm R.</t>
  </si>
  <si>
    <t>Trace metals in Antarctic clam shells record the chemical dynamics of changing sea ice conditions</t>
  </si>
  <si>
    <t>BIVALVE LATERNULA-ELLIPTICA; KING GEORGE ISLAND; ROSS SEA; BENTHIC COMMUNITIES; ARCTICA-ISLANDICA; SOFT-TISSUES; DECLINE; EXTENT; IRON; BAY</t>
  </si>
  <si>
    <t>The dynamics of freeze and thaw events in Antarctic sea ice impart chemical changes in the underlying sea water. Trace metals in sea ice and accumulated through deposition of dust are released into sea water as sea ice breaks up in spring. Clams such as Laternula elliptica incorporate a record of these and associated chemical dynamics in their carbonate shells. In 2012, we collected samples of L. elliptica from three sites along a sea ice persistence gradient in McMurdo Sound, Ross Sea Antarctica. Concentrations of trace metals in the chondrophore of each shell were measured by laser ablation inductively coupled plasma mass spectrometry. Ablations transected annual growth increments creating time series ranging in length from 13 to 25 yr. An 8-yr time period of persistent sea ice, associated with presence of the B-15 and C-19 icebergs at the entrance of McMurdo Sound, was clearly resolved in the trace element time series. Conservative trace metals (Sr, Ba) were found at higher concentrations, and highly scavenged elements (Pb, Cu) were found at lower concentrations at sites with more persistent sea ice and during the 8-yr period of iceberg-influenced sea ice persistence. Bioactive trace metals (Fe, Ni) were found in higher concentrations during ice free conditions, associated with a period of high pelagic productivity. Our results provide an important case study for understanding the chemical signature of changing sea ice dynamics as reflected in bivalve shell material under a changing Antarctic climate.</t>
  </si>
  <si>
    <t>[Wing, Stephen R.; O'Connell-Milne, Sorrel A.; Wing, Lucy C.] Univ Otago, Dept Marine Sci, Dunedin, New Zealand; [Reid, Malcolm R.] Univ Otago, Dept Chem, Dunedin, New Zealand; [Reid, Malcolm R.] Univ Otago, Ctr Trace Element Anal, Dunedin, New Zealand</t>
  </si>
  <si>
    <t>University of Otago; University of Otago; University of Otago</t>
  </si>
  <si>
    <t>Wing, SR (corresponding author), Univ Otago, Dept Marine Sci, Dunedin, New Zealand.</t>
  </si>
  <si>
    <t>steve.wing@otago.ac.nz</t>
  </si>
  <si>
    <t>Wing, Lucy c/B-8833-2019</t>
  </si>
  <si>
    <t>Wing, Stephen/0000-0003-3536-5627; Reid, Malcolm/0000-0002-4129-0214</t>
  </si>
  <si>
    <t>Antarctica New Zealand; Royal Society of New Zealand's Marsden Fund [UOO1008]; University of Otago Graduate Research School</t>
  </si>
  <si>
    <t>Antarctica New Zealand; Royal Society of New Zealand's Marsden Fund(Royal Society of New ZealandMarsden Fund (NZ)); University of Otago Graduate Research School</t>
  </si>
  <si>
    <t>We thank D. Stokes, J. Leichter, S. Genovese, R. McMullin, R. Robbins, S. Rupp, M. Brunton, B. Adams, M. Lamare, R. McLeod, G. Funnell, Simon Trotter, and the staff of New Zealand's Scott Base as well as the United States Antarctic Program at McMurdo Station for their assistance with logistics and fieldwork. Monetary support was provided by grants from Antarctica New Zealand, The Royal Society of New Zealand's Marsden Fund (UOO1008) and the University of Otago Graduate Research School to S.R.W.</t>
  </si>
  <si>
    <t>10.1002/lno.11318</t>
  </si>
  <si>
    <t>KS1AR</t>
  </si>
  <si>
    <t>WOS:000485502200001</t>
  </si>
  <si>
    <t>Sykora-Bodie, ST; Morrison, TH</t>
  </si>
  <si>
    <t>Sykora-Bodie, Seth T.; Morrison, Tiffany H.</t>
  </si>
  <si>
    <t>Drivers of consensus-based decision-making in international environmental regimes: Lessons from the Southern Ocean</t>
  </si>
  <si>
    <t>Antarctica; CCAMLR; collaborative governance; high seas; international environmental politics; international institutions; marine conservation; marine protected areas</t>
  </si>
  <si>
    <t>MARINE PROTECTED AREAS; COLLABORATIVE PUBLIC MANAGEMENT; WATERSHED MANAGEMENT; HIGH SEAS; GOVERNANCE; CONSERVATION; MPAS; ORGANIZATIONS; PERFORMANCE; EXPERIENCES</t>
  </si>
  <si>
    <t>The global environmental crisis (characterized by declines in biodiversity, transboundary pollution, habitat degradation, and climate change) has inspired international environmental regimes, such as the Convention for the Conservation of Antarctic Marine Living Resources (CCAMLR), to establish large-scale networks of marine protected areas (MPAs) in areas beyond national jurisdiction. The Southern Ocean surrounding Antarctica comprises roughly 10% of the global ocean and plays a crucial role in regulating global climate and marine ecosystems. Although the Antarctic marine environment currently remains one of the most intact on Earth, it is threatened by fishery expansion and a rapidly changing climate. In response, CCAMLR has been developing a representative network of MPAs to sustain ecosystem structure and function, protect areas vulnerable to human activities, and conserve biodiversity. Whereas significant research has focused on the role of formal mechanisms and state power in international environmental regimes, very little is known about the role of non-state actors and informal approaches, particularly in the negotiation of agreements to establish large-scale networks of MPAs. Case analysis of the 2016 Ross Sea Region MPA agreement reveals that CCAMLR is undergoing a significant period of learning and institutional evolution, as actors seek novel ways to negotiate a network of Southern Ocean MPAs. Key drivers of consensus include external political dynamics, internal leadership and group dynamics, and shared concern for the future of CCAMLR and Antarctic MPAs. Actors also rely on informal principles of negotiation (such as increasing transparency, developing trust, and engaging in dialogue) to fill institutional gaps in both CCAMLR's formal structure and the current process for developing and negotiating MPAs. As environmental threats grow in complexity and scale, non-state actors and informal negotiations will become increasingly critical to support the ongoing success of formal international institutions dedicated to protecting the ecological integrity and function of the global environment.</t>
  </si>
  <si>
    <t>[Sykora-Bodie, Seth T.] Duke Univ, Nicholas Sch Environm, Div Marine Sci &amp; Conservat, Beaufort, NC 28516 USA; [Sykora-Bodie, Seth T.; Morrison, Tiffany H.] James Cook Univ, Australian Res Council, Ctr Excellence Coral Reef Studies, Townsville, Qld 4811, Australia</t>
  </si>
  <si>
    <t>Duke University; James Cook University</t>
  </si>
  <si>
    <t>Sykora-Bodie, ST (corresponding author), Duke Univ, Nicholas Sch Environm, Div Marine Sci &amp; Conservat, Beaufort, NC 28516 USA.</t>
  </si>
  <si>
    <t>seth.sykora.bodie@duke.edu</t>
  </si>
  <si>
    <t>Morrison, Tiffany/D-4460-2012</t>
  </si>
  <si>
    <t>Morrison, Tiffany/0000-0001-5433-037X; Sykora-Bodie, Seth/0000-0003-2757-8980</t>
  </si>
  <si>
    <t>National Geographic Society [CP-099EC-17]; Australian Research Council Centre of Excellence [CE140100020]</t>
  </si>
  <si>
    <t>National Geographic Society(National Geographic Society); Australian Research Council Centre of Excellence(Australian Research Council)</t>
  </si>
  <si>
    <t>National Geographic Society, Grant/Award Number: CP-099EC-17; Australian Research Council Centre of Excellence, Grant/Award Number: CE140100020</t>
  </si>
  <si>
    <t>10.1002/aqc.3200</t>
  </si>
  <si>
    <t>JZ7FY</t>
  </si>
  <si>
    <t>WOS:000485569200001</t>
  </si>
  <si>
    <t>Duret, MT; Lampitt, RS; Lam, P</t>
  </si>
  <si>
    <t>Duret, Manon T.; Lampitt, Richard S.; Lam, Phyllis</t>
  </si>
  <si>
    <t>Eukaryotic influence on the oceanic biological carbon pump in the Scotia Sea as revealed by 18S rRNA gene sequencing of suspended and sinking particles</t>
  </si>
  <si>
    <t>ZOOPLANKTON FECAL PELLETS; PARTICULATE ORGANIC-MATTER; ICE MICROBIAL COMMUNITIES; ROSS SEA; SOUTHERN-OCEAN; MARINE SNOW; MEDITERRANEAN SEA; TWILIGHT ZONE; MESOSCALE DISTRIBUTION; PROTIST COMMUNITIES</t>
  </si>
  <si>
    <t>Suspended marine particles constitute most of the particulate organic matter pool in the oceans, thereby providing substantial substrates for heterotrophs, especially in the mesopelagic. Conversely, sinking particles are major contributors to carbon fluxes defining the strength of the biological carbon pump (BCP). This study is the first to investigate the differential influence of eukaryotic communities to suspended and sinking particles, using 18S rRNA gene sequencing on particles collected with a marine snow catcher in the mixed layer and upper mesopelagic of the Scotia Sea, Southern Ocean. In the upper mesopelagic, most eukaryotic phytoplankton sequences belonged to chain-forming diatoms in sinking particles and to prymnesiophytes in suspended particles. This suggests that diatom-enriched particles are more efficient in carbon transfer to the upper mesopelagic than those enriched in prymnesiophytes in the Scotia Sea, the latter more easily disintegrating into suspended particles. In the upper mesopelagic, copepods appeared most influential on sinking particles whereas soft-tissue metazoan sequences contributed more to suspended particles. Heterotrophic protists and fungi communities were distinct between mixed layer and upper mesopelagic, implying that few protists ride along sinking particles. Furthermore, differences between predatory flagellates and radiolarians between suspended and sinking particles implied different ecological conditions between the two particles pools, and roles in the BCP. Molecular analyses of sinking and suspended particles constitute powerful diagnostic tools to study the eukaryotic influence on the BCP in a more holistic manner compared to classic carbon export studies focusing on sinking particles.</t>
  </si>
  <si>
    <t>[Duret, Manon T.; Lam, Phyllis] Univ Southampton, Ocean &amp; Earth Sci, Southampton, Hants, England; [Lampitt, Richard S.] Natl Oceanog Ctr, Southampton, Hants, England</t>
  </si>
  <si>
    <t>University of Southampton; NERC National Oceanography Centre</t>
  </si>
  <si>
    <t>Duret, MT (corresponding author), Univ Southampton, Ocean &amp; Earth Sci, Southampton, Hants, England.</t>
  </si>
  <si>
    <t>m.t.duret@soton.ac.uk</t>
  </si>
  <si>
    <t>Duret, Manon/ABD-8179-2020; Lam, Phyllis/D-9574-2011</t>
  </si>
  <si>
    <t>Lam, Phyllis/0000-0003-2067-171X; Duret, Manon/0000-0002-0922-4372</t>
  </si>
  <si>
    <t>University of Southampton; Natural Environment Research Council; NERC [noc010009] Funding Source: UKRI</t>
  </si>
  <si>
    <t>University of Southampton; Natural Environment Research Council(UK Research &amp; Innovation (UKRI)Natural Environment Research Council (NERC)); NERC(UK Research &amp; Innovation (UKRI)Natural Environment Research Council (NERC))</t>
  </si>
  <si>
    <t>We sincerely thank the officers and crew of the RRS James Clark Ross for their logistical and technical support during the JR304 cruise, Anna Belcher (British Antarctic Survey) for sharing particulate organic carbon data, and Alison Baylay at the Environmental Genomics Facility (University of Southampton) for her assistance on next-generation sequencing. Funding support came from University of Southampton (Start-up Grant for Phyllis Lam) and the Natural Environment Research Council. We thank the reviewers for contributing to enhance the quality of this manuscript.</t>
  </si>
  <si>
    <t>S49</t>
  </si>
  <si>
    <t>S70</t>
  </si>
  <si>
    <t>10.1002/lno.11319</t>
  </si>
  <si>
    <t>KE7YL</t>
  </si>
  <si>
    <t>WOS:000485499200001</t>
  </si>
  <si>
    <t>Jones, FM; Allen, C; Arteta, C; Arthur, J; Black, C; Emmerson, LM; Freeman, R; Hines, G; Lintott, CJ; Machácková, Z; Miller, G; Simpson, R; Southwell, C; Torsey, HR; Zisserman, A; Hart, T</t>
  </si>
  <si>
    <t>Jones, Fiona M.; Allen, Campbell; Arteta, Carlos; Arthur, Joan; Black, Caitlin; Emmerson, Louise M.; Freeman, Robin; Hines, Greg; Lintott, Chris J.; Machackova, Zuzana; Miller, Grant; Simpson, Rob; Southwell, Colin; Torsey, Holly R.; Zisserman, Andrew; Hart, Tom</t>
  </si>
  <si>
    <t>Time-lapse imagery and volunteer classifications from the Zooniverse Penguin Watch project (vol 5, 180124, 2018)</t>
  </si>
  <si>
    <t>[Jones, Fiona M.; Black, Caitlin; Hart, Tom] Univ Oxford, Dept Zool, South Parks Rd, Oxford OX1 3PS, England; [Allen, Campbell; Arthur, Joan; Hines, Greg; Lintott, Chris J.; Machackova, Zuzana; Miller, Grant; Torsey, Holly R.] Univ Oxford, Dept Phys, Zooniverse, Denys Wilkinson Bldg,Keble Rd, Oxford, England; [Arteta, Carlos; Zisserman, Andrew] Univ Oxford, Dept Engn Sci, Parks Rd, Oxford OX1 3PJ, England; [Emmerson, Louise M.; Southwell, Colin] Australian Antarctic Div, Dept Environm &amp; Energy, 203 Channel Highway, Kingston, Tas 7050, Australia; [Freeman, Robin] Inst Zool, Wellcome Bldg,Outer Circle,Regents Pk, London NW1 4RY, England; [Simpson, Rob] Google UK, Belgrave House,76 Buckingham Palace Rd, London SW1W 9TQ, England</t>
  </si>
  <si>
    <t>University of Oxford; University of Oxford; University of Oxford; Australian Antarctic Division; Google Incorporated</t>
  </si>
  <si>
    <t>Jones, FM; Hart, T (corresponding author), Univ Oxford, Dept Zool, South Parks Rd, Oxford OX1 3PS, England.</t>
  </si>
  <si>
    <t>fiona.jones@zoo.ox.ac.uk; tom.hart@zoo.ox.ac.uk</t>
  </si>
  <si>
    <t>Freeman, Robin/JOZ-4393-2023</t>
  </si>
  <si>
    <t>Freeman, Robin/0000-0002-0560-8942</t>
  </si>
  <si>
    <t>SEP 6</t>
  </si>
  <si>
    <t>10.1038/s41597-019-0165-8</t>
  </si>
  <si>
    <t>IY0IY</t>
  </si>
  <si>
    <t>WOS:000486077200002</t>
  </si>
  <si>
    <t>Guidetti, R; Massa, E; Bertolani, R; Rebecchi, L; Cesari, M</t>
  </si>
  <si>
    <t>Guidetti, Roberto; Massa, Edoardo; Bertolani, Roberto; Rebecchi, Lorena; Cesari, Michele</t>
  </si>
  <si>
    <t>Increasing knowledge of Antarctic biodiversity: new endemic taxa of tardigrades (Eutardigrada; Ramazzottiidae) and their evolutionary relationships</t>
  </si>
  <si>
    <t>SYSTEMATICS AND BIODIVERSITY</t>
  </si>
  <si>
    <t>Antarctica; biogeography; cataphractus; confocal laser scanning microscopy; Cryoconicus antiarktos sp; nov; Hebesuncus ryani; Ramazzottius sabatiniae sp; nov</t>
  </si>
  <si>
    <t>VICTORIA LAND; 3-DIMENSIONAL RECONSTRUCTION; ANNOTATED ZOOGEOGRAPHY; SPECIES-DIVERSITY; FEEDING APPARATUS; NERVOUS-SYSTEM; NATIONAL-PARK; HYPSIBIIDAE; GENUS; ARTHROTARDIGRADA</t>
  </si>
  <si>
    <t>The underestimation of biodiversity and scarce knowledge of the biogeographic distributions of terrestrial meiofaunal component limit our understanding of the origin of Antarctic fauna. One of its main components is tardigrades; nonetheless studies on tardigrade diversity are still few in the continental Antarctic area. In order to increase our knowledge of the underreported terrestrial meiofaunal communities within continental Antarctica, as well as to provide new information for biogeographic and evolutionary analysis of these communities, the tardigrade diversity of 11 samples collected along the coast of Victoria Land was considered. The application of an integrative approach in which morphological (Light - LM, scanning electron - SEM, and confocal laser scanning microscopy - CSLM) and molecular analysis (18S, 28S, cox1 genes) were combined allowed us to characterize the tardigrade fauna inhabiting mosses, lichens, and cyanobacterial mats of Victoria Land. These analyses allowed the detection of two tardigrade species new to science (Cryoconicus antiarktos sp. nov., Ramazzottius sabatiniae sp. nov.), and the emendation of known species ((Hebesuncus ryani Dastych and Harris, 1994, Ramazzottius nivalis Dastych, 2006, Cryoconicus ljudmilae comb. nov. (Biserov, 1997/98), and Cryoconicus cataphractus (Maucci, 1974)), together with the genus Cryoconicus. The Ramazzottius type of claws was redefined identifying three subtypes. Also, we investigated the phylogenetic position of some problematic/unresolved lineages all belonging to the family Ramazzottiidae. These data increased the knowledge of the biodiversity in Victoria Land, the number of endemic tardigrades in Antarctica, and provided evidence on the origin of Antarctic endemism. Lastly, new methods for integrative taxonomic studies on tardigrades were presented and discussed.</t>
  </si>
  <si>
    <t>[Guidetti, Roberto; Massa, Edoardo; Rebecchi, Lorena; Cesari, Michele] Univ Modena &amp; Reggio Emilia, Dept Life Sci, Via Campi 213-D, I-41125 Modena, Italy; [Bertolani, Roberto] Univ Modena &amp; Reggio Emilia, Dept Educ &amp; Humanities, Via Allegri 9, I-42121 Reggio Emilia, Italy; [Bertolani, Roberto] Museo Civ Storia Nat Verona, Lungadige Porta Vittoria 9, I-37129 Verona, Italy</t>
  </si>
  <si>
    <t>Universita di Modena e Reggio Emilia; Universita di Modena e Reggio Emilia</t>
  </si>
  <si>
    <t>Rebecchi, L (corresponding author), Univ Modena &amp; Reggio Emilia, Dept Life Sci, Via Campi 213-D, I-41125 Modena, Italy.</t>
  </si>
  <si>
    <t>lorena.rebecchi@unimore.it</t>
  </si>
  <si>
    <t>Massa, Edoardo/ABW-2044-2022; Cesari, Michele/AAS-4964-2020; MASSA, EDOARDO/GWQ-3252-2022; Rebecchi, Lorena/E-1653-2015; Guidetti, Roberto/H-2855-2012</t>
  </si>
  <si>
    <t>Massa, Edoardo/0000-0002-3174-9896; Cesari, Michele/0000-0001-8857-3791; Rebecchi, Lorena/0000-0001-5610-806X; Guidetti, Roberto/0000-0001-6079-2538; Bertolani, Roberto/0000-0003-4682-2635</t>
  </si>
  <si>
    <t>'Programma Nazionale Ricerche in Antartide (PNRA)' of the Italian Ministry for Instruction, University and Research (MIUR, Italy) [PdR 2009/A1.05, PdR 2013/B1.01, PdR 2013/AZ1.13]</t>
  </si>
  <si>
    <t>'Programma Nazionale Ricerche in Antartide (PNRA)' of the Italian Ministry for Instruction, University and Research (MIUR, Italy)</t>
  </si>
  <si>
    <t>This work was supported by the 'Programma Nazionale Ricerche in Antartide (PNRA)' of the Italian Ministry for Instruction, University and Research (MIUR, Italy) under grants [PdR 2009/A1.05] [PdR 2013/B1.01] [PdR 2013/AZ1.13].</t>
  </si>
  <si>
    <t>1477-2000</t>
  </si>
  <si>
    <t>1478-0933</t>
  </si>
  <si>
    <t>SYST BIODIVERS</t>
  </si>
  <si>
    <t>Syst. Biodivers.</t>
  </si>
  <si>
    <t>2019 SEP 6</t>
  </si>
  <si>
    <t>10.1080/14772000.2019.1649737</t>
  </si>
  <si>
    <t>Biodiversity Conservation; Biology</t>
  </si>
  <si>
    <t>Biodiversity &amp; Conservation; Life Sciences &amp; Biomedicine - Other Topics</t>
  </si>
  <si>
    <t>IX2VA</t>
  </si>
  <si>
    <t>WOS:000485546300001</t>
  </si>
  <si>
    <t>Dömel, JS; Macher, TH; Dietz, L; Duncan, S; Mayer, C; Rozenberg, A; Wolcott, K; Leese, F; Melzer, RR</t>
  </si>
  <si>
    <t>Doemel, Jana S.; Macher, Till-Hendrik; Dietz, Lars; Duncan, Sabrina; Mayer, Christoph; Rozenberg, Andrey; Wolcott, Katherine; Leese, Florian; Melzer, Roland R.</t>
  </si>
  <si>
    <t>Combining morphological and genomic evidence to resolve species diversity and study speciation processes of the Pallenopsis patagonica (Pycnogonida) species complex</t>
  </si>
  <si>
    <t>FRONTIERS IN ZOOLOGY</t>
  </si>
  <si>
    <t>Sea spider; Marine benthos; Antarctica; Patagonia; Integrative taxonomy; Target hybrid enrichment; Cryptic species; Selection</t>
  </si>
  <si>
    <t>COLOSSENDEIS-MEGALONYX HOEK; SEA SPIDERS ARTHROPODA; OPEN-OCEAN BARRIERS; MITOCHONDRIAL LINEAGES; CRYPTIC SPECIATION; EVOLUTIONARY; DIVERSIFICATION; IDENTIFICATION; PERFORMANCE; GLACIATION</t>
  </si>
  <si>
    <t>Background Pallenopsis patagonica (Hoek, 1881) is a morphologically and genetically variable sea spider species whose taxonomic classification is challenging. Currently, it is considered as a species complex including several genetic lineages, many of which have not been formally described as species. Members of this species complex occur on the Patagonian and Antarctic continental shelves as well as around sub-Antarctic islands. These habitats have been strongly influenced by historical large-scale glaciations and previous studies suggested that communities were limited to very few refugia during glacial maxima. Therefore, allopatric speciation in these independent refugia is regarded as a common mechanism leading to high biodiversity of marine benthic taxa in the high-latitude Southern Hemisphere. However, other mechanisms such as ecological speciation have rarely been considered or tested. Therefore, we conducted an integrative morphological and genetic study on the P. patagonica species complex to i) resolve species diversity using a target hybrid enrichment approach to obtain multiple genomic markers, ii) find morphological characters and analyze morphometric measurements to distinguish species, and iii) investigate the speciation processes that led to multiple lineages within the species complex. Results Phylogenomic results support most of the previously reported lineages within the P. patagonica species complex and morphological data show that several lineages are distinct species with diagnostic characters. Two lineages are proposed as new species, P. aulaeturcarum sp. nov. Domel &amp; Melzer, 2019 and P. obstaculumsuperavit sp. nov. Domel, 2019, respectively. However, not all lineages could be distinguished morphologically and thus likely represent cryptic species that can only be identified with genetic tools. Further, morphometric data of 135 measurements showed a high amount of variability within and between species without clear support of adaptive divergence in sympatry. Conclusions We generated an unprecedented molecular data set for members of the P. patagonica sea spider species complex with a target hybrid enrichment approach, which we combined with extensive morphological and morphometric analyses to investigate the taxonomy, phylogeny and biogeography of this group. The extensive data set enabled us to delineate species boundaries, on the basis of which we formally described two new species. No consistent evidence for positive selection was found, rendering speciation in allopatric glacial refugia as the most likely model of speciation.</t>
  </si>
  <si>
    <t>[Doemel, Jana S.; Macher, Till-Hendrik; Leese, Florian] Univ Duisburg Essen, Fac Biol, Aquat Ecosyst Res, Univ Str 5, D-45141 Essen, Germany; [Dietz, Lars; Mayer, Christoph] Zool Res Museum Alexander Koenig Stat Phylogenet, Adenauerallee 160, D-53113 Bonn, Germany; [Duncan, Sabrina; Wolcott, Katherine; Melzer, Roland R.] Bavarian State Collect Zool SNSB, Muenchhausenstr 21, D-81247 Munich, Germany; [Rozenberg, Andrey] Technion Israel Inst Technol, Fac Biol, IL-3200003 Haifa, Israel; [Leese, Florian] Univ Duisburg Essen, Ctr Water &amp; Environm Res ZWU, Univ Str 2, D-45141 Essen, Germany; [Melzer, Roland R.] Ludwig Maximilians Univ Munchen, Dept Biol 2, Grosshaderner Str 2, D-82152 Planegg Martinsried, Germany; [Melzer, Roland R.] Ludwig Maximilians Univ Munchen, GeoBioCtr, Richard Wagner Str 10, D-80333 Munich, Germany</t>
  </si>
  <si>
    <t>University of Duisburg Essen; Technion Israel Institute of Technology; University of Duisburg Essen; University of Munich; University of Munich</t>
  </si>
  <si>
    <t>Dömel, JS (corresponding author), Univ Duisburg Essen, Fac Biol, Aquat Ecosyst Res, Univ Str 5, D-45141 Essen, Germany.</t>
  </si>
  <si>
    <t>jana.doemel@uni-due.de</t>
  </si>
  <si>
    <t>Wolcott, Katherine/IYJ-8921-2023; Leese, Florian/D-4277-2012</t>
  </si>
  <si>
    <t>Leese, Florian/0000-0002-5465-913X; Wolcott, Katherine/0000-0002-6025-4569; Mayer, Christoph/0000-0001-5104-6621</t>
  </si>
  <si>
    <t>Deutsche Forschungsgemeinschaft (DFG) [SPP1158, LE2323/3, ME2683/8, DI 2228/1]; Zempelin-Stiftung im Stifterverband [T0214/32923/2018/sm]</t>
  </si>
  <si>
    <t>Deutsche Forschungsgemeinschaft (DFG)(German Research Foundation (DFG)); Zempelin-Stiftung im Stifterverband</t>
  </si>
  <si>
    <t>This work was supported by a grant of the Deutsche Forschungsgemeinschaft (DFG) in the framework of the priority programme Antarctic Research with comparative investigations in Arctic ice areas SPP1158 to FL and ME (LE2323/3, ME2683/8). LD was supported by the same organisation with grant DI 2228/1. The Zempelin-Stiftung im Stifterverband provided financial support to JD (T0214/32923/2018/sm).</t>
  </si>
  <si>
    <t>1742-9994</t>
  </si>
  <si>
    <t>FRONT ZOOL</t>
  </si>
  <si>
    <t>Front. Zool.</t>
  </si>
  <si>
    <t>10.1186/s12983-019-0316-y</t>
  </si>
  <si>
    <t>IV8ZN</t>
  </si>
  <si>
    <t>WOS:000484553800001</t>
  </si>
  <si>
    <t>Gürses, Ö; Kolatschek, V; Wang, Q; Rodehacke, CB</t>
  </si>
  <si>
    <t>Guerses, Oezguer; Kolatschek, Vanessa; Wang, Qiang; Rodehacke, Christian Bernd</t>
  </si>
  <si>
    <t>Brief communication: A submarine wall protecting the Amundsen Sea intensifies melting of neighboring ice shelves</t>
  </si>
  <si>
    <t>CIRCUMPOLAR DEEP-WATER; PINE ISLAND; LEVEL RISE; SHEET; OCEAN; CIRCULATION; COLLAPSE; MODEL; ANTARCTICA; ATMOSPHERE</t>
  </si>
  <si>
    <t>Disintegration of ice shelves in the Amundsen Sea, in front of the West Antarctic Ice Sheet, has the potential to cause sea level rise by inducing an acceleration of ice discharge from upstream grounded ice. Moore et al. (2018) proposed that using a submarine wall to block the penetration of warm water into the subsurface cavities of these ice shelves could reduce this risk. We use a global sea ice-ocean model to show that a wall shielding the Amundsen Sea below 350m depth successfully suppresses the inflow of warm water and reduces ice shelf melting. However, these warm water masses get redirected towards neighboring ice shelves, which reduces the net effectiveness of the wall. The ice loss is reduced by 10 %, integrated over the entire Antarctic continent.</t>
  </si>
  <si>
    <t>[Guerses, Oezguer; Kolatschek, Vanessa; Wang, Qiang; Rodehacke, Christian Bernd] Helmholtz Zentrum Polar &amp; Meeresforsch, Alfred Wegener Inst, D-27570 Bremerhaven, Germany; [Rodehacke, Christian Bernd] Danish Meteorol Inst, DK-2100 Copenhagen O, Denmark</t>
  </si>
  <si>
    <t>Helmholtz Association; Alfred Wegener Institute, Helmholtz Centre for Polar &amp; Marine Research; Danish Meteorological Institute DMI</t>
  </si>
  <si>
    <t>Rodehacke, CB (corresponding author), Helmholtz Zentrum Polar &amp; Meeresforsch, Alfred Wegener Inst, D-27570 Bremerhaven, Germany.;Rodehacke, CB (corresponding author), Danish Meteorol Inst, DK-2100 Copenhagen O, Denmark.</t>
  </si>
  <si>
    <t>christian.rodehacke@awi.de</t>
  </si>
  <si>
    <t>Wang, Qiang/0000-0002-2704-5394; Rodehacke, Christian/0000-0003-3110-3857; Teske, Vanessa/0000-0002-7627-1611; Gurses, Ozgur/0000-0002-0646-5760</t>
  </si>
  <si>
    <t>German Federal Ministry of Education and Research (Bundesministerium fur Bildung und Forschung, BMBF) [01LS1612A]</t>
  </si>
  <si>
    <t>German Federal Ministry of Education and Research (Bundesministerium fur Bildung und Forschung, BMBF)(Federal Ministry of Education &amp; Research (BMBF))</t>
  </si>
  <si>
    <t>This research has been supported by the German Federal Ministry of Education and Research (Bundesministerium fur Bildung und Forschung, BMBF, grant no. 01LS1612A).</t>
  </si>
  <si>
    <t>10.5194/tc-13-2317-2019</t>
  </si>
  <si>
    <t>IV9ET</t>
  </si>
  <si>
    <t>WOS:000484567400001</t>
  </si>
  <si>
    <t>Marcus, L; Virtue, P; Nichols, PD; Ferreira, LC; Pethybridge, H; Meekan, MG</t>
  </si>
  <si>
    <t>Marcus, Lara; Virtue, Patti; Nichols, Peter D.; Ferreira, Luciana C.; Pethybridge, Heidi; Meekan, Mark G.</t>
  </si>
  <si>
    <t>Stable Isotope Analysis of Dermis and the Foraging Behavior of Whale Sharks at Ningaloo Reef, Western Australia</t>
  </si>
  <si>
    <t>elasmobranch; diet; trophic ecology; eastern Indian Ocean; planktivores; biochemical analysis</t>
  </si>
  <si>
    <t>RHINCODON-TYPUS; CARBON; FRACTIONATION; DELTA-C-13; MOVEMENTS; TISSUES; MODELS; ACIDS; FISH; SIZE</t>
  </si>
  <si>
    <t>Stable isotope analysis of dermis was used to examine foraging behavior of whale sharks at Ningaloo Reef in Western Australia. Values of delta C-13 and delta N-15 in dermis were compared to those obtained from likely species of local prey. The delta C-13 values of zooplankton and nektonic taxa at Ningaloo ranged from -18.9 parts per thousand, to -16.5 parts per thousand reflecting the different carbon sources (from pelagic to more inshore and benthic) entering the food web. Isotopic values also varied depending on the diet-to-tissue discrimination factor applied in the analysis. When data was corrected using factors derived from slow turnover, structural cartilage in fins, whale sharks showed a greater reliance on pelagic food webs, whereas analyses using raw data suggested a greater dietary component from benthic and inshore habitats. Variability in delta N-15 values (6.9 parts per thousand to 10.8 parts per thousand) implied different patterns of foraging among whale sharks, likely indicating movement among foraging localities that occur at Ningaloo Reef and along the Western Australian coast. There was evidence of enrichment in N-15 occurring with increasing size in males and females, a pattern that could have been due to changes in growth rate and trophic level with age and/or an ontogenetic shift in feeding grounds. Given the variability potentially induced in stable isotope values by differences in rates of turnover of tissues and the use of diet-to-tissue discrimination factors, future studies would benefit from a multi-technique approach using different tissues to identify the diet of whale sharks.</t>
  </si>
  <si>
    <t>[Marcus, Lara; Virtue, Patti; Nichols, Peter D.] Univ Tasmania, Inst Marine &amp; Antarctic Studies, Hobart, Tas, Australia; [Virtue, Patti; Nichols, Peter D.; Pethybridge, Heidi] CSIRO Oceans &amp; Atmosphere, Hobart, Tas, Australia; [Virtue, Patti] Antarctic Climate &amp; Ecosyst Cooperat Res Ctr, Hobart, Tas, Australia; [Ferreira, Luciana C.; Meekan, Mark G.] Australian Inst Marine Sci, Indian Ocean Marine Res Ctr, M096, Crawley, WA, Australia</t>
  </si>
  <si>
    <t>University of Tasmania; Commonwealth Scientific &amp; Industrial Research Organisation (CSIRO); Antarctic Climate &amp; Ecosystems Cooperative Research Centre (ACE CRC); Australian Institute of Marine Science; University of Western Australia</t>
  </si>
  <si>
    <t>Marcus, L (corresponding author), Univ Tasmania, Inst Marine &amp; Antarctic Studies, Hobart, Tas, Australia.</t>
  </si>
  <si>
    <t>lmarcuszamora@gmail.com</t>
  </si>
  <si>
    <t>Nichols, Peter D/C-5128-2011; Pethybridge, Heidi/AEO-8594-2022; Marcus, Lara/HRC-5985-2023; Pethybridge, Heidi/AAI-9824-2021</t>
  </si>
  <si>
    <t>Pethybridge, Heidi/0000-0002-7291-5766; Cerqueira Ferreira, Luciana/0000-0001-6755-2799; Meekan, Mark/0000-0002-3067-9427</t>
  </si>
  <si>
    <t>Save Our Seas Foundation [SOSF241]; Winifred Violet Scott Charitable Trust [V0021438]</t>
  </si>
  <si>
    <t>Save Our Seas Foundation; Winifred Violet Scott Charitable Trust</t>
  </si>
  <si>
    <t>This research was funded by the Save Our Seas Foundation (SOSF241), the Winifred Violet Scott Charitable Trust and the HolsworthWildlife Research Endowment Grants (V0021438).</t>
  </si>
  <si>
    <t>10.3389/fmars.2019.00546</t>
  </si>
  <si>
    <t>IV9TA</t>
  </si>
  <si>
    <t>WOS:000484605300001</t>
  </si>
  <si>
    <t>Sprintall, J; Gordon, AL; Wijffels, SE; Feng, M; Hu, SJ; Koch-Larrouy, A; Phillips, H; Nugroho, D; Napitu, A; Pujiana, K; Susanto, RD; Sloyan, B; Peña-Molino, B; Yuan, DL; Riama, NF; Siswanto, S; Kuswardani, A; Arifin, Z; Wahyudi, AJ; Zhou, H; Nagai, T; Ansong, JK; Bourdalle-Badié, R; Chanut, J; Lyard, F; Arbic, BK; Ramdhani, A; Setiawan, A</t>
  </si>
  <si>
    <t>Sprintall, Janet; Gordon, Arnold L.; Wijffels, Susan E.; Feng, Ming; Hu, Shijian; Koch-Larrouy, Ariane; Phillips, Helen; Nugroho, Dwiyoga; Napitu, Asmi; Pujiana, Kandaga; Susanto, R. Dwi; Sloyan, Bernadette; Pena-Molino, Beatriz; Yuan, Dongliang; Riama, Nelly Florida; Siswanto, Siswanto; Kuswardani, Anastasia; Arifin, Zainal; Wahyudi, A'an J.; Zhou, Hui; Nagai, Taira; Ansong, Joseph K.; Bourdalle-Badie, Romain; Chanut, Jerome; Lyard, Florent; Arbic, Brian K.; Ramdhani, Andri; Setiawan, Agus</t>
  </si>
  <si>
    <t>Detecting Change in the Indonesian Seas (vol 6, 257, 2019)</t>
  </si>
  <si>
    <t>Indonesian throughflow; observing system; intraseasonal; ENSO; transport variability; planetary waves</t>
  </si>
  <si>
    <t>INTERNAL TIDES</t>
  </si>
  <si>
    <t>[Sprintall, Janet] Univ Calif San Diego, Scripps Inst Oceanog, La Jolla, CA 92093 USA; [Gordon, Arnold L.] Columbia Univ, Lamont Doherty Earth Observ, Palisades, NY USA; [Wijffels, Susan E.] Woods Hole Oceanog Inst, Dept Phys Oceanog, Woods Hole, MA 02543 USA; [Feng, Ming; Sloyan, Bernadette; Pena-Molino, Beatriz] CSIRO, Hobart, Tas, Australia; [Feng, Ming; Sloyan, Bernadette; Pena-Molino, Beatriz] Ctr Southern Hemisphere Oceans Res, Hobart, Tas, Australia; [Hu, Shijian; Yuan, Dongliang; Zhou, Hui] Chinese Acad Sci, Key Lab Ocean Circulat &amp; Waves, Inst Oceanol, Ctr Ocean Mega Sci, Qingdao, Shandong, Peoples R China; [Hu, Shijian; Yuan, Dongliang] Qingdao Natl Lab Marine Sci &amp; Technol, Qingdao, Shandong, Peoples R China; [Koch-Larrouy, Ariane; Nugroho, Dwiyoga; Chanut, Jerome; Lyard, Florent] Lab Studies Spatial Geophys &amp; Oceanog LEGOS, Toulouse, France; [Koch-Larrouy, Ariane; Bourdalle-Badie, Romain] Mercator Ocean, Ramonville St Agne, France; [Phillips, Helen] Univ Tasmania, Inst Marine &amp; Antarctic Sci, Hobart, Tas, Australia; [Nugroho, Dwiyoga] Agcy Res &amp; Dev Marine &amp; Fisheries, Jakarta, Indonesia; [Napitu, Asmi; Kuswardani, Anastasia; Setiawan, Agus] Minist Marine Affairs &amp; Fisheries Republ Indonesi, Jakarta, Indonesia; [Pujiana, Kandaga; Susanto, R. Dwi] Bandung Inst Technol, Fac Earth Sci &amp; Technol, Bandung, Indonesia; [Susanto, R. Dwi] Univ Maryland, Dept Atmospher &amp; Ocean Sci, College Pk, MD 20742 USA; [Riama, Nelly Florida; Siswanto, Siswanto; Ramdhani, Andri] Meteorol Climatol &amp; Geophys Agcy BMKG, Jakarta, Indonesia; [Arifin, Zainal; Wahyudi, A'an J.] Indonesian Inst Sci LIPI, Res Ctr Oceanog, Jakarta, Indonesia; [Nagai, Taira] Univ Tokyo, Dept Earth &amp; Planetary Sci, Tokyo, Japan; [Ansong, Joseph K.] Univ Ghana, Dept Math, Legon, Ghana; [Arbic, Brian K.] Univ Michigan, Dept Earth &amp; Environm Sci, Ann Arbor, MI 48109 USA</t>
  </si>
  <si>
    <t>University of California System; University of California San Diego; Scripps Institution of Oceanography; Columbia University; Woods Hole Oceanographic Institution; Commonwealth Scientific &amp; Industrial Research Organisation (CSIRO); Chinese Academy of Sciences; Institute of Oceanology, CAS; Laoshan Laboratory; University of Tasmania; Ministry of Marine Affairs and Fisheries; Institute Technology of Bandung; University System of Maryland; University of Maryland College Park; Indonesian Agency for Meteorology, Climatology &amp; Geophysics; National Research &amp; Innovation Agency of Indonesia (BRIN); Indonesian Institute of Sciences (LIPI); University of Tokyo; University of Ghana; University of Michigan System; University of Michigan</t>
  </si>
  <si>
    <t>Sprintall, J (corresponding author), Univ Calif San Diego, Scripps Inst Oceanog, La Jolla, CA 92093 USA.</t>
  </si>
  <si>
    <t>jsprintall@ucsd.edu</t>
  </si>
  <si>
    <t>Ansong, Joseph K./AAR-4450-2020; Pena-Molino, Beatriz/IYK-0313-2023; Hu, Shijian/Q-6838-2016; Susanto, Raden Dwi/ABE-2222-2021; Wahyudi, A'an J./AAG-5624-2019; Sloyan, Bernadette/N-8989-2014; Bourdallé-Badie, Romain/HSH-9424-2023; Phillips, Helen/I-3761-2013; koch-larrouy, ariane/M-4915-2017; Gordon, Arnold/H-1049-2011; Feng, Ming/F-5411-2010; Lyard, Florent/AAN-4065-2021</t>
  </si>
  <si>
    <t>Pena-Molino, Beatriz/0000-0003-1587-1696; Susanto, Raden Dwi/0000-0003-1495-5951; Wahyudi, A'an J./0000-0001-7435-4731; Sloyan, Bernadette/0000-0003-0250-0167; Bourdallé-Badie, Romain/0000-0002-8742-3289; Phillips, Helen/0000-0002-2941-7577;</t>
  </si>
  <si>
    <t>10.3389/fmars.2019.00549</t>
  </si>
  <si>
    <t>IV9TD</t>
  </si>
  <si>
    <t>WOS:000484605600001</t>
  </si>
  <si>
    <t>Wojtasiewicz, B; Trull, TW; Clementson, L; Davies, DM; Patten, NL; Schallenberg, C; Hardman-Mountford, NJ</t>
  </si>
  <si>
    <t>Wojtasiewicz, Bozena; Trull, Thomas W.; Clementson, Lesley; Davies, Diana M.; Patten, Nicole L.; Schallenberg, Christina; Hardman-Mountford, Nick J.</t>
  </si>
  <si>
    <t>Factors Controlling the Lack of Phytoplankton Biomass in Naturally Iron Fertilized Waters Near Heard and McDonald Islands in the Southern Ocean</t>
  </si>
  <si>
    <t>Southern Ocean; Heard Island; iron fertilization; phytoplankton; chlorophyll; backscattering; attenuation</t>
  </si>
  <si>
    <t>MIXED-LAYER DEPTH; KERGUELEN PLATEAU; PHAEOCYSTIS-ANTARCTICA; ROSS SEA; COMMUNITY STRUCTURE; PIGMENT COMPOSITION; LIGHT; CHLOROPHYLL; BLOOMS; EXPORT</t>
  </si>
  <si>
    <t>The Kerguelen Plateau is one of the regions in the Southern Ocean where spatially large algal blooms occur annually due to natural iron fertilization. The analysis of ocean color data as well as in situ samples collected during the Heard Earth-Ocean-Biosphere Interactions (HEOBI) voyage in January and February 2016, surprisingly revealed that chlorophyll a concentrations in waters located close to Heard and McDonald islands were much lower than those on the central Kerguelen Plateau. This occurs despite high levels of both glacial and volcanic iron supply from these islands. The analysis of pigment and optical data also indicated a shift in the phytoplankton size structure in this region, from a microphytoplankton to nanophytoplankton dominated community. Possible explanations for this high nutrient, high iron (Fe), low chlorophyll (HNHFeLC) phenomenon were explored. Low light availability due to deep mixing and shading by re-suspended sediment particles and augmented by dilution with surrounding low chlorophyll waters in the Antarctic Circumpolar Current was shown to be an important mechanism shaping phytoplankton communities. The competing dynamics between stimulation and limitation illustrate the complexity of short-term responses to our changing climate and cryosphere.</t>
  </si>
  <si>
    <t>[Wojtasiewicz, Bozena; Hardman-Mountford, Nick J.] CSIRO Oceans &amp; Atmosphere, Indian Ocean Marine Res Ctr, Crawley, WA, Australia; [Wojtasiewicz, Bozena; Trull, Thomas W.; Clementson, Lesley] CSIRO Oceans &amp; Atmosphere, Hobart, Tas, Australia; [Trull, Thomas W.; Davies, Diana M.; Schallenberg, Christina] Antarctic Climate &amp; Ecosyst Cooperat Res Ctr, Hobart, Tas, Australia; [Patten, Nicole L.] South Australian Res &amp; Dev Inst, Adelaide, SA, Australia; [Patten, Nicole L.] JBS&amp;G, Adelaide, SA, Australia</t>
  </si>
  <si>
    <t>University of Western Australia; Commonwealth Scientific &amp; Industrial Research Organisation (CSIRO); Commonwealth Scientific &amp; Industrial Research Organisation (CSIRO); Antarctic Climate &amp; Ecosystems Cooperative Research Centre (ACE CRC); South Australian Research &amp; Development Institute (SARDI)</t>
  </si>
  <si>
    <t>Wojtasiewicz, B (corresponding author), CSIRO Oceans &amp; Atmosphere, Indian Ocean Marine Res Ctr, Crawley, WA, Australia.;Wojtasiewicz, B (corresponding author), CSIRO Oceans &amp; Atmosphere, Hobart, Tas, Australia.</t>
  </si>
  <si>
    <t>bozena.wojtasiewicz@csiro.au</t>
  </si>
  <si>
    <t>Wojtasiewicz, Bozena/JCE-4175-2023; Schallenberg, Christina/N-4187-2017; Clementson, Lesley A/M-6905-2013; Wojtasiewicz, Bozena/E-4322-2019</t>
  </si>
  <si>
    <t>Schallenberg, Christina/0000-0002-3073-7500; Clementson, Lesley/0000-0003-4415-993X; Wojtasiewicz, Bozena/0000-0002-2878-2134</t>
  </si>
  <si>
    <t>CSIRO Office of the Chief Executive Postdoctoral Fellowship; Australian Marine National Facility; ACE CRC</t>
  </si>
  <si>
    <t>CSIRO Office of the Chief Executive Postdoctoral Fellowship; Australian Marine National Facility; ACE CRC(Australian GovernmentDepartment of Industry, Innovation and ScienceCooperative Research Centres (CRC) Programme)</t>
  </si>
  <si>
    <t>BW was funded via a CSIRO Office of the Chief Executive Postdoctoral Fellowship. Fieldwork was supported by the Australian Marine National Facility and the ACE CRC.</t>
  </si>
  <si>
    <t>10.3389/fmars.2019.00531</t>
  </si>
  <si>
    <t>IV9ST</t>
  </si>
  <si>
    <t>WOS:000484604600001</t>
  </si>
  <si>
    <t>Dehnhard, N; Achurch, H; Clarke, J; Michel, LN; Southwell, C; Sumner, MD; Eens, M; Emmerson, L</t>
  </si>
  <si>
    <t>Dehnhard, Nina; Achurch, Helen; Clarke, Judy; Michel, Loic N.; Southwell, Colin; Sumner, Michael D.; Eens, Marcel; Emmerson, Louise</t>
  </si>
  <si>
    <t>High inter- and intraspecific niche overlap among three sympatrically breeding, closely related seabird species: Generalist foraging as an adaptation to a highly variable environment?</t>
  </si>
  <si>
    <t>Antarctica; biologging; expectation-maximization binary clustering; fulmarine petrel; generalized additive model; kernel distribution; model cross-validation; stable isotope analysis</t>
  </si>
  <si>
    <t>ANTARCTIC FULMARINE PETRELS; STABLE-ISOTOPE RATIOS; SEA-ICE; INDIVIDUAL SPECIALIZATION; MIGRATION STRATEGIES; HABITAT PREFERENCES; EUPHAUSIA-SUPERBA; ANIMAL ECOLOGY; SOUTHERN-OCEAN; POPULATION</t>
  </si>
  <si>
    <t>Ecological niche theory predicts sympatric species to show segregation in their spatio-temporal habitat utilization or diet as a strategy to avoid competition. Similarly, within species individuals may specialize on specific dietary resources or foraging habitats. Such individual specialization seems to occur particularly in environments with predictable resource distribution and limited environmental variability. Still, little is known about how seasonal environmental variability affects segregation of resources within species and between closely related sympatric species. The aim of the study was to investigate the foraging behaviour of three closely related and sympatrically breeding fulmarine petrels (Antarctic petrels Thalassoica antarctica, cape petrels Daption capense and southern fulmars Fulmarus glacialoides) in a seasonally highly variable environment (Prydz Bay, Antarctica) with the aim of assessing inter- and intraspecific overlap in utilized habitat, timing of foraging and diet and to identify foraging habitat preferences. We used GPS loggers with wet/dry sensors to assess spatial habitat utilization over the entire breeding season. Trophic overlap was investigated using stable isotope analysis based on blood, feathers and egg membranes. Foraging locations were identified using wet/dry data recorded by the GPS loggers and expectation-maximization binary clustering. Foraging habitat preferences were modelled using generalized additive models and model cross-validation. During incubation and chick-rearing, the utilization distribution of all three species overlapped significantly and species also overlapped in the timing of foraging during the day-partly during incubation and completely during chick-rearing. Isotopic centroids showed no significant segregation between at least two species for feathers and egg membranes, and among all species during incubation (reflected by blood). Within species, there was no individual specialization in foraging sites or environmental space. Furthermore, no single environmental covariate predicted foraging activity along trip trajectories. Instead, best-explanatory environmental covariates varied within and between individuals even across short temporal scales, reflecting a highly generalist behaviour of birds. Our results may be explained by optimal foraging theory. In the highly productive but spatio-temporally variable Antarctic environment, being a generalist may be key to finding mobile prey-even though this increases the potential for competition within and among sympatric species.</t>
  </si>
  <si>
    <t>[Dehnhard, Nina; Eens, Marcel] Univ Antwerp, Dept Biol, Behav Ecol &amp; Ecophysiol Grp, Antwerp, Belgium; [Dehnhard, Nina; Achurch, Helen; Clarke, Judy; Southwell, Colin; Sumner, Michael D.; Emmerson, Louise] Dept Environm &amp; Energy, Australian Antarctic Div, Kingston, Tas, Australia; [Dehnhard, Nina] Norwegian Inst Nat Res NINA, Trondheim, Norway; [Michel, Loic N.] Univ Liege, Freshwater &amp; Ocean Sci Unit ReS FOCUS, Lab Oceanol, Liege, Belgium; [Michel, Loic N.] IFREMER, REM EEP, Lab Environm Profond, Ctr Bretagne, Plouzane, France</t>
  </si>
  <si>
    <t>University of Antwerp; Australian Antarctic Division; Norwegian Institute Nature Research; University of Liege; Ifremer; Universite de Bretagne Occidentale</t>
  </si>
  <si>
    <t>Dehnhard, N (corresponding author), Univ Antwerp, Dept Biol, Behav Ecol &amp; Ecophysiol Grp, Antwerp, Belgium.;Dehnhard, N (corresponding author), Dept Environm &amp; Energy, Australian Antarctic Div, Kingston, Tas, Australia.;Dehnhard, N (corresponding author), Norwegian Inst Nat Res NINA, Trondheim, Norway.</t>
  </si>
  <si>
    <t>nina.dehnhard@nina.no</t>
  </si>
  <si>
    <t>Dehnhard, Nina/H-6160-2016; Eens, Marcel/AAC-8466-2020; Sumner, Michael D/J-3478-2013; Michel, Loïc N./H-5830-2013</t>
  </si>
  <si>
    <t>Dehnhard, Nina/0000-0002-4182-2698; Michel, Loïc N./0000-0003-0988-7050; Sumner, Michael/0000-0002-2471-7511</t>
  </si>
  <si>
    <t>Bijzonder Onderzoeksfonds [31032]; Australian Antarctic Science Program [4087]; Fonds Wetenschappelijk Onderzoek [12Q6915N, V416817N, V458215N]</t>
  </si>
  <si>
    <t>Bijzonder Onderzoeksfonds; Australian Antarctic Science Program; Fonds Wetenschappelijk Onderzoek(FWO)</t>
  </si>
  <si>
    <t>Bijzonder Onderzoeksfonds, Grant/Award Number: #31032; Australian Antarctic Science Program, Grant/Award Number: AAS project #4087; Fonds Wetenschappelijk Onderzoek, Grant/Award Number: #12Q6915N, #V416817N and #V458215N</t>
  </si>
  <si>
    <t>10.1111/1365-2656.13078</t>
  </si>
  <si>
    <t>KB7YZ</t>
  </si>
  <si>
    <t>WOS:000485228000001</t>
  </si>
  <si>
    <t>Rodger, CJ; Turner, DL; Clilverd, MA; Hendry, AT</t>
  </si>
  <si>
    <t>Rodger, Craig J.; Turner, Drew L.; Clilverd, Mark A.; Hendry, Aaron T.</t>
  </si>
  <si>
    <t>Magnetic Local Time-Resolved Examination of Radiation Belt Dynamics during High-Speed Solar Wind Speed-Triggered Substorm Clusters</t>
  </si>
  <si>
    <t>radiation belt dynamics; radiation belt electrons; radiation belt losses; substorm impacts; magnetopause shadowing; POES; MEPED</t>
  </si>
  <si>
    <t>RELATIVISTIC ELECTRONS; LOSSES; SEED</t>
  </si>
  <si>
    <t>Particle observations from low Earth orbiting satellites are used to undertake superposed epoch analysis around clusters of substorms, in order to investigate radiation belt dynamical responses to mild geomagnetic disturbances. Medium energy electrons and protons have drift periods long enough to discriminate between processes occurring at different magnetic local time, such as magnetopause shadowing, plasma wave activity, and substorm injections. Analysis shows that magnetopause shadowing produces clear loss in proton and electron populations over a wide range of L-shells, initially on the dayside, which interacts with nightside substorm-generated flux enhancements following charge-dependent drift directions. Inner magnetospheric injections recently identified as an important source of tens to hundreds keV electrons at low L (L&lt;3), occurring during similar solar wind-driving conditions as recurrent substorms, show similar but more enhanced geomagnetic AU-index signatures. Twofold increases in substorm occurrence at the time of the sudden particle enhancements at low L shells (SPELLS) suggest a common linkage.</t>
  </si>
  <si>
    <t>[Rodger, Craig J.] Univ Otago, Dept Pnys, Dunedin, New Zealand; [Turner, Drew L.] Aerosp Corp, Space Sci Dept, El Segundo, CA 90245 USA; [Clilverd, Mark A.] British Antarctic Survey NERC, Cambridge, England; [Hendry, Aaron T.] Inst Atmospher Phys, Dept Space Phys, Prague, Czech Republic</t>
  </si>
  <si>
    <t>University of Otago; Aerospace Corporation - USA; UK Research &amp; Innovation (UKRI); Natural Environment Research Council (NERC); NERC British Antarctic Survey; Czech Academy of Sciences; Institute of Atmospheric Physics of the Czech Academy of Sciences</t>
  </si>
  <si>
    <t>Rodger, CJ (corresponding author), Univ Otago, Dept Pnys, Dunedin, New Zealand.</t>
  </si>
  <si>
    <t>crodger@physics.otago.ac.nz</t>
  </si>
  <si>
    <t>Rodger, Craig/A-1501-2011; Hendry, Aaron/T-1911-2019; Turner, Drew L/G-3224-2012</t>
  </si>
  <si>
    <t>Hendry, Aaron/0000-0002-9130-3781; Turner, Drew L/0000-0002-2425-7818; Rodger, Craig J./0000-0002-6770-2707</t>
  </si>
  <si>
    <t>Natural Environment Research Council Highlight Topic grant [NE/P10738X/1]; NERC [bas0100031] Funding Source: UKRI</t>
  </si>
  <si>
    <t>Natural Environment Research Council Highlight Topic grant; NERC(UK Research &amp; Innovation (UKRI)Natural Environment Research Council (NERC))</t>
  </si>
  <si>
    <t>The authors would like to thank the researchers and engineers of NOAA's Space Environment Center for the provision of the data and the operation of the SEM-2 instrument carried onboard these spacecraft. For the substorm list we gratefully acknowledge the SuperMAG initiative and the SuperMAG collaborators. M.A.C. acknowledges funding support from the Natural Environment Research Council Highlight Topic grant NE/P10738X/1 (Rad-Sat). Data availability is described at the following websites: https://www.ngdc.noaa.gov/stp/satellite/poes/dataaccess.html (POES SEM observations), http://supermag.jhuapl.edu/substorms/(SuperMAG substorms), and http://supermag.jhuapl.edu/indices/(magnetic indices and solar wind parameters from SuperMAG). Van Allen Probes data are freely available on the science gateway site: http://rbspgway.jhuapl.edu/.</t>
  </si>
  <si>
    <t>10.1029/2019GL083712</t>
  </si>
  <si>
    <t>WOS:000485378700001</t>
  </si>
  <si>
    <t>Zhou, HY; Shi, XH; Yuan, WM; Hao, L; Chen, XJ; Ge, J; Ji, T; Jiang, P; Li, G; Liu, BF; Liu, GL; Liu, WJ; Lu, HL; Pan, X; Shen, JT; Shu, XW; Sun, LM; Tian, QG; Wang, HY; Wang, TG; Wu, SM; Yang, CW; Zhang, SH; Zhong, ZH</t>
  </si>
  <si>
    <t>Zhou, Hongyan; Shi, Xiheng; Yuan, Weimin; Hao, Lei; Chen, Xiangjun; Ge, Jian; Ji, Tuo; Jiang, Peng; Li, Ge; Liu, Bifang; Liu, Guilin; Liu, Wenjuan; Lu, Honglin; Pan, Xiang; Shen, Juntai; Shu, Xinwen; Sun, Luming; Tian, Qiguo; Wang, Huiyuan; Wang, Tinggui; Wu, Shengmiao; Yang, Chenwei; Zhang, Shaohua; Zhong, Zhihao</t>
  </si>
  <si>
    <t>Fast inflows as the adjacent fuel of supermassive black hole accretion disks in quasars</t>
  </si>
  <si>
    <t>BROAD ABSORPTION-LINE; PEAKED EMISSION-LINES; ACTIVE GALAXIES; SPECTRA; ULTRAVIOLET; LUMINOSITY; RELEASE; MASSES</t>
  </si>
  <si>
    <t>Quasars, which are exceptionally bright objects at the centres (or nuclei) of galaxies, are thought to be produced through the accretion of gas into disks surrounding supermassive black holes(1-3). There is observational evidence at galactic and circumnuclear scales(4) that gas flows inwards towards accretion disks around black holes, and such an inflow has been measured at the scale of the dusty torus that surrounds the central accretion disk(5). At even smaller scales, inflows close to an accretion disk have been suggested to explain the results of recent modelling of the response of gaseous broad emission lines to continuum variations(6,7). However, unambiguous observations of inflows that actually reach accretion disks have been elusive. Here we report the detection of redshifted broad absorption lines of hydrogen and helium atoms in a sample of quasars. The lines show broad ranges of Doppler velocities that extend continuously from zero to redshifts as high as about 5,000 kilometres per second. We interpret this as the inward motion of gases at velocities comparable to freefall speeds close to the black hole, constraining the fastest infalling gas to within 10,000 gravitational radii of the black hole (the gravitational radius being the gravitational constant multiplied by the object mass, divided by the speed of light squared). Extensive photoionization modelling yields a characteristic radial distance of the inflow of approximately 1,000 gravitational radii, possibly overlapping with the outer accretion disk.</t>
  </si>
  <si>
    <t>[Zhou, Hongyan; Shi, Xiheng; Ji, Tuo; Jiang, Peng; Pan, Xiang; Tian, Qiguo; Wu, Shengmiao; Yang, Chenwei; Zhang, Shaohua] State Ocean Adm, Polar Res Inst China, Key Lab Polar Sci, Antarctic Astron Res Div, Shanghai, Peoples R China; [Zhou, Hongyan; Shi, Xiheng; Chen, Xiangjun; Ji, Tuo; Jiang, Peng; Li, Ge; Liu, Guilin; Lu, Honglin; Pan, Xiang; Sun, Luming; Tian, Qiguo; Wang, Huiyuan; Wang, Tinggui; Wu, Shengmiao; Yang, Chenwei; Zhang, Shaohua; Zhong, Zhihao] Univ Sci &amp; Technol China, Sch Astron &amp; Space Sci, Hefei, Anhui, Peoples R China; [Zhou, Hongyan; Chen, Xiangjun; Li, Ge; Liu, Guilin; Lu, Honglin; Sun, Luming; Wang, Huiyuan; Wang, Tinggui; Zhong, Zhihao] Univ Sci &amp; Technol China, Chinese Acad Sci, Key Lab Res Galaxies &amp; Cosmol, Dept Astron, Hefei, Anhui, Peoples R China; [Yuan, Weimin; Liu, Bifang] Chinese Acad Sci, Natl Astron Observ China, Beijing, Peoples R China; [Yuan, Weimin; Liu, Bifang] Univ Chinese Acad Sci, Sch Astron &amp; Space Sci, Beijing, Peoples R China; [Hao, Lei; Shen, Juntai] Chinese Acad Sci, Shanghai Astron Observ, Shanghai, Peoples R China; [Ge, Jian] Univ Florida, Dept Astron, Bryant Space Sci Ctr, Gainesville, FL 32611 USA; [Liu, Wenjuan] Chinese Acad Sci, Yunnan Observ, Kunming, Yunnan, Peoples R China; [Liu, Wenjuan] Chinese Acad Sci, Key Lab Struct &amp; Evolut Celestial Objects, Kunming, Yunnan, Peoples R China; [Shu, Xinwen] Anhui Normal Univ, Dept Phys, Wuhu, Peoples R China</t>
  </si>
  <si>
    <t>Polar Research Institute of China; Chinese Academy of Sciences; University of Science &amp; Technology of China, CAS; Chinese Academy of Sciences; University of Science &amp; Technology of China, CAS; Chinese Academy of Sciences; National Astronomical Observatory, CAS; Chinese Academy of Sciences; University of Chinese Academy of Sciences, CAS; Chinese Academy of Sciences; Shanghai Astronomical Observatory, CAS; State University System of Florida; University of Florida; Chinese Academy of Sciences; Yunnan Astronomical Observatory, NAOC, CAS; Chinese Academy of Sciences; Anhui Normal University</t>
  </si>
  <si>
    <t>Zhou, HY (corresponding author), State Ocean Adm, Polar Res Inst China, Key Lab Polar Sci, Antarctic Astron Res Div, Shanghai, Peoples R China.;Zhou, HY; Wang, TG (corresponding author), Univ Sci &amp; Technol China, Sch Astron &amp; Space Sci, Hefei, Anhui, Peoples R China.;Zhou, HY; Wang, TG (corresponding author), Univ Sci &amp; Technol China, Chinese Acad Sci, Key Lab Res Galaxies &amp; Cosmol, Dept Astron, Hefei, Anhui, Peoples R China.;Yuan, WM (corresponding author), Chinese Acad Sci, Natl Astron Observ China, Beijing, Peoples R China.;Yuan, WM (corresponding author), Univ Chinese Acad Sci, Sch Astron &amp; Space Sci, Beijing, Peoples R China.</t>
  </si>
  <si>
    <t>zhouhongyan@pric.org.cn; wmy@nao.cas.cn; twang@ustc.edu.cn</t>
  </si>
  <si>
    <t>Wang, Huiyuan/C-5473-2014; Shu, Xinwen/ABG-3953-2020; lei, hao/IYJ-8690-2023; WANG, HUIYUAN/IXX-2427-2023; Zhang, Shaohua/HTQ-5246-2023; tian, qiguo/IQT-6829-2023; Liu, Guilin/AAO-6632-2020; Shu, Xinwen/AAO-5985-2020; LI, YUN/JTV-7108-2023; li, sixuan/KGR-3943-2024; Ji, Tuo/O-2611-2017</t>
  </si>
  <si>
    <t>tian, qiguo/0000-0003-3495-5000; Shu, Xinwen/0000-0002-7020-4290; Hao, Lei/0000-0003-2478-9723; Liu, Guilin/0000-0003-4286-5187</t>
  </si>
  <si>
    <t>Alfred P. Sloan Foundation; US National Science Foundation; US Department of Energy Office of Science; National Natural Science Foundation of China [NSFC11473025]; SOC programme [CHINARE2017-02-03]; Key Research Program of the Chinese Academy of Sciences [XDPB09-02]</t>
  </si>
  <si>
    <t>Alfred P. Sloan Foundation(Alfred P. Sloan Foundation); US National Science Foundation(National Science Foundation (NSF)); US Department of Energy Office of Science(United States Department of Energy (DOE)); National Natural Science Foundation of China(National Natural Science Foundation of China (NSFC)); SOC programme; Key Research Program of the Chinese Academy of Sciences(Chinese Academy of Sciences)</t>
  </si>
  <si>
    <t>We acknowledge the use of the Hale 200-inch Telescope at Palomar Observatory through the Telescope Access Program (TAP), which made these observations possible. Funding for the third Sloan Digital Sky Survey (SDSS-III; http://www.sdss3.org) has been provided by the Alfred P. Sloan Foundation, the participating institutions, the US National Science Foundation and the US Department of Energy Office of Science. H.Z., L.S. and X.P. acknowledge support from the National Natural Science Foundation of China (NSFC11473025) and the SOC programme (CHINARE2017-02-03). X.C. and G. Li are grateful for support from the Key Research Program of the Chinese Academy of Sciences (XDPB09-02).</t>
  </si>
  <si>
    <t>SEP 5</t>
  </si>
  <si>
    <t>10.1038/s41586-019-1510-y</t>
  </si>
  <si>
    <t>IV0KI</t>
  </si>
  <si>
    <t>WOS:000483967700038</t>
  </si>
  <si>
    <t>Heurtier, L; Kim, D; Park, JC; Shin, S</t>
  </si>
  <si>
    <t>Heurtier, Lucien; Kim, Doojin; Park, Jong-Chul; Shin, Seodong</t>
  </si>
  <si>
    <t>Explaining the ANITA anomaly with inelastic boosted dark matter</t>
  </si>
  <si>
    <t>We propose a new physics scenario in which the decay of a very heavy dark-matter candidate which does not interact with the neutrino sector could explain the two anomalous events recently reported by the Antarctic Impulsive Transient Antenna Collaboration. The model is composed of two components of dark matter, an unstable dark-sector state and a massive dark gauge boson. We assume that the heavier dark-matter particle of an EeV-range mass is distributed over the Galactic halo and disintegrates into a pair of lighter-highly boosted-dark-matter states in the present Universe which reach and penetrate the Earth. The latter scatters inelastically off a nucleon and produces a heavier dark-sector unstable state which subsequently decays back to the lighter dark matter along with hadrons, which induce extensive air showers, via on /off shell dark gauge boson. Depending on the mass hierarchy within the dark sector, either the dark gauge boson or the unstable dark-sector particle can be long-lived, hence transmitted significantly through the Earth. We study the angular distribution of the signal and show that our model favors emergence angles in the range similar to 25 degrees-35 degrees if the associated parameter choices bear the situation where the mean free path of the boosted incident particle is much larger than the Earth diameter, while its long-lived decay product has a decay length of dimensions comparable to the Earth radius. Our model, in particular, avoids any constraints from complementary neutrino searches such as IceCube or the Auger observatory.</t>
  </si>
  <si>
    <t>[Heurtier, Lucien; Kim, Doojin] Univ Arizona, Dept Phys, Tucson, AZ 85721 USA; [Park, Jong-Chul] Chungnam Natl Univ, Dept Phys, Daejeon 34134, South Korea; [Shin, Seodong] Yonsei Univ, Dept Phys, Seoul 03722, South Korea; [Shin, Seodong] Yonsei Univ, IPAP, Seoul 03722, South Korea</t>
  </si>
  <si>
    <t>University of Arizona; Chungnam National University; Yonsei University; Yonsei University</t>
  </si>
  <si>
    <t>Heurtier, L (corresponding author), Univ Arizona, Dept Phys, Tucson, AZ 85721 USA.</t>
  </si>
  <si>
    <t>heurtier@email.arizona.edu; doojinkim@email.arizona.edu; jcpark@cnu.ac.kr; seodongshin@yonsei.ac.kr</t>
  </si>
  <si>
    <t>Department of Energy [DE-FG02-13ER41976 (de-sc0009913)]; National Research Foundation of Korea [NRF-2019R1C1C1005073, NRF-2018R1A4A1025334, NRF-2017R1D1A1B03032076]</t>
  </si>
  <si>
    <t>Department of Energy(United States Department of Energy (DOE)); National Research Foundation of Korea(National Research Foundation of Korea)</t>
  </si>
  <si>
    <t>We would like to thank Kim Berghaus, Bhupal Dev, Ian Lewis, Yann Mambrini, Mathias Pierre, and Yicong Sui for useful discussions. The work of L.H. and D.K. is supported by the Department of Energy under Grant No. DE-FG02-13ER41976 (de-sc0009913). The work of J.-C.P. is supported by the National Research Foundation of Korea (Grants No. NRF-2019R1C1C1005073 and No. NRF-2018R1A4A1025334). The work of S.S. is supported by the National Research Foundation of Korea (Grant No. NRF-2017R1D1A1B03032076 and in partial by Grant No. NRF-2018R1A4A1025334). A part of this work was discussed in the workshop Dark Matter as a Portal to New Physics at Asia Pacific Center for Theoretical Physics in Jan 14th-18th, 2019.</t>
  </si>
  <si>
    <t>10.1103/PhysRevD.100.055004</t>
  </si>
  <si>
    <t>IU9ZD</t>
  </si>
  <si>
    <t>hybrid, Green Accepted, Green Submitted</t>
  </si>
  <si>
    <t>WOS:000483938300005</t>
  </si>
  <si>
    <t>Owen, C; Rendell, L; Constantine, R; Noad, MJ; Allen, J; Andrews, O; Garrigue, C; Poole, MM; Donnelly, D; Hauser, N; Garland, EC</t>
  </si>
  <si>
    <t>Owen, Clare; Rendell, Luke; Constantine, Rochelle; Noad, Michael J.; Allen, Jenny; Andrews, Olive; Garrigue, Claire; Poole, M. Michael; Donnelly, David; Hauser, Nan; Garland, Ellen C.</t>
  </si>
  <si>
    <t>Migratory convergence facilitates cultural transmission of humpback whale song</t>
  </si>
  <si>
    <t>animal culture; cultural evolution; song; cetacean; humpback whale; south pacific</t>
  </si>
  <si>
    <t>MEGAPTERA-NOVAEANGLIAE; POPULATION-STRUCTURE; TEMPORAL STABILITY; SOUTH-PACIFIC; TOOL USE; OCEAN; REPERTOIRE; CONFORMITY; SEQUENCES; EXCHANGE</t>
  </si>
  <si>
    <t>Cultural transmission of behaviour is important in a wide variety of vertebrate taxa from birds to humans. Vocal traditions and vocal learning provide a strong foundation for studying culture and its transmission in both humans and cetaceans. Male humpback whales (Megaptera novaeangliae) perform complex, culturally transmitted song displays that can change both evolutionarily (through accumulations of small changes) or revolutionarily (where a population rapidly adopts a novel song). The degree of coordination and conformity underlying song revolutions makes their study of particular interest. Acoustic contact on migratory routes may provide a mechanism for cultural revolutions of song, yet these areas of contact remain uncertain. Here, we compared songs recorded from the Kermadec Islands, a recently discovered migratory stopover, to multiple South Pacific wintering grounds. Similarities in song themes from the Kermadec Islands and multiple wintering locations (from New Caledonia across to the Cook Islands) suggest a location allowing cultural transmission of song eastward across the South Pacific, active song learning (hybrid songs) and the potential for cultural convergence after acoustic isolation at the wintering grounds. As with the correlations in humans between genes, communication and migration, the migration patterns of humpback whales are written into their songs.</t>
  </si>
  <si>
    <t>[Owen, Clare; Rendell, Luke; Garland, Ellen C.] Univ St Andrews, Sch Biol, Sea Mammal Res Unit, St Andrews KY16 8LB, Fife, Scotland; [Rendell, Luke; Garland, Ellen C.] Univ St Andrews, Ctr Social Learning &amp; Cognit Evolut, Sch Biol, St Andrews KY16 9TH, Fife, Scotland; [Constantine, Rochelle; Noad, Michael J.; Andrews, Olive; Garrigue, Claire; Poole, M. Michael; Donnelly, David; Hauser, Nan; Garland, Ellen C.] South Pacific Whale Res Consortium, POB 3069, Avarua, Rarotonga, Cook Islands; [Constantine, Rochelle] Univ Auckland, Inst Marine Sci, Sch Biol Sci, Private Bag 92019, Auckland 1142, New Zealand; [Noad, Michael J.; Allen, Jenny] Univ Queensland, Sch Vet Sci, Cetacean Ecol &amp; Acoust Lab, Gatton, Qld 4343, Australia; [Andrews, Olive] Univ Auckland, Conservat Int Pacific Isl Programme, Sci Bldg 302,23 Symonds St, Auckland 1010, New Zealand; [Andrews, Olive] Niue Whale Res Project, Alofi, Niue; [Garrigue, Claire] Operat Cetaces, Noumea 98802, New Caledonia; [Garrigue, Claire] Univ Reunion, CNRS, Lab Excellence CORAIL, UMR ENTROPIE,IRD, BPA5, Noumea 98848, New Caledonia; [Poole, M. Michael] Marine Mammal Res Program, BP 698, F-98728 Moorea, French Polynesi, France; [Donnelly, David] Killer Whales Australia, 8 Campbell Parade, Box Hill South, Vic 3128, Australia; [Hauser, Nan] Cook Isl Whale Res, POB 3069, Avarua, Rarotonga, Cook Islands</t>
  </si>
  <si>
    <t>University of St Andrews; University of St Andrews; University of the South Pacific; University of Auckland; University of Queensland; University of Auckland; Institut de Recherche pour le Developpement (IRD)</t>
  </si>
  <si>
    <t>Garland, EC (corresponding author), Univ St Andrews, Sch Biol, Sea Mammal Res Unit, St Andrews KY16 8LB, Fife, Scotland.;Garland, EC (corresponding author), Univ St Andrews, Ctr Social Learning &amp; Cognit Evolut, Sch Biol, St Andrews KY16 9TH, Fife, Scotland.;Garland, EC (corresponding author), South Pacific Whale Res Consortium, POB 3069, Avarua, Rarotonga, Cook Islands.</t>
  </si>
  <si>
    <t>ecg5@st-andrews.ac.uk</t>
  </si>
  <si>
    <t>Allen, Jennifer/AAQ-7333-2020; Noad, Michael J/D-7975-2013; Rendell, Luke/G-2594-2010; Rendell, Luke/AAF-9070-2019; garrigue, claire/I-4704-2016</t>
  </si>
  <si>
    <t>Allen, Jennifer/0000-0003-4658-7380; Rendell, Luke/0000-0002-1121-9142; Garland, Ellen/0000-0002-8240-1267; garrigue, claire/0000-0002-8117-3370</t>
  </si>
  <si>
    <t>Sidney Perry Foundation; NERC Sea Mammal Research Unit; Royal Society Newton International Fellowship; Royal Society University Research Fellowship; MASTS pooling initiative (The Marine Alliance for Science and Technology for Scotland); Scottish Funding Council [HR09011]; Australian Government Research Training Program Scholarship; Australian American Association University of Queensland Fellowship; Sea World Research and Rescue Foundation Inc.; New Zealand Ministry for Primary Industries BRAG Fund; University of Auckland FRDF Grant; Australian Antarctic Division; Pew Charitable Trusts; EAMP;P Sound and Marine Life Joint Industry Program (JIP); US Bureau of Ocean Energy Management as part of the BRAHSS project; National Oceanic Society; Dolphin AMP; Whale Watching Expeditions</t>
  </si>
  <si>
    <t>Sidney Perry Foundation; NERC Sea Mammal Research Unit; Royal Society Newton International Fellowship(Royal Society); Royal Society University Research Fellowship(Royal Society); MASTS pooling initiative (The Marine Alliance for Science and Technology for Scotland); Scottish Funding Council; Australian Government Research Training Program Scholarship(Australian GovernmentDepartment of Industry, Innovation and Science); Australian American Association University of Queensland Fellowship; Sea World Research and Rescue Foundation Inc.; New Zealand Ministry for Primary Industries BRAG Fund; University of Auckland FRDF Grant; Australian Antarctic Division; Pew Charitable Trusts; EAMP;P Sound and Marine Life Joint Industry Program (JIP); US Bureau of Ocean Energy Management as part of the BRAHSS project; National Oceanic Society; Dolphin AMP; Whale Watching Expeditions</t>
  </si>
  <si>
    <t>C.O. was partially supported by the Sidney Perry Foundation, and the NERC Sea Mammal Research Unit made a contribution towards the write up of this study. E.C.G. was supported by a Royal Society Newton International Fellowship and a Royal Society University Research Fellowship. L.R. was supported by the MASTS pooling initiative (The Marine Alliance for Science and Technology for Scotland) and their support is gratefully acknowledged. MASTS is funded by the Scottish Funding Council (grant reference HR09011) and contributing institutions. J.A. was supported by an Australian Government Research Training Program Scholarship, Australian American Association University of Queensland Fellowship and the Sea World Research and Rescue Foundation Inc. Research in the Kermadec Islands was primarily supported by the New Zealand Ministry for Primary Industries BRAG Fund, a University of Auckland FRDF Grant, the Australian Antarctic Division, and the Pew Charitable Trusts. Data collection in eastern Australia was funded by the E&amp;P Sound and Marine Life Joint Industry Program (JIP) and the US Bureau of Ocean Energy Management as part of the BRAHSS project. M.M.P. was partially supported by the National Oceanic Society and Dolphin &amp; Whale Watching Expeditions.</t>
  </si>
  <si>
    <t>SEP 4</t>
  </si>
  <si>
    <t>10.1098/rsos.190337</t>
  </si>
  <si>
    <t>JB7MM</t>
  </si>
  <si>
    <t>WOS:000488745800018</t>
  </si>
  <si>
    <t>Saunders, RA; Hill, SL; Tailing, GA; Murphy, EJ</t>
  </si>
  <si>
    <t>Saunders, Ryan A.; Hill, Simeon L.; Tailing, Geraint A.; Murphy, Eugene J.</t>
  </si>
  <si>
    <t>Myctophid Fish (Family Myctophidae) Are Central Consumers in the Food Web of the Scotia Sea (Southern Ocean)</t>
  </si>
  <si>
    <t>Myctophidae; food web; feeding ecology; Scotia Sea; Southern Ocean</t>
  </si>
  <si>
    <t>KRILL EUPHAUSIA-SUPERBA; ICEFISH CHAMPSOCEPHALUS-GUNNARI; MESOPELAGIC FISH; ANTARCTIC PENINSULA; FEEDING ECOLOGY; ARCTOCEPHALUS-GAZELLA; ELECTRONA-ANTARCTICA; MACQUARIE ISLAND; COMMUNITY STRUCTURE; PREDATORY IMPACT</t>
  </si>
  <si>
    <t>Myctophids are the most abundant and diverse mesopelagic fishes in the Southern Ocean. They are a conduit of energy between primary consumers and higher marine predators, and between the surface layers and the mesopelagic depths. However, there remain major uncertainties about their ecology, particularly regarding their role in Southern Ocean food webs in waters south of the Antarctic Polar Front, which are often regarded as dominated by Antarctic krill. Limited data on the feeding ecology of myctophids has made it difficult to assess the importance of myctophids as consumers of krill and how they fit in the traditional view of a krill-dominated system (diatom-krill-higher predator). We provide a new assessment of the role of myctophids in Southern Ocean food webs using information from recent trophodynamic studies of myctophids conducted in the Scotia Sea, one of the most productive regions of the Southern Oce an and a region that sustains both major populations of higher predators (sea birds, seals, whales) and important commercial fisheries (krill, toothfish, and mackerel icefish). Collectively, these data show that myctophids have a central role in Southern Ocean food webs as both predators and prey. Large myctophid species are prevalent consumers of krill throughout their distributional range and in different seasons in the Scotia Sea. Moreover, best estimates of both myctophid and higher predator consumption of krill to date indicate that large myctophids are the greatest predators of krill in this region, consuming almost as much krill as do all other vertebrates. Nevertheless, there are several smaller myctophid species that do not eat krill, instead consuming copepods and other small euphausiids. Myctophids therefore link primary producers to higher predators through both krill-dependent and krill-independent trophic pathways, emphasizing their importance in regional food webs. Consequently, trophic pathways involving large myctophids are unlikely to be exempt from the direct consequences of projected redistribution and/or reduction in krill population biomass under scenarios of ocean-warming, whilst trophic pathways involving small myctophids may be more resilient to such effects and become increasingly important to higher trophic levels. Further studies are required to determine the extent to which myctophids can maintain food web stability and sustain higher predator populations during periods of prolonged reductions in krill abundance. Including knowledge of the role of myctophids in Southern Ocean food webs will be important for developing robust projections of the impacts of future change to inform decision making for conservation and management.</t>
  </si>
  <si>
    <t>[Saunders, Ryan A.; Hill, Simeon L.; Tailing, Geraint A.; Murphy, Eugene J.] British Antarctic Survey, Nat Environm Res Council, Cambridge, England</t>
  </si>
  <si>
    <t>Saunders, RA (corresponding author), British Antarctic Survey, Nat Environm Res Council, Cambridge, England.</t>
  </si>
  <si>
    <t>Simeon, Hill L/B-2307-2008; murphy, eugene/GZL-1620-2022</t>
  </si>
  <si>
    <t>Natural Environment Research Council, UK Research and Innovation; NERC [bas0100035] Funding Source: UKRI</t>
  </si>
  <si>
    <t>Natural Environment Research Council, UK Research and Innovation; NERC(UK Research &amp; Innovation (UKRI)Natural Environment Research Council (NERC))</t>
  </si>
  <si>
    <t>This work was carried out as part of the British Antarctic Survey's POETS and SCOOBIES Projects within the Ecosystems Programme, funded by the Natural Environment Research Council, which is a part of UK Research and Innovation.</t>
  </si>
  <si>
    <t>10.3389/fmars.2019.00530</t>
  </si>
  <si>
    <t>IU8EG</t>
  </si>
  <si>
    <t>WOS:000483814200001</t>
  </si>
  <si>
    <t>Jin, MM; Xiao, AQ; Zhu, LY; Zhang, ZD; Huang, H; Jiang, L</t>
  </si>
  <si>
    <t>Jin, Mengmeng; Xiao, Anqi; Zhu, Liying; Zhang, Zhidong; Huang, He; Jiang, Ling</t>
  </si>
  <si>
    <t>The diversity and commonalities of the radiation-resistance mechanisms of Deinococcus and its up-to-date applications</t>
  </si>
  <si>
    <t>AMB EXPRESS</t>
  </si>
  <si>
    <t>Deinococcus; Ionizing radiation; DNA repair; Anti-oxidation</t>
  </si>
  <si>
    <t>RADIODURANS R1; SACCHAROMYCES-CEREVISIAE; TREHALOSE SYNTHASE; ESCHERICHIA-COLI; HEAVY-METALS; EFFICIENT PRODUCTION; STRESS RESISTANCE; BIOSORPTION; EXPRESSION; PROTEIN</t>
  </si>
  <si>
    <t>Deinococcus is an extremophilic microorganism found in a wide range of habitats, including hot springs, radiation-contaminated areas, Antarctic soils, deserts, etc., and shows some of the highest levels of resistance to ionizing radiation known in nature. The highly efficient radiation-protection mechanisms of Deinococcus depend on a combination of passive and active defense mechanisms, including self-repair of DNA damage (homologous recombination, MMR, ER and ESDSA), efficient cellular damage clearance mechanisms (hydrolysis of damaged proteins, overexpression of repair proteins, etc.), and effective clearance of reactive oxygen species (ROS). Due to these mechanisms, Deinococcus cells are highly resistant to oxidation, radiation and desiccation, which makes them potential chassis cells for wide applications in many fields. This article summarizes the latest research on the radiation-resistance mechanisms of Deinococcus and prospects its biotechnological application potentials.</t>
  </si>
  <si>
    <t>[Jin, Mengmeng] Nanjing Tech Univ, Coll Biotechnol &amp; Pharmaceut Engn, Nanjing 210019, Jiangsu, Peoples R China; [Jiang, Ling] Nanjing Tech Univ, Coll Food Sci &amp; Light Ind, Nanjing 210009, Jiangsu, Peoples R China; [Xiao, Anqi; Zhu, Liying] Nanjing Tech Univ, Coll Chem &amp; Mol Engn, Nanjing 210009, Jiangsu, Peoples R China; [Zhang, Zhidong] Xinjiang Acad Agr Sci, Inst Microbiol, Urumqi, Xinjiang Uigur, Peoples R China; [Huang, He] Nanjing Tech Univ, Coll Pharmaceut Sci, Nanjing 210009, Jiangsu, Peoples R China</t>
  </si>
  <si>
    <t>Nanjing Tech University; Nanjing Tech University; Nanjing Tech University; Xinjiang Academy of Agricultural Sciences; Nanjing Tech University</t>
  </si>
  <si>
    <t>Jiang, L (corresponding author), Nanjing Tech Univ, Coll Food Sci &amp; Light Ind, Nanjing 210009, Jiangsu, Peoples R China.;Zhu, LY (corresponding author), Nanjing Tech Univ, Coll Chem &amp; Mol Engn, Nanjing 210009, Jiangsu, Peoples R China.</t>
  </si>
  <si>
    <t>zlyhappy@njtech.edu.cn; jiangling@njtech.edu.cn</t>
  </si>
  <si>
    <t>National Key R&amp;D Program of China [2018YFC1602800]; National Science Foundation of China [U1603112]; Natural Science Foundation of Jiangsu Province [BK20180038, BK20171461]; Six Talent Peaks Project in Jiangsu Province [2015-JY-009]; National High Technology Research and Development Program of China [2012AA021705]</t>
  </si>
  <si>
    <t>National Key R&amp;D Program of China; National Science Foundation of China(National Natural Science Foundation of China (NSFC)); Natural Science Foundation of Jiangsu Province(Natural Science Foundation of Jiangsu Province); Six Talent Peaks Project in Jiangsu Province; National High Technology Research and Development Program of China(National High Technology Research and Development Program of China)</t>
  </si>
  <si>
    <t>This work was supported by the National Key R&amp;D Program of China (2018YFC1602800), the National Science Foundation of China (U1603112), the Natural Science Foundation of Jiangsu Province (BK20180038, BK20171461), the Six Talent Peaks Project in Jiangsu Province (2015-JY-009), and the National High Technology Research and Development Program of China (2012AA021705).</t>
  </si>
  <si>
    <t>SPRINGEROPEN</t>
  </si>
  <si>
    <t>2191-0855</t>
  </si>
  <si>
    <t>AMB Express</t>
  </si>
  <si>
    <t>SEP 3</t>
  </si>
  <si>
    <t>10.1186/s13568-019-0862-x</t>
  </si>
  <si>
    <t>IU7EC</t>
  </si>
  <si>
    <t>WOS:000483746200001</t>
  </si>
  <si>
    <t>Hehenberger, E; Gast, RJ; Keeling, PJ</t>
  </si>
  <si>
    <t>Hehenberger, Elisabeth; Gast, Rebecca J.; Keeling, Patrick J.</t>
  </si>
  <si>
    <t>A kleptoplastidic dinoflagellate and the tipping point between transient and fully integrated plastid endosymbiosis</t>
  </si>
  <si>
    <t>plastid endosymbiosis; kleptoplasty; dinoflagellates; plastid integration</t>
  </si>
  <si>
    <t>HORIZONTAL GENE-TRANSFER; ROSS SEA; GENOME; LIGHT; CHLOROPLAST; ACQUISITION; DINOPHYSIS; ABUNDANCE; DYNAMICS; SEQUENCE</t>
  </si>
  <si>
    <t>Plastid endosymbiosis has been a major force in the evolution of eukaryotic cellular complexity, but how endosymbionts are integrated is still poorly understood at a mechanistic level. Dinoflagellates, an ecologically important protist lineage, represent a unique model to study this process because dinoflagellate plastids have repeatedly been reduced, lost, and replaced by new plastids, leading to a spectrum of ages and integration levels. Here we describe deep-transcriptomic analyses of the Antarctic Ross Sea dinoflagellate (RSD), which harbors long-term but temporary kleptoplasts stolen from haptophyte prey, and is closely related to dinoflagellates with fully integrated plastids derived from different haptophytes. In some members of this lineage, called the Kareniaceae, their tertiary haptophyte plastids have crossed a tipping point to stable integration, but RSD has not, and may therefore reveal the order of events leading up to endosymbiotic integration. We show that RSD has retained its ancestral secondary plastid and has partitioned functions between this plastid and the kleptoplast. It has also obtained genes for kleptoplast-targeted proteins via horizontal gene transfer (HGT) that are not derived from the kleptoplast lineage. Importantly, many of these HGTs are also found in the related species with fully integrated plastids, which provides direct evidence that genetic integration preceded organelle fixation. Finally, we find that expression of kleptoplast-targeted genes is unaffected by environmental parameters, unlike prey-encoded homologs, suggesting that kleptoplast-targeted HGTs have adapted to posttranscriptional regulation mechanisms of the host.</t>
  </si>
  <si>
    <t>[Hehenberger, Elisabeth; Keeling, Patrick J.] Univ British Columbia, Dept Bot, Vancouver, BC V6T 1Z4, Canada; [Gast, Rebecca J.] Woods Hole Oceanog Inst, Biol Dept, Woods Hole, MA 02543 USA; [Hehenberger, Elisabeth] GEOMAR Helmholtz Ctr Ocean Res Kiel, Marine Ecol Div, D-24105 Kiel, Germany</t>
  </si>
  <si>
    <t>University of British Columbia; Woods Hole Oceanographic Institution; Helmholtz Association; GEOMAR Helmholtz Center for Ocean Research Kiel</t>
  </si>
  <si>
    <t>Hehenberger, E; Keeling, PJ (corresponding author), Univ British Columbia, Dept Bot, Vancouver, BC V6T 1Z4, Canada.;Hehenberger, E (corresponding author), GEOMAR Helmholtz Ctr Ocean Res Kiel, Marine Ecol Div, D-24105 Kiel, Germany.</t>
  </si>
  <si>
    <t>ehehenberger@geomar.de; pkeeling@mail.ubc.ca</t>
  </si>
  <si>
    <t>Hehenberger, Elisabeth/AAG-3123-2021</t>
  </si>
  <si>
    <t>Hehenberger, Elisabeth/0000-0001-7810-1336; Gast, Rebecca J/0000-0003-3875-3975</t>
  </si>
  <si>
    <t>National Science Foundation [PLR-1341362]; Natural Sciences and Engineering Research Council of Canada [RGPIN-2014-03994]</t>
  </si>
  <si>
    <t>National Science Foundation(National Science Foundation (NSF)); Natural Sciences and Engineering Research Council of Canada(Natural Sciences and Engineering Research Council of Canada (NSERC)CGIAR)</t>
  </si>
  <si>
    <t>We are grateful to Martin Kolisko and Fabien Burki for helpful discussion about and comments on the phylogenetic analysis; and Filip Husnik and Vittorio Boscaro for valuable comments on the manuscript. This work was supported by a grant from the National Science Foundation to R. J. G. and P. J. K. (PLR-1341362) and from the Natural Sciences and Engineering Research Council of Canada to P. J. K. (RGPIN-2014-03994).</t>
  </si>
  <si>
    <t>10.1073/pnas.1910121116</t>
  </si>
  <si>
    <t>IW7CH</t>
  </si>
  <si>
    <t>Green Published, Bronze, Green Accepted, Green Submitted</t>
  </si>
  <si>
    <t>WOS:000485140300054</t>
  </si>
  <si>
    <t>Ambrozová, K; Láska, K; Kavan, J</t>
  </si>
  <si>
    <t>Ambrozova, Klara; Laska, Kamil; Kavan, Jan</t>
  </si>
  <si>
    <t>Multi-year assessment of atmospheric circulation and impacts on air temperature variation on James Ross Island, Antarctic Peninsula</t>
  </si>
  <si>
    <t>air temperature; Antarctic Peninsula; atmospheric circulation; James Ross Island; pattern detection; synoptic climatology</t>
  </si>
  <si>
    <t>SELF-ORGANIZING MAPS; SOUTHERN-HEMISPHERE; ICE SHELF; SEA REGION; CLIMATE; 21ST-CENTURY; PERFORMANCE; PATTERN; CORE</t>
  </si>
  <si>
    <t>The influence of synoptic-scale circulation on air temperature variation in the ice-free and glaciated areas on the eastern side of the Antarctic Peninsula (AP) has been analysed. For this purpose, a new classification of atmospheric circulation with 15 synoptic patterns in the AP region was developed using the self-organizing maps technique. The synoptic patterns were compared with air temperature observations from coastal and glacial sites on James Ross Island, northeastern AP, in the period 2005-2015. The most frequent synoptic pattern with a frequency of 13.7% was dominated by a low-pressure centre in the northwestern Bellingshausen Sea, which extended over the AP to the Weddell Sea. On the other hand, the largest inter-annual variability was observed for a synoptic pattern with a low-pressure centre in the southern Bellingshausen Sea. This synoptic pattern also had the highest air temperature anomalies at both investigated sites year-round. Air temperature anomalies at the lower lying site (Mendel station) were the lowest during a high-pressure ridge dominating the AP region due to a combination of local and synoptic-scale processes. At Davies Dome, the glacial site, southerly barrier winds advecting cold air from the ice-covered Weddell Sea during a strong low-pressure system in the Weddell Sea ensured the coldest air temperature anomalies.</t>
  </si>
  <si>
    <t>[Ambrozova, Klara; Laska, Kamil; Kavan, Jan] Masaryk Univ, Dept Geog, Fac Sci, Kotlarska 267-2, Brno 60200, Czech Republic</t>
  </si>
  <si>
    <t>Ambrozová, K (corresponding author), Masaryk Univ, Dept Geog, Fac Sci, Kotlarska 267-2, Brno 60200, Czech Republic.</t>
  </si>
  <si>
    <t>ambrozova.kl@mail.muni.cz</t>
  </si>
  <si>
    <t>Laska, Kamil/L-7875-2013; Kavan, Jan/ACU-4986-2022</t>
  </si>
  <si>
    <t>Laska, Kamil/0000-0002-5199-9737; Kavan, Jan/0000-0003-4524-3009</t>
  </si>
  <si>
    <t>Czech Science Foundation [GC16-14122J]; Masaryk University [MUNI/A/1251/2017]; Ministry of Education, Youth and Sports of the Czech Republic [02.1.01/0.0/0.0/16_013/0001708, LM2015078]</t>
  </si>
  <si>
    <t>Czech Science Foundation(Grant Agency of the Czech Republic); Masaryk University; Ministry of Education, Youth and Sports of the Czech Republic(Ministry of Education, Youth &amp; Sports - Czech Republic)</t>
  </si>
  <si>
    <t>Czech Science Foundation, Grant/Award Number: GC16-14122J; Masaryk University, Grant/Award Number: MUNI/A/1251/2017; Ministry of Education, Youth and Sports of the Czech Republic, Grant/Award Numbers: CZ. 02.1.01/0.0/0.0/16_013/0001708, LM2015078</t>
  </si>
  <si>
    <t>10.1002/joc.6285</t>
  </si>
  <si>
    <t>WOS:000484748000001</t>
  </si>
  <si>
    <t>Waelbroeck, C; Lougheed, BC; Riveiros, NV; Missiaen, L; Pedro, J; Dokken, T; Hajdas, I; Wacker, L; Abbott, P; Dumoulin, JP; Thil, F; Eynaud, F; Rossignol, L; Fersi, W; Albuquerque, AL; Arz, H; Austin, WEN; Came, R; Carlson, AE; Collins, JA; Dennielou, B; Desprat, S; Dickson, A; Elliot, M; Farmer, C; Giraudeau, J; Gottschalk, J; Henderiks, J; Hughen, K; Jung, S; Knutz, P; Lebreiro, S; Lund, DC; Lynch-Stieglitz, J; Malaize, B; Marchitto, T; Martinez-Mendez, G; Mollenhauer, G; Naughton, F; Nave, S; Nürnberg, D; Oppo, D; Peck, V; Peeters, FJC; Penaud, A; Portilho-Ramos, RD; Repschläger, J; Roberts, J; Rühlemann, C; Salgueiro, E; Goni, MFS; Schonfeld, J; Scussolini, P; Skinner, LC; Skonieczny, C; Thornalley, D; Toucanne, S; Van Rooij, D; Vidal, L; Voelker, AHL; Wary, M; Weldeab, S; Ziegler, M</t>
  </si>
  <si>
    <t>Waelbroeck, Claire; Lougheed, Bryan C.; Riveiros, Natalia Vazquez; Missiaen, Lise; Pedro, Joel; Dokken, Trond; Hajdas, Irka; Wacker, Lukas; Abbott, Peter; Dumoulin, Jean-Pascal; Thil, Francois; Eynaud, Frederique; Rossignol, Linda; Fersi, Wiem; Albuquerque, Ana Luiza; Arz, Helge; Austin, William E. N.; Came, Rosemarie; Carlson, Anders E.; Collins, James A.; Dennielou, Bernard; Desprat, Stephanie; Dickson, Alex; Elliot, Mary; Farmer, Christa; Giraudeau, Jacques; Gottschalk, Julia; Henderiks, Jorijntje; Hughen, Konrad; Jung, Simon; Knutz, Paul; Lebreiro, Susana; Lund, David C.; Lynch-Stieglitz, Jean; Malaize, Bruno; Marchitto, Thomas; Martinez-Mendez, Gema; Mollenhauer, Gesine; Naughton, Filipa; Nave, Silvia; Nuernberg, Dirk; Oppo, Delia; Peck, Victoria; Peeters, Frank J. C.; Penaud, Aurelie; Portilho-Ramos, Rodrigo da Costa; Repschlaeger, Janne; Roberts, Jenny; Ruehlemann, Carsten; Salgueiro, Emilia; Goni, Maria Fernanda Sanchez; Schonfeld, Joachim; Scussolini, Paolo; Skinner, Luke C.; Skonieczny, Charlotte; Thornalley, David; Toucanne, Samuel; Van Rooij, David; Vidal, Laurence; Voelker, Antje H. L.; Wary, Melanie; Weldeab, Syee; Ziegler, Martin</t>
  </si>
  <si>
    <t>Consistently dated Atlantic sediment cores over the last 40 thousand years</t>
  </si>
  <si>
    <t>MILLENNIAL-SCALE CHANGES; WESTERN TROPICAL ATLANTIC; MARINE ISOTOPIC STAGE-3; SEA-SURFACE TEMPERATURE; C-14 RESERVOIR AGES; GREENLAND ICE-CORES; NORTH-ATLANTIC; DEEP-WATER; GLACIAL PERIOD; PRODUCTIVITY CHANGES</t>
  </si>
  <si>
    <t>Rapid changes in ocean circulation and climate have been observed in marine-sediment and ice cores over the last glacial period and deglaciation, highlighting the non-linear character of the climate system and underlining the possibility of rapid climate shifts in response to anthropogenic greenhouse gas forcing. To date, these rapid changes in climate and ocean circulation are still not fully explained. One obstacle hindering progress in our understanding of the interactions between past ocean circulation and climate changes is the difficulty of accurately dating marine cores. Here, we present a set of 92 marine sediment cores from the Atlantic Ocean for which we have established age-depth models that are consistent with the Greenland GICC05 ice core chronology, and computed the associated dating uncertainties, using a new deposition modeling technique. This is the first set of consistently dated marine sediment cores enabling paleoclimate scientists to evaluate leads/lags between circulation and climate changes over vast regions of the Atlantic Ocean. Moreover, this data set is of direct use in paleoclimate modeling studies.</t>
  </si>
  <si>
    <t>[Waelbroeck, Claire; Lougheed, Bryan C.; Riveiros, Natalia Vazquez; Missiaen, Lise; Dumoulin, Jean-Pascal; Thil, Francois; Fersi, Wiem] UVSQ, CEA, Lab CNRS, LSCE,IPSL, F-91191 Orme Des Merisiers, France; [Riveiros, Natalia Vazquez; Dennielou, Bernard; Toucanne, Samuel] Ifremer, Unite Geosci Marines, F-29280 Plouzane, France; [Pedro, Joel; Dokken, Trond] Uni Res, Nygardsgaten 112, N-5008 Bergen, Norway; [Hajdas, Irka; Wacker, Lukas] Swiss Fed Inst Technol, Lab Ion Beam Phys, CH-8093 Zurich, Switzerland; [Abbott, Peter] Cardiff Univ, Sch Earth &amp; Ocean Sci, Cardiff CF10 3AT, S Glam, Wales; [Abbott, Peter] Univ Bern, Inst Geol Sci, CH-3012 Bern, Switzerland; [Abbott, Peter] Univ Bern, Oeschger Ctr Climate Change Res, CH-3012 Bern, Switzerland; [Dumoulin, Jean-Pascal] Univ Paris Saclay, LMC14, F-91191 Gif Sur Yvette, France; [Eynaud, Frederique; Rossignol, Linda; Desprat, Stephanie; Giraudeau, Jacques; Malaize, Bruno; Goni, Maria Fernanda Sanchez] Univ Bordeaux, EPOC, Allee Geoffroy St Hilaire, F-33615 Pessac, France; [Albuquerque, Ana Luiza] Univ Fed Fluminense, LOOP, Niteroi, RJ, Brazil; [Arz, Helge] Leibniz Inst Balt Sea Res Warnemunde, Seestr 15, D-18119 Rostock, Germany; [Austin, William E. N.] Univ St Andrews, St Andrews KY16 9AL, Fife, Scotland; [Came, Rosemarie] Univ New Hampshire, 56 Coll Rd, Durham, NH 03824 USA; [Carlson, Anders E.] Oregon State Univ, Corvallis, OR 97331 USA; [Collins, James A.] GeoForschungsZentrum, D-14473 Potsdam, Germany; [Desprat, Stephanie; Goni, Maria Fernanda Sanchez] EPHE, PSL, 4-14 Rue Ferrus, F-75014 Paris, France; [Dickson, Alex] Royal Holloway Univ London, Egham TW20 0EX, Surrey, England; [Elliot, Mary] Univ Nantes, LPG Nantes, F-44300 Nantes, France; [Farmer, Christa] Hofstra Univ, Hempstead, NY 11549 USA; [Gottschalk, Julia] Columbia Univ, Lamont Doherty Earth Observ, 61 Route 9W,POB 1000, Palisades, NY 10964 USA; [Henderiks, Jorijntje] Uppsala Univ, Geocentrum, Villavagen 16, SE-75236 Uppsala, Sweden; [Hughen, Konrad; Oppo, Delia] Woods Hole Oceanog Inst, 266 Woods Hole Rd, Woods Hole, MA 02543 USA; [Jung, Simon] Univ Edinburgh, Sch Geosci, Edinburgh EH9 3FE, Midlothian, Scotland; [Knutz, Paul] Geol Survey Denmark &amp; Greenland, Oster Voldgade 10, DK-1350 Copenhagen, Denmark; [Lebreiro, Susana] IGME, Calle Rios Rosas 23, Madrid 28003, Spain; [Lund, David C.] Univ Connecticut, 1080 Shennecossett Rd, Groton, CT 06340 USA; [Lynch-Stieglitz, Jean] Georgia Inst Technol, 311 Ferst Dr, Atlanta, GA 30332 USA; [Marchitto, Thomas] Univ Colorado, INSTAAR, Boulder, CO 80303 USA; [Martinez-Mendez, Gema; Mollenhauer, Gesine] AWI, Alten Hafen 26, D-27568 Bremerhaven, Germany; [Naughton, Filipa; Salgueiro, Emilia; Voelker, Antje H. L.] IPMA DivGM, Ave Doutor Alfredo Magalhaes Ramalho 6, P-1495165 Alges, Portugal; [Naughton, Filipa; Salgueiro, Emilia; Voelker, Antje H. L.] Univ Algarve, CCMAR, Campus Gambelas, P-8005139 Faro, Portugal; [Nave, Silvia] LNEG, P-2610999 Amadora, Portugal; [Nuernberg, Dirk; Schonfeld, Joachim] GEOMAR, Wischhofstr 1-3, D-24148 Kiel, Germany; [Peck, Victoria] UK British Antarctic Survey, Madingley Rd, Cambridge CB3 0ET, England; [Peeters, Frank J. C.; Scussolini, Paolo] Vrije Univ Amsterdam, Boelelaan 1087, NL-1081 HV Amsterdam, Netherlands; [Penaud, Aurelie] Univ Bretragne Occidentale, Technopole Brest Iroise, F-29280 Plouzane, France; [Portilho-Ramos, Rodrigo da Costa] Univ Bremen, MARUM, D-28359 Bremen, Germany; [Repschlaeger, Janne] Max Planck Inst, Hahn Meitner Weg 1, D-55128 Mainz, Germany; [Roberts, Jenny] Thermo Fisher Sci, Hanna Kunath Str 11, D-28199 Bremen, Germany; [Ruehlemann, Carsten] Geozentrum Hannover, Stilleweg 2, D-30655 Hannover, Germany; [Skinner, Luke C.] Univ Cambridge, Godwin Lab Palaeoclimate Res, Cambridge CB2 3EQ, England; [Skonieczny, Charlotte] Univ Paris Sud, GEOPS, F-91405 Orsay, France; [Thornalley, David] UCL, Gower St, London WC1E 6BT, England; [Van Rooij, David] Univ Ghent, Krijgslaan 281, B-9000 Ghent, Belgium; [Vidal, Laurence] Aix Marseille Univ, CNRS, INRA, IRD,Coll France,CEREGE,Europole Arbois, F-13545 Aix En Provence, France; [Wary, Melanie] Univ Autonoma Barcelona, ICTA, E-08193 Barcelona, Spain; [Weldeab, Syee] Univ Calif Santa Barbara, 1006 Webb Hall, Santa Barbara, CA 93106 USA; [Ziegler, Martin] Univ Utrecht, Princetonlaan 8a, NL-3584 CB Utrecht, Netherlands</t>
  </si>
  <si>
    <t>CEA; Centre National de la Recherche Scientifique (CNRS); Universite Paris Saclay; Universite Paris Cite; Ifremer; Swiss Federal Institutes of Technology Domain; ETH Zurich; Cardiff University; University of Bern; University of Bern; Universite Paris Saclay; CEA; Centre National de la Recherche Scientifique (CNRS); Institut de Recherche pour le Developpement (IRD); Universite Paris Cite; Universite de Bordeaux; Universidade Federal Fluminense; Leibniz Institut fur Ostseeforschung Warnemunde; University of St Andrews; University System Of New Hampshire; University of New Hampshire; Oregon State University; Helmholtz Association; Helmholtz-Center Potsdam GFZ German Research Center for Geosciences; Universite PSL; Ecole Pratique des Hautes Etudes (EPHE); University of London; Royal Holloway University London; Nantes Universite; Hofstra University; Columbia University; Uppsala University; Woods Hole Oceanographic Institution; University of Edinburgh; Geological Survey Of Denmark &amp; Greenland; University of Connecticut; University System of Georgia; Georgia Institute of Technology; University of Colorado System; University of Colorado Boulder; Helmholtz Association; Alfred Wegener Institute, Helmholtz Centre for Polar &amp; Marine Research; Instituto Portugues do Mar e da Atmosfera; Universidade do Algarve; Laboratorio Nacional de Energia e Geologia IP (LNEG); Helmholtz Association; GEOMAR Helmholtz Center for Ocean Research Kiel; Vrije Universiteit Amsterdam; University of Bremen; Max Planck Society; Thermo Fisher Scientific; University of Cambridge; Universite Paris Cite; Universite Paris Saclay; University of London; University College London; Ghent University; Centre National de la Recherche Scientifique (CNRS); Aix-Marseille Universite; Universite PSL; College de France; Institut de Recherche pour le Developpement (IRD); INRAE; Autonomous University of Barcelona; University of California System; University of California Santa Barbara; Utrecht University</t>
  </si>
  <si>
    <t>Waelbroeck, C (corresponding author), UVSQ, CEA, Lab CNRS, LSCE,IPSL, F-91191 Orme Des Merisiers, France.</t>
  </si>
  <si>
    <t>claire.waelbroeck@lsce.ipsl.fr</t>
  </si>
  <si>
    <t>Mollenhauer, Gesine/AAD-8167-2019; Dokken, Trond/AAE-9168-2021; Nave, Sílvia Osório/AAU-4670-2020; Knutz, Paul C/B-5814-2015; Hajdas, Irka/C-6696-2011; Henderiks, Jorijntje/ABB-1080-2020; Sanchez Goñi, Maria Fernanda/R-3699-2019; Voelker, Antje/C-5427-2012; Giraudeau, Jacques/AAF-5764-2019; da Costa Portilho Ramos, Rodrigo/W-9195-2019; Albuquerque, Ana Luiza/AAC-1536-2019; Pedro, Joel Benjamin/L-8918-2019; Toucanne, Samuel/H-3437-2011; Scussolini, Paolo/ABB-5247-2021; Méndez, Gema Martínez/AAB-2245-2020; Desprat, Stephanie/N-7637-2013; Vazquez Riveiros, Natalia/C-1100-2012; Ziegler, Martin/N-9699-2013; Scussolini, Paolo/AAA-8133-2019; Henderiks, Jorijntje/JGL-6527-2023; Vidal, Laurence/C-1860-2019; Naughton, Filipa/AAA-1589-2019; Arz, Helge W/A-6659-2013; Abbott, Peter M/B-6769-2013; Van Rooij, David/A-7938-2014; Lebreiro, Susana M./A-3649-2009; WARY, Melanie/S-1121-2018; Salgueiro, Emilia/G-1019-2013; Penaud, Aurelie/F-2485-2011; Lynch-Stieglitz, Jean/J-2277-2018</t>
  </si>
  <si>
    <t>Mollenhauer, Gesine/0000-0001-5138-564X; Nave, Sílvia Osório/0000-0003-0845-1044; Knutz, Paul C/0000-0001-5188-4254; Hajdas, Irka/0000-0003-2373-2725; Sanchez Goñi, Maria Fernanda/0000-0001-8238-7488; Voelker, Antje/0000-0001-6465-6023; da Costa Portilho Ramos, Rodrigo/0000-0002-1182-1547; Albuquerque, Ana Luiza/0000-0003-1267-6190; Pedro, Joel Benjamin/0000-0002-0728-2712; Scussolini, Paolo/0000-0001-6208-2169; Méndez, Gema Martínez/0000-0001-7950-6837; Desprat, Stephanie/0000-0003-4400-679X; Vazquez Riveiros, Natalia/0000-0001-7513-153X; Scussolini, Paolo/0000-0001-6208-2169; Naughton, Filipa/0000-0002-3055-9396; Van Rooij, David/0000-0003-3633-3344; Lebreiro, Susana M./0000-0003-1478-2448; WARY, Melanie/0000-0001-5211-2168; Gottschalk, Julia/0000-0002-0403-3059; Missiaen, Lise/0000-0002-0679-1347; Salgueiro, Emilia/0000-0003-1000-2977; Penaud, Aurelie/0000-0003-3578-4549; Fersi, Wiem/0000-0002-3541-3804; MARCHITTO, THOMAS/0000-0003-2397-8768; Peeters, Frank J.C./0000-0002-5678-9288; Elliot, Mary/0000-0001-5322-6941; Toucanne, Samuel/0000-0002-4858-8953; waelbroeck, claire/0000-0002-7256-5727; Arz, Helge Wolfgang/0000-0002-1997-1718; Lynch-Stieglitz, Jean/0000-0002-9353-1972; Ziegler, Martin/0000-0003-3198-6434; skonieczny, charlotte/0000-0002-4422-7464; Henderiks, Jorijntje/0000-0001-9486-6275; Giraudeau, Jacques/0000-0002-5069-4667; Dennielou, Bernard/0000-0002-9528-2746; Bruno, Malaize/0000-0002-5571-9990</t>
  </si>
  <si>
    <t>European Research Council under the European Union [339108]; NSF OCE grants [EW9209-1JPC, V29-202]; FCT [UID/Multi/04326/2019]; NERC [bas0100030, NE/L006421/1] Funding Source: UKRI</t>
  </si>
  <si>
    <t>European Research Council under the European Union(European Research Council (ERC)); NSF OCE grants(National Science Foundation (NSF)); FCT(Fundacao para a Ciencia e a Tecnologia (FCT)); NERC(UK Research &amp; Innovation (UKRI)Natural Environment Research Council (NERC))</t>
  </si>
  <si>
    <t>The research leading to these results has received funding from the European Research Council under the European Union's Seventh Framework Program (FP7/2007-2013 Grant agreement n degrees 339108). New 14C dates for cores EW9209-1JPC and V29-202 were funded by NSF OCE grants to DWO. FN, ES and AV acknowledge FCT funding support through project UID/Multi/04326/2019. We thank T. Garlan and P. Guyomard for having given us access to cores from the Service Hydrographique et Oceanographique de la Marine. We acknowledge N. Smialkowski for help with formatting the data into text files, and L. Mauclair, L. Leroy and G. Isguder for the picking of numerous foraminifer samples for radiocarbon dating. We are grateful to S. Obrochta, E. Cortijo, E. Michel, F. Bassinot, J.C. Duplessy, and L. Labeyrie for advice and fruitful discussions. This paper is LSCE contribution 6572.</t>
  </si>
  <si>
    <t>SEP 2</t>
  </si>
  <si>
    <t>10.1038/s41597-019-0173-8</t>
  </si>
  <si>
    <t>IU2RG</t>
  </si>
  <si>
    <t>Green Published, gold, Green Accepted, Green Submitted</t>
  </si>
  <si>
    <t>WOS:000483426900001</t>
  </si>
  <si>
    <t>Kim, EJ; Kim, JE; Hwang, JS; Kim, IC; Lee, SG; Kim, S; Lee, JH; Han, SJ</t>
  </si>
  <si>
    <t>Kim, E. J.; Kim, J. E.; Hwang, J. S.; Kim, I-C; Lee, S. G.; Kim, S.; Lee, J. H.; Han, S. J.</t>
  </si>
  <si>
    <t>Increased Productivity and Antifreeze Activity of Ice-binding Protein from Flavobacterium frigoris PS1 Produced using Escherichia coli as Bioreactor</t>
  </si>
  <si>
    <t>APPLIED BIOCHEMISTRY AND MICROBIOLOGY</t>
  </si>
  <si>
    <t>Antarctica; ice-binding protein; Flavobacterium frigoris; pilot-scale fermentation; thermal hysteresis</t>
  </si>
  <si>
    <t>RECRYSTALLIZATION INHIBITION; ANTARCTIC BACTERIUM; CRYOPRESERVATION</t>
  </si>
  <si>
    <t>Ice-binding proteins (IBPs) inhibit the growth and recrystallization of intracellular ice, enabling polar organisms to survive at subzero temperatures. IBPs are promising materials in biomedical applications such as cryopreservation and the hypothermic storage of cells, tissues, and organs. In this study, recombinant IBP from the antarctic bacterium Flavobacterium frigoris PS1 (FfIBP) was produced by Escherichia coli used as bioreactor, to examine the feasibility of scale-up. Oxygen transfer was the most important factor influencing cell growth and FfIBP production during pilot-scale fermentation. The final yield of recombinant FfIBP produced by E. coli harboring the pET28a-FfIBP vector system was 1.6 g/L, 3.8-fold higher than that from the previously published report using pCold I-FfIBP vector system, and its thermal hysteresis activity was 2.5 degrees C at 9.7 mu M. This study demonstrates the successful pilot-scale production of FfIBP.</t>
  </si>
  <si>
    <t>[Kim, E. J.; Kim, J. E.; Kim, I-C; Kim, S.; Han, S. J.] KIOST, Div Polar Life Sci, Korea Polar Res Inst, Incheon 21990, South Korea; [Kim, E. J.; Hwang, J. S.; Lee, S. G.; Lee, J. H.; Han, S. J.] Univ Sci &amp; Technol, Dept Polar Sci, Incheon 21990, South Korea; [Kim, J. E.] Sungkyunkwan Univ, Grad Sch, Dept Pharm, Suwon 16419, South Korea; [Hwang, J. S.; Lee, S. G.; Lee, J. H.] Polar Res Inst, Unit Polar Genom, Incheon 21990, South Korea</t>
  </si>
  <si>
    <t>Korea Polar Research Institute (KOPRI); Korea Institute of Ocean Science &amp; Technology (KIOST); Sungkyunkwan University (SKKU)</t>
  </si>
  <si>
    <t>Han, SJ (corresponding author), KIOST, Div Polar Life Sci, Korea Polar Res Inst, Incheon 21990, South Korea.;Han, SJ (corresponding author), Univ Sci &amp; Technol, Dept Polar Sci, Incheon 21990, South Korea.</t>
  </si>
  <si>
    <t>hansj@kopri.re.kr</t>
  </si>
  <si>
    <t>Hwang, Jisub/0000-0002-9835-5912</t>
  </si>
  <si>
    <t>Hanyang University; Korea Polar Research Institute, Incheon, Korea [PE18180, PE18210]</t>
  </si>
  <si>
    <t>Hanyang University; Korea Polar Research Institute, Incheon, Korea</t>
  </si>
  <si>
    <t>We thank Prof. E.S. Jin (Hanyang University) for her generous support and use of facilities, and Mr. M.J. Kim (Hanyang University) for his technical assistance in the use of the osmometer. This research was supported by research projects (PE18180 and PE18210) from the Korea Polar Research Institute, Incheon, Korea.</t>
  </si>
  <si>
    <t>0003-6838</t>
  </si>
  <si>
    <t>1608-3024</t>
  </si>
  <si>
    <t>APPL BIOCHEM MICRO+</t>
  </si>
  <si>
    <t>Appl. Biochem. Microbiol.</t>
  </si>
  <si>
    <t>10.1134/S0003683819050077</t>
  </si>
  <si>
    <t>Biotechnology &amp; Applied Microbiology; Microbiology</t>
  </si>
  <si>
    <t>KH6AI</t>
  </si>
  <si>
    <t>WOS:000510731900006</t>
  </si>
  <si>
    <t>Dodds, K</t>
  </si>
  <si>
    <t>Dodds, Klaus</t>
  </si>
  <si>
    <t>Reflecting on the 60th anniversary of the Antarctic Treaty</t>
  </si>
  <si>
    <t>Antarctic Treaty; Governance; Geopolitics; Science; Resources</t>
  </si>
  <si>
    <t>This essay serves as an introduction to the special issue recognising the 60th anniversary of the Antarctic Treaty. It provides the geopolitical and scientific context informing the creation of the negotiations for a new treaty between October and December 1959. Thereafter, it identifies some of the challenges facing the contemporary Antarctic Treaty System. While none are thought to be threatening to the collaborative spirit that informs the legal and political status quo, there is no room for complacency either. Finally, the contributors and their essays are introduced for the reader. Taken together, it showcases the diversity of work being undertaken by scholars in the humanities and social sciences.</t>
  </si>
  <si>
    <t>[Dodds, Klaus] Royal Holloway Univ London, London, England</t>
  </si>
  <si>
    <t>University of London; Royal Holloway University London</t>
  </si>
  <si>
    <t>Dodds, K (corresponding author), Royal Holloway Univ London, London, England.</t>
  </si>
  <si>
    <t>K.Dodds@rhul.ac.uk</t>
  </si>
  <si>
    <t>PII S0032247419000536</t>
  </si>
  <si>
    <t>10.1017/S0032247419000536</t>
  </si>
  <si>
    <t>KE3AS</t>
  </si>
  <si>
    <t>WOS:000508432300001</t>
  </si>
  <si>
    <t>Rack, U</t>
  </si>
  <si>
    <t>Rack, U.</t>
  </si>
  <si>
    <t>The way to the Antarctic Treaty: System of rules in times of global conflict</t>
  </si>
  <si>
    <t>Antarctic Treaty; German thesis from 1940; World War II; Claims</t>
  </si>
  <si>
    <t>In 1940, a PhD was published in Germany about the claiming behaviour of several countries and the whaling industry in Antarctica. It shows already at this time that a need for regulation on that issue was required. The intertwined relationships between the claiming nations demanded an overarching framework where these complex issues could be managed. This paper elaborates on the state of the claiming parties before the 1940s and will demonstrate that the development for a comprehensive regulation was the only way to avoid a global conflict. The doctoral thesis from 1940 will be the focal point of the discussion.</t>
  </si>
  <si>
    <t>[Rack, U.] Univ Canterbury, Gateway Antarct, Christchurch, New Zealand</t>
  </si>
  <si>
    <t>University of Canterbury</t>
  </si>
  <si>
    <t>Rack, U (corresponding author), Univ Canterbury, Gateway Antarct, Christchurch, New Zealand.</t>
  </si>
  <si>
    <t>Ursula.rack@canterbury.ac.nz</t>
  </si>
  <si>
    <t>Rack, Ursula/0000-0001-7491-4866</t>
  </si>
  <si>
    <t>PII S0032247419000731</t>
  </si>
  <si>
    <t>10.1017/S0032247419000731</t>
  </si>
  <si>
    <t>WOS:000508432300003</t>
  </si>
  <si>
    <t>Antonello, A</t>
  </si>
  <si>
    <t>Antonello, Alessandro</t>
  </si>
  <si>
    <t>The Antarctic Treaty as a temporal order</t>
  </si>
  <si>
    <t>Antarctic Treaty; Diplomatic history; Temporalities; International history</t>
  </si>
  <si>
    <t>Diplomats, officials, scientists and other actors working with the Antarctic Treaty System have not simply negotiated a range of measures for regulating human access to the region in a physical sense. They are also continually negotiating a cultural order, one in which time is central. Antarctic actors are aware that the Treaty did not once exist and may cease to exist sometime in the future. They are conscious of environmental change. Each actor tries to elevate their standing and power in the system by deploying temporal ideas and discourses in their interactions with each other: bringing their histories into negotiations, trying to control the idea of the future. This article will map three temporalities within Treaty history: first, the deployment and potency of histories and futures, their relative rhythms and lengths; second, permanence and expiration, the questions and politics of how long the Treaty should or might last; and third, the periodisation of the Treaty period, both among actors themselves and among scholars studying Antarctica.</t>
  </si>
  <si>
    <t>[Antonello, Alessandro] Univ Melbourne, Sch Hist &amp; Philosoph Studies, Parkville, Vic 3010, Australia</t>
  </si>
  <si>
    <t>University of Melbourne</t>
  </si>
  <si>
    <t>Antonello, A (corresponding author), Univ Melbourne, Sch Hist &amp; Philosoph Studies, Parkville, Vic 3010, Australia.</t>
  </si>
  <si>
    <t>aantonello@unimelb.edu.au</t>
  </si>
  <si>
    <t>Antonello, Alessandro/0000-0002-7549-1436</t>
  </si>
  <si>
    <t>Australian Research Council [DE190100922]; Australian Research Council [DE190100922] Funding Source: Australian Research Council</t>
  </si>
  <si>
    <t>My thanks to Kyle Harvey, Yves Rees and Alexandra Roginski for commenting on a draft of this article. I am grateful for the funding support of the Australian Research Council (DE190100922).</t>
  </si>
  <si>
    <t>PII S0032247419000408</t>
  </si>
  <si>
    <t>10.1017/S0032247419000408</t>
  </si>
  <si>
    <t>WOS:000508432300004</t>
  </si>
  <si>
    <t>Dahl, J; Roberts, P; van der Watt, LM</t>
  </si>
  <si>
    <t>Dahl, Justiina; Roberts, Peder; van der Watt, Lize-Marie</t>
  </si>
  <si>
    <t>Is there anything natural about the polar?</t>
  </si>
  <si>
    <t>Arctic; Antarctic; Polar; History; Geopolitics</t>
  </si>
  <si>
    <t>Are similarities of temperature, snow and ice cover, and (certain) marine mammals sufficient to warrant both polar regions being considered a single object of study or governance? We argue that their treatment as a unit is an invitation to examine the motivations behind the choice to be polar rather than Arctic or Antarctic. For individuals such as James Clerk Ross or Roald Amundsen, logistical requirements and analogous goals facilitated careers spanning both the Arctic and the Antarctic. This trend continued through the 20th century as individual scientists studying phenomena such as glaciers, sea ice, or aurora defined their research as polar in nature. Organisations such as the Scott Polar Research Institute and Norwegian Polar Institute could draw on traditions of national exploration in both polar regions, while the Arctic and Antarctic Research Institute in St. Petersburg gained its southern mandate with the importance of the International Geophysical Year. By comparison, neither the Arctic Institute in Copenhagen nor the Argentine Antarctic Institute felt any need to become polar. The creation of polar identity is ultimately a matter of geopolitics, of the value states see in instruments and symbols that speak to polar rather than Arctic or Antarctic interests. In cases such as Finland's icebreaker industry, a technological capability justified Antarctic interest even without any national research tradition. We conclude by asking whether there is anything more natural about the polar regions than there is about the concept of a tripolar world in which the high alpine regions form a natural unit along with the Arctic and Antarctic.</t>
  </si>
  <si>
    <t>[Dahl, Justiina] Lulea Tech Univ, Swedish Polar Res Secretariat, S-97187 Lulea, Sweden; [Roberts, Peder] Univ Stavanger, Dept Cultural Studies &amp; Languages, N-4036 Stavanger, Norway; [Roberts, Peder; van der Watt, Lize-Marie] KTH Royal Inst Technol, Div Hist Sci Technol &amp; Environm, Teknikringen 74D, S-10044 Stockholm, Sweden</t>
  </si>
  <si>
    <t>Lulea University of Technology; Universitetet i Stavanger; Royal Institute of Technology</t>
  </si>
  <si>
    <t>Roberts, P (corresponding author), Univ Stavanger, Dept Cultural Studies &amp; Languages, N-4036 Stavanger, Norway.;Roberts, P (corresponding author), KTH Royal Inst Technol, Div Hist Sci Technol &amp; Environm, Teknikringen 74D, S-10044 Stockholm, Sweden.</t>
  </si>
  <si>
    <t>peder.w.roberts@uis.no</t>
  </si>
  <si>
    <t>/0000-0002-0019-8251</t>
  </si>
  <si>
    <t>European Research Council under the European Union [716211 - GRETPOL]</t>
  </si>
  <si>
    <t>European Research Council under the European Union(European Research Council (ERC))</t>
  </si>
  <si>
    <t>This project has received funding from the European Research Council under the European Union's Horizon 2020 research and innovation programme (grant agreement No. [716211 - GRETPOL]).</t>
  </si>
  <si>
    <t>PII S0032247419000652</t>
  </si>
  <si>
    <t>10.1017/S0032247419000652</t>
  </si>
  <si>
    <t>WOS:000508432300005</t>
  </si>
  <si>
    <t>Musto, RA</t>
  </si>
  <si>
    <t>Musto, Ryan A.</t>
  </si>
  <si>
    <t>Antarctic arms control as past precedent</t>
  </si>
  <si>
    <t>Antarctic Treaty; Arms control; Denuclearised zone; Demilitarisation; Precedent</t>
  </si>
  <si>
    <t>The 1959 Antarctic Treaty made Antarctica the world's first and only demilitarised continent, the world's first denuclearised zone, and pioneered a comprehensive inspections system. This article explores Antarctic arms control as past precedent. It finds that the United States, which spearheaded the Antarctic Treaty negotiations, initially rationalised arms control in Antarctica as an isolated endeavour. Yet its potential elsewhere quickly appealed to various officials involved in the treaty negotiations and aligned with public perception. Subsequent initiatives for arms control took broad inspiration from the Antarctic Treaty, but regional differences limited specific adaptations.</t>
  </si>
  <si>
    <t>[Musto, Ryan A.] MIT, Ctr Int Studies, Secur Studies Program, 77 Massachusetts Ave,E40-474, Cambridge, MA 02139 USA</t>
  </si>
  <si>
    <t>Musto, RA (corresponding author), MIT, Ctr Int Studies, Secur Studies Program, 77 Massachusetts Ave,E40-474, Cambridge, MA 02139 USA.</t>
  </si>
  <si>
    <t>Rmusto@mit.edu</t>
  </si>
  <si>
    <t>PII S0032247419000640</t>
  </si>
  <si>
    <t>10.1017/S0032247419000640</t>
  </si>
  <si>
    <t>WOS:000508432300006</t>
  </si>
  <si>
    <t>Avery, AJ</t>
  </si>
  <si>
    <t>Avery, Andrew J.</t>
  </si>
  <si>
    <t>Some Sanity and Love: The Cold War, Antarctic Treaty, and Fids' identity, 1957-1958</t>
  </si>
  <si>
    <t>Antarctica; British Empire; Cold War</t>
  </si>
  <si>
    <t>In 1942, the British government created the Falkland Islands Dependencies Survey (FIDS) to enforce sovereignty over the Antarctic Peninsula. The small groups of men who worked for the Survey called themselves Fids. During the late 1950s when Antarctic sovereignty was being hotly debated and worked out by national governments, Fids serving at British bases criticised the British government's use of science as a bargaining chip. Using in-house magazines written and printed at FIDS bases and oral histories, this article examines how Fids viewed Antarctic politics and how those events influenced daily life at bases on the Peninsula.</t>
  </si>
  <si>
    <t>[Avery, Andrew J.] Univ Kansas, Dept Hist, Lawrence, KS 66045 USA</t>
  </si>
  <si>
    <t>University of Kansas</t>
  </si>
  <si>
    <t>Avery, AJ (corresponding author), Univ Kansas, Dept Hist, Lawrence, KS 66045 USA.</t>
  </si>
  <si>
    <t>averyaj@ku.edu</t>
  </si>
  <si>
    <t>PII S003224741900055X</t>
  </si>
  <si>
    <t>10.1017/S003224741900055X</t>
  </si>
  <si>
    <t>WOS:000508432300007</t>
  </si>
  <si>
    <t>de Pomereu, J</t>
  </si>
  <si>
    <t>de Pomereu, Jean</t>
  </si>
  <si>
    <t>All but blank: Artistic approaches to human Antarctica</t>
  </si>
  <si>
    <t>Antarctica; Visual arts; Perception; Antarctic treaty; Human occupation</t>
  </si>
  <si>
    <t>The visual arts have played an increasingly important role in examining and critiquing past and present human activities in Antarctica as governed by the Antarctic Treaty and its Protocol on Environmental protection. This paper analyses the work of six artists who have contributed to this scrutiny, awakening us to fabrications and helping to enrich Antarctic cultures beyond the scientific and the environmental. It encourages all signatory nations to the Antarctic Treaty System to embrace and empower a more diverse artistic engagement with Antarctica and suggests that artists find new ways to address threats to the Antarctic, whether they come from within and from without.</t>
  </si>
  <si>
    <t>[de Pomereu, Jean] Univ Cambridge, Scott Polar Res Inst, Cambridge CB2 1ER, England</t>
  </si>
  <si>
    <t>de Pomereu, J (corresponding author), Univ Cambridge, Scott Polar Res Inst, Cambridge CB2 1ER, England.</t>
  </si>
  <si>
    <t>jd351@cam.ac.uk</t>
  </si>
  <si>
    <t>de Pomereu, Jean/0000-0003-0058-765X</t>
  </si>
  <si>
    <t>PII S0032247419000421</t>
  </si>
  <si>
    <t>10.1017/S0032247419000421</t>
  </si>
  <si>
    <t>WOS:000508432300008</t>
  </si>
  <si>
    <t>Jackson, A</t>
  </si>
  <si>
    <t>Jackson, Adele</t>
  </si>
  <si>
    <t>A changing cultural climate: Realising the value of artists working in Antarctica</t>
  </si>
  <si>
    <t>Antarctica; Antarctic Treaty; Polar art; Visual art; Artists; Value</t>
  </si>
  <si>
    <t>The ratification of the Antarctic Treaty established a unique construct for human presence and activity in Antarctica. The designation of the continent for peace and science has inspired and informed the work of artists from across the world. This paper explores relationships between the Treaty and contemporary visual artists' responses to Antarctica. Using data from interviews with scientists, cultural professionals and exhibition audiences, I explore the value to science and society of artists' presence in Antarctica. I look at why in the last 2 years the number of artists being supported to work in Antarctica has declined and conclude with some observations on how this downward trend might be addressed.</t>
  </si>
  <si>
    <t>[Jackson, Adele] Univ Canterbury, Gateway Antarct, Christchurch 8041, New Zealand</t>
  </si>
  <si>
    <t>Jackson, A (corresponding author), Univ Canterbury, Gateway Antarct, Christchurch 8041, New Zealand.</t>
  </si>
  <si>
    <t>adele.jackson@pg.canterbury.ac.nz</t>
  </si>
  <si>
    <t>Jackson, Adele/0000-0003-4105-5932</t>
  </si>
  <si>
    <t>I gratefully acknowledge the support of a University of Canterbury doctoral scholarship, which made this research possible.</t>
  </si>
  <si>
    <t>PII S0032247419000470</t>
  </si>
  <si>
    <t>10.1017/S0032247419000470</t>
  </si>
  <si>
    <t>WOS:000508432300011</t>
  </si>
  <si>
    <t>Stal, T; Reading, AM; Halpin, JA; Whittaker, JM</t>
  </si>
  <si>
    <t>Stal, Tobias; Reading, Anya M.; Halpin, Jacqueline A.; Whittaker, Joanne M.</t>
  </si>
  <si>
    <t>A Multivariate Approach for Mapping Lithospheric Domain Boundaries in East Antarctica</t>
  </si>
  <si>
    <t>UPPER-MANTLE STRUCTURE; PRINCE CHARLES MOUNTAINS; DRONNING-MAUD-LAND; GEORGE-V-LAND; ZIRCON GEOCHRONOLOGY; TRANSANTARCTIC MOUNTAINS; HISTORICAL PERSPECTIVES; BASEMENT PROVINCES; BENEATH ANTARCTICA; WEST ANTARCTICA</t>
  </si>
  <si>
    <t>Beneath the ice of East Antarctica lies a continent that is likely to be as geologically complex as its neighbors in Gondwana. An improved model of the heterogeneous lithosphere is required to progress research on Antarctica's tectonic evolution and support interdisciplinary studies of cryosphere and solid Earth interaction. We make use of multiple data sets, which were updated following the field campaigns and compilations of the International Polar Year of 2007/2008. Seismic tomography results, gravity anomalies, and surface elevation are used in a novel method, which combines spatial multivariate data to map possible boundaries as projected likelihood functions. Six multivariate combinations are tested and compared with sparse geological observations in East Antarctica. The resulting lithospheric domain boundaries contribute to our understanding of the deep continental structure. New boundaries are suggested in the interior, and models agree with likely surface expressions of crustal tectonic boundaries exposed along the coast.</t>
  </si>
  <si>
    <t>[Stal, Tobias; Reading, Anya M.] Univ Tasmania, Sch Nat Sci Earth Sci, Hobart, Tas, Australia; [Stal, Tobias; Reading, Anya M.; Halpin, Jacqueline A.; Whittaker, Joanne M.] Univ Tasmania, Inst Marine &amp; Antarctic Studies, Hobart, Tas, Australia</t>
  </si>
  <si>
    <t>Stal, T (corresponding author), Univ Tasmania, Sch Nat Sci Earth Sci, Hobart, Tas, Australia.;Stal, T (corresponding author), Univ Tasmania, Inst Marine &amp; Antarctic Studies, Hobart, Tas, Australia.</t>
  </si>
  <si>
    <t>tobias.staal@utas.edu.au</t>
  </si>
  <si>
    <t>Stål, Tobias/AAI-9302-2021; Reading, Anya M/E-6728-2012; Halpin, Jacqueline/A-3776-2014; Whittaker, Joanne/B-3695-2010</t>
  </si>
  <si>
    <t>Stål, Tobias/0000-0002-4323-6748; Reading, Anya M/0000-0002-9316-7605; Halpin, Jacqueline/0000-0002-4992-8681; Whittaker, Joanne/0000-0002-3170-3935</t>
  </si>
  <si>
    <t>Australian Research Council's Special Research Initiative for Antarctic Gateway Partnership [SR140300001]</t>
  </si>
  <si>
    <t>Australian Research Council's Special Research Initiative for Antarctic Gateway Partnership(Australian Research Council)</t>
  </si>
  <si>
    <t>Likelihood maps in interoperable formats are archived in the digital data library PANGAEA (https://doi.pangaea.de/10.1594/PANGAEA.901150).Details are provided in the supporting information. We have made use of the following open access data sources: Seismic data are available from the author's web directories (An et al., 2015a). Gravity anomaly data raster (EIGEN-6C4; Forste et al., 2014) and elevation model (BEDMAP2) are obtained as part of the Quantarctica3 GIS package (Roth et al., 2018). The full details of the methodology for reproduction of this research may be found in the provided SCons script (Knight, 2005). We thank the anonymous reviewers whose comments have greatly improved this manuscript. This research was supported under Australian Research Council's Special Research Initiative for Antarctic Gateway Partnership (Project ID SR140300001). The authors declare that they have no conflict of interest.</t>
  </si>
  <si>
    <t>10.1029/2019GL083453</t>
  </si>
  <si>
    <t>WOS:000508385500023</t>
  </si>
  <si>
    <t>Lopes, RP; Pereira, JC; Ferigolo, J</t>
  </si>
  <si>
    <t>Pereira Lopes, Renato; Correa Pereira, Jamil; Ferigolo, Jorge</t>
  </si>
  <si>
    <t>A LATE PLEISTOCENE FOSSIL STORK (CICONIIFORMES: CICONIIDAE) FROM THE SANTA VITORIA FORMATION, SOUTHERN BRAZIL AND ITS PALEOENVIRONMENTAL SIGNIFICANCE</t>
  </si>
  <si>
    <t>REVISTA BRASILEIRA DE PALEONTOLOGIA</t>
  </si>
  <si>
    <t>Ciconiidae; Santa Vitoria Formation; taphonomy; MIS 3; paleoenvironment; paleoclimate</t>
  </si>
  <si>
    <t>GRANDE-DO-SUL; COASTAL-PLAIN; ENVIRONMENTAL-FACTORS; CLIMATE VARIABILITY; TIME RESOLUTION; BUENOS-AIRES; IRON-OXIDE; BIRDS; REMAINS; TAPHONOMY</t>
  </si>
  <si>
    <t>The avian fossil record of southern Brazil is scarce, consisting of few isolated remains. Here is described a ciconiid fossil from the assemblage of mammalian remains of the Santa Vitoria Formation (SVF). The specimen is a cervical vertebra morphologically similar to Ciconia maguari (maguari stork), common in southern Brazil today. Nevertheless, its larger dimensions suggest that it could be either a morphotype of that species or another, extinct species. The taphonomic modifications of the vertebra result of a combination of autogenic and allogenic factors including the aquatic habit, shape and transportation by flowing water and burial in a shallow stream. The fossil-bearing sediment dated by luminescence was deposited during the late Pleistocene, at 37.9 ka b2k, and exhibits physical features indicating deposition under variable discharge and seasonal oscillations of the water table. The presence of an aquatic bird in these sediments indicates a period of increased precipitation, chronocorrelated to one of the millenial-scale warming pulses recorded in ice cores from Antarctica (Antarctic Isotope Maxima) that characterized the interstadial MIS 3. On the other hand, the dry and cold climate of the following glacial MIS 2 may have forced ciconiids and aquatic mammals to retreat to suitable areas (refugia), as indicated by their absence in the loess deposits (Cordao Formation) overlying the SVF, until returning during the Holocene when climate became wet and warm again. The results presented here increase the avian fossil record of southern Brazil and help understand the role of climate change on the distribution of ciconiid birds and other taxa during the Quaternary in southern South America.</t>
  </si>
  <si>
    <t>[Pereira Lopes, Renato] Ave Rio Grande 45,Caixa Postal 15, BR-96207000 Rio Grande, RS, Brazil; [Correa Pereira, Jamil] Museu Coronel Tancredo Fernandes de Melo, Rua Barao Rio Branco 467, BR-96230000 Santa Vitoria Do Palmar, RS, Brazil; [Ferigolo, Jorge] Museu Ciencias Nat, Secao Paleontol, Av Salvador Franca 1427, BR-90690000 Porto Alegre, RS, Brazil</t>
  </si>
  <si>
    <t>Lopes, RP (corresponding author), Ave Rio Grande 45,Caixa Postal 15, BR-96207000 Rio Grande, RS, Brazil.</t>
  </si>
  <si>
    <t>paleonto_furg@yahoo.com.br; jcorreapereira@bol.com.br; jorgeferigolo@gmail.com</t>
  </si>
  <si>
    <t>Ferigolo, Jorge/AAV-2684-2021; Lopes, Renato Pereira/AFQ-4934-2022</t>
  </si>
  <si>
    <t>Ferigolo, Jorge/0000-0001-7985-6466; Lopes, Renato Pereira/0000-0002-4865-6426</t>
  </si>
  <si>
    <t>SOC BRASILEIRA PALEONTOLOGIA</t>
  </si>
  <si>
    <t>SAO LEOPOLDO</t>
  </si>
  <si>
    <t>PPGEO UNISINOS, AV UNISINOS 950, SAO LEOPOLDO, RS 93022-000, BRAZIL</t>
  </si>
  <si>
    <t>1519-7530</t>
  </si>
  <si>
    <t>2236-1715</t>
  </si>
  <si>
    <t>REV BRAS PALEONTOLOG</t>
  </si>
  <si>
    <t>Rev. Bras. Paleontol.</t>
  </si>
  <si>
    <t>SEP-DEC</t>
  </si>
  <si>
    <t>10.4072/rbp.2019.3.03</t>
  </si>
  <si>
    <t>JV7OT</t>
  </si>
  <si>
    <t>WOS:000502551500003</t>
  </si>
  <si>
    <t>Loomis, BD; Luthcke, SB; Sabaka, TJ</t>
  </si>
  <si>
    <t>Loomis, B. D.; Luthcke, S. B.; Sabaka, T. J.</t>
  </si>
  <si>
    <t>Regularization and error characterization of GRACE mascons</t>
  </si>
  <si>
    <t>GRACE; Time-variable gravity; Mascons; Range-acceleration; Regularization; Model resolution; Estimator bias</t>
  </si>
  <si>
    <t>MEAN SEA-LEVEL; MASS; REGRESSION; GREENLAND; EVOLUTION; ACCURACY; GULF</t>
  </si>
  <si>
    <t>We present a new global time-variable gravity mascon solution derived from Gravity Recovery and Climate Experiment (GRACE) Level 1B data. The new product from the NASA Goddard Space Flight Center (GSFC) results from a novel approach that combines an iterative solution strategy with geographical binning of inter-satellite range-acceleration residuals in the construction of time-dependent regularization matrices applied in the inversion of mascon parameters. This estimation strategy is intentionally conservative as it seeks to maximize the role of the GRACE measurements on the final solution while minimizing the influence of the regularization design process. We fully reprocess the Level 1B data in the presence of the final mascon solution to generate true post-fit inter-satellite residuals, which are utilized to confirm solution convergence and to validate the mascon noise uncertainties. We also present the mathematical case that regularized mascon solutions are biased, and that this bias, or leakage, must be combined with the estimated noise variance to accurately assess total mascon uncertainties. The estimated leakage errors are determined from the monthly resolution operators. We present a simple approach to compute the total uncertainty for both individual mascon and regional analysis of the GSFC mascon product, and validate the results in comparison with independent mascon solutions and calibrated Stokes uncertainties. Lastly, we present the new solution and uncertainties with global analyses of themass trends and annual amplitudes, and compute updated trends for the global ocean, and the respective contributions of the Greenland Ice Sheet, Antarctic Ice Sheet, Gulf of Alaska, and terrestrial water storage. This analysis highlights the successful closure of the global mean sea level budget, that is, the sum of global ocean mass from the GSFC mascons and the steric component from Argo floats agrees well with the total determined from sea surface altimetry.</t>
  </si>
  <si>
    <t>[Loomis, B. D.; Luthcke, S. B.; Sabaka, T. J.] NASA, Geodesy &amp; Geophys Lab, Goddard Space Flight Ctr, Greenbelt, MD 20771 USA</t>
  </si>
  <si>
    <t>Loomis, BD (corresponding author), NASA, Geodesy &amp; Geophys Lab, Goddard Space Flight Ctr, Greenbelt, MD 20771 USA.</t>
  </si>
  <si>
    <t>bryant.d.loomis@nasa.gov</t>
  </si>
  <si>
    <t>Sabaka, Terence J/D-5618-2012; Luthcke, Scott B/D-6283-2012; Loomis, Bryant/AIC-7436-2022</t>
  </si>
  <si>
    <t>Loomis, Bryant/0000-0002-9370-9160</t>
  </si>
  <si>
    <t>NASA GRACE; GRACE Follow-On Science Team Grant [NNH15ZDA0-01N]</t>
  </si>
  <si>
    <t>NASA GRACE; GRACE Follow-On Science Team Grant</t>
  </si>
  <si>
    <t>Support for this work was provided by the NASA GRACE and GRACE Follow-On Science Team Grant NNH15ZDA0-01N. We acknowledge the quality of the GRACE Level-1B products produced by our colleagues at the Jet Propulsion Laboratory. We also acknowledge the numerous contributions of D.D. Rowlands, K.E. Rachlin, and J.B. Nicholas in developing the algorithms and software necessary to carry out this research, and we thank the three anonymous reviewers and the editors who provided valuable feedback toward improving this manuscript. The MEI is provided at https://www.esrl.noaa.gov/psd/enso/mei/.</t>
  </si>
  <si>
    <t>10.1007/s00190-019-01252-y</t>
  </si>
  <si>
    <t>JS3CM</t>
  </si>
  <si>
    <t>WOS:000500186800009</t>
  </si>
  <si>
    <t>Kong, J; Li, F; Yao, YB; Wang, ZM; Peng, WJ; Zhang, Q</t>
  </si>
  <si>
    <t>Kong, Jian; Li, Fei; Yao, Yibin; Wang, Zemin; Peng, Wenjie; Zhang, Qi</t>
  </si>
  <si>
    <t>Reconstruction of 2D/3D ionospheric disturbances in high-latitude and arctic regions during a geomagnetic storm using GNSS carrier TEC: a case study of the 2015 great storm</t>
  </si>
  <si>
    <t>Geomagnetic storm; Ionospheric disturbances; Computerized ionospheric tomography; Abnormal electric field; Particle penetration</t>
  </si>
  <si>
    <t>PATRICKS DAY STORM; ELECTRIC-FIELD; PENETRATION; DENSITY; PLASMASPHERE; TOMOGRAPHY; EQUATOR</t>
  </si>
  <si>
    <t>On 2015 March, aG4-level geomagnetic storm hit the earth and then triggered global ionospheric disturbances. Aconsiderable number of studies have been published showing various ionospheric responses in low- and mid-latitude regions. In contrary, very limited efforts have been made on high-latitude or polar regions. Therefore, this paper reconstructed and investigated the 2D/3D ionospheric disturbances in high-latitude and arctic regions during this great storm using multiprocessing methods. First, four longitudinal global navigation satellite system stations' sectors are selected on Polar area, and the second-order differential of total electron content (dTEC) of each sectors is calculated to detect the ionosphere anomaly during the time of interests. Compared with the auroral oval distribution and the precipitating of auroral electrons data from Defense Meteorological Satellite Program, the triggering mechanism of the detected anomaly is discussed. Second, based on the dTEC detection results and the auroral electrojet index series, two disturbances processes have been identified. Then, a new computerized ionospheric tomography (CIT) algorithm called MFCIT (CIT with mapping function) is introduced, and the 3D ionosphere images under daytime (LT06:00-LT06:30) and nighttime (LT21:00-LT22:00) over Alaska are individually inverted at the temporal resolution of 1 min. In contrast with magnetic field lines distribution, the relationship between disturbances and geomagnetic fields has been analyzed. Last, two vertical electron motions are monitored with the CIT images. As the two motions occur at two different steps of the geomagnetic storm, the characteristics and amplitudes of the vertical movements can be distinguished. The physical mechanisms for the vertical motions are discussed. The upward vertical motion during the first disturbance may be induced by the eastward abnormal penetration electric field, while the second disturbance may be the outcome of the combined influences of the abnormal electric field and the precipitating of auroral electrons.</t>
  </si>
  <si>
    <t>[Kong, Jian; Li, Fei; Wang, Zemin] Wuhan Univ, Chinese Antarctic Ctr Surveying &amp; Mapping, Wuhan 430079, Hubei, Peoples R China; [Yao, Yibin; Peng, Wenjie; Zhang, Qi] Wuhan Univ, Sch Geodesy &amp; Geomat, Wuhan 430079, Hubei, Peoples R China; [Li, Fei] Collaborat Innovat Ctr Terr Sovereignty &amp; Maritim, Wuhan, Hubei, Peoples R China</t>
  </si>
  <si>
    <t>Li, F (corresponding author), Wuhan Univ, Chinese Antarctic Ctr Surveying &amp; Mapping, Wuhan 430079, Hubei, Peoples R China.</t>
  </si>
  <si>
    <t>fli@whu.edu.cn</t>
  </si>
  <si>
    <t>Qi, Zhang/IVX-0110-2023; ZeMin, Wang/AAU-3422-2020; Yao, Yibin/AAM-9653-2020</t>
  </si>
  <si>
    <t>Qi, Zhang/0000-0003-2449-9566; Yao, Yibin/0000-0002-7723-4601</t>
  </si>
  <si>
    <t>National Natural Fund of China [41604002, 41531069, 41874033]; Natural Fund of China [41574028]; National Key Research and Development Program of China [2016YFB0501803, 2017YFA0603102]; Fundamental Research Funds for the Central Universities [2042016kf0037]; open research fund of state key laboratory of information engineering in surveying, mapping and remote sensing, Wuhan University</t>
  </si>
  <si>
    <t>National Natural Fund of China; Natural Fund of China(National Natural Science Foundation of China (NSFC)); National Key Research and Development Program of China; Fundamental Research Funds for the Central Universities(Fundamental Research Funds for the Central Universities); open research fund of state key laboratory of information engineering in surveying, mapping and remote sensing, Wuhan University</t>
  </si>
  <si>
    <t>We acknowledge the USUD for providing the GNSS data in Alaska (ftp://garner.ucsd.edu/archive/garner/), IRI group for providing IRI2012 model (https://omniweb.gsfc.nasa.gov/vitmo/iri2012vitmo.html), the ESA EarthNet service for providing the Swarm data (http://earth.esa.int/swarm), the DMSP for providing electron penetration data (http://www.ngdc.noaa.gov/stp/satellite/dmsp/), the IGS for providing the orbit data, GNSS data (ftp://cddis.gsfc.nasa.gov/gps/data/). We also thank the NASA for providing magnetic index data and the ACE Science Center for providing solar wind data (http://omniweb.gsfc.nasa.gov/form/dx1.html). This research was financially supported by the National Natural Fund of China (41604002, 41531069 and 41874033), the Natural Fund of China (41574028), the National Key Research and Development Program of China (2016YFB0501803 and 2017YFA0603102), the Fundamental Research Funds for the Central Universities (2042016kf0037), and the open research fund of state key laboratory of information engineering in surveying, mapping and remote sensing, Wuhan University. Special thanks are due to Dr. Changzhi Zhai in School of Geodesy and Geomatics, Wuhan University, for discussing the CIT algorithms and the electric field estimation.</t>
  </si>
  <si>
    <t>10.1007/s00190-019-01266-6</t>
  </si>
  <si>
    <t>WOS:000500186800019</t>
  </si>
  <si>
    <t>Marriott, BP; Turner, TH; Hibbeln, JR; Pregulman, M; Newman, J; Johnson, KB; Malek, AM; Malcolm, RJ; Burbelo, GA; Wissman, JW; Nicholas, LS; Taylor, CJ; Landivar, AMV; Deveaux, AD; Atkinson, RA; Sikon, AL; Ross, JS</t>
  </si>
  <si>
    <t>Marriott, Bernadette P.; Turner, Travis H.; Hibbeln, Joseph R.; Pregulman, Marcie; Newman, Jill; Johnson, Kristen B.; Malek, Angela M.; Malcolm, Robert J.; Burbelo, Gregory A.; Wissman, Jeffrey W.; Nicholas, Lindsay S.; Taylor, Carlyn J.; Landivar, Anja M. Velez; Deveaux, Anita D.; Atkinson, Rebecca A.; Sikon, Ashlea L.; Ross, Jacqueline S.</t>
  </si>
  <si>
    <t>RRIPP-3 Grp</t>
  </si>
  <si>
    <t>Design and methods for the Ranger Resilience and Improved Performance on Phospholipid bound Omega-3's (RRIPP-3 study)</t>
  </si>
  <si>
    <t>CONTEMPORARY CLINICAL TRIALS COMMUNICATIONS</t>
  </si>
  <si>
    <t>Omega-3 fatty acids; Cognition; Krill oil; US Army officers; Phospholipids; Resilience</t>
  </si>
  <si>
    <t>POLYUNSATURATED FATTY-ACIDS; NARCISSISTIC PERSONALITY-INVENTORY; OMEGA-3-FATTY-ACID SUPPLEMENTATION; DOCOSAHEXAENOIC ACID; DHA SUPPLEMENTATION; COGNITIVE FUNCTION; MOOD; DEPRESSION; SUICIDE; METAANALYSIS</t>
  </si>
  <si>
    <t>Intake of nutrients fundamental for optimal neuronal function is of increasing interest. The potential importance of omega-3 highly unsaturated fatty acids (HUFAs) for optimizing emotional states, cognitive function, and mental health has been demonstrated in observational studies and randomized controlled trials. Omega-3 (HUFAs), specifically EPA (eicosapentaenoic acid) and docosahexaenoic acid (DHA), are concentrated in neural tissues and are essential for neural function, normative neurodevelopment, neurotransmitter, and neural immune functions. Omega-3 HUFAs must be obtained from the diet, predominantly from marine sources such as fish and other seafood. HUFAs also can be found in a variety of dietary supplements (omega-3 fatty acid esters, fish oil and krill oil). As dietary supplements, omega-3 HUFAs (fatty acid esters, fish and krill oils) differ substantially in their physicochemical properties and nutrient content. Here we present the design and methods for the Ranger Resilience and Improved Performance on Phospholipid bound Omega-3's (RRIPP-3) study. RRIPP-3 was a double blind, randomized, controlled trial among individuals in the United States (US) Army Infantry Basic Officer Leaders Course (IBOLC) and following US Ranger School training (RC) at Fort Benning, GA of omega-3 HUFA on krill oil versus placebo supplementation. The RRIPP-3 study sought to determine if krill oil supplementation with omega-3 HUFAs supports aspects of cognitive functioning critical to battlefield success when measured immediately after an intense combat simulation. Sub-analyses addressed basic improvements in IBOLC performance. We also describe additional outcome measures critical for interpretation of the study results, such as diet and other dietary supplement use.</t>
  </si>
  <si>
    <t>[Marriott, Bernadette P.; Pregulman, Marcie; Newman, Jill; Johnson, Kristen B.] Med Univ South Carolina, Coll Med, Div Gastroenterol &amp; Hepatol, Nutr Sect,Dept Med, 114 Doughty St,Ste 630D,MSC774, Charleston, SC 29425 USA; [Marriott, Bernadette P.] Med Univ South Carolina, Coll Med, Mil Div, Dept Psychiat &amp; Behav Sci, 114 Doughty St,Ste 630D,MSC774, Charleston, SC 29425 USA; [Turner, Travis H.] Med Univ South Carolina, Coll Med, Dept Neurol, 96 Jonathan Lucas St,Suite 301 CSB, Charleston, SC 29425 USA; [Hibbeln, Joseph R.] NIAAA, Sect Nutr Neurosci, LMBB, NIH, 5625 Fishers Lane,Rm 3N-07,MSC 9410, Bethesda, MD 20892 USA; [Malek, Angela M.] Med Univ South Carolina, Dept Publ Hlth Sci, 135 Cannon St,Ste 303C, Charleston, SC 29425 USA; [Malcolm, Robert J.] Med Univ South Carolina, Dept Psychiat &amp; Behav Sci, 67 President St, Charleston, SC 29425 USA; [Burbelo, Gregory A.] Northrop Grumman Corp, 3565 Macon Rd, Columbus, GA 31907 USA; [Wissman, Jeffrey W.] Infantry Basic Officers Leader Course, Maneuver Ctr Excellence, Ft Benning, GA 31905 USA; [Johnson, Kristen B.] Univ Tennessee, Dept Family &amp; Consumer Serv, Knoxville, TN 37996 USA</t>
  </si>
  <si>
    <t>Medical University of South Carolina; Medical University of South Carolina; Medical University of South Carolina; National Institutes of Health (NIH) - USA; NIH National Institute on Alcohol Abuse &amp; Alcoholism (NIAAA); Medical University of South Carolina; Medical University of South Carolina; Northrop Grumman Corporation; University of Tennessee System; University of Tennessee Knoxville</t>
  </si>
  <si>
    <t>Marriott, BP (corresponding author), Med Univ South Carolina, Div Gastroenterol &amp; Hepatol, Dept Med, 114 Doughty St,Suite 629,MSC 774, Charleston, SC 29425 USA.</t>
  </si>
  <si>
    <t>marriobp@musc.edu</t>
  </si>
  <si>
    <t>Aker Biomarine Antarctic AS [8B422-01]; intramural program of the National Institute on Alcohol Abuse and Alcoholism, NIH; NATIONAL INSTITUTE ON ALCOHOL ABUSE AND ALCOHOLISM [ZIAAA000115, ZIAAA000235] Funding Source: NIH RePORTER</t>
  </si>
  <si>
    <t>Aker Biomarine Antarctic AS; intramural program of the National Institute on Alcohol Abuse and Alcoholism, NIH; NATIONAL INSTITUTE ON ALCOHOL ABUSE AND ALCOHOLISM(United States Department of Health &amp; Human ServicesNational Institutes of Health (NIH) - USANIH National Institute on Alcohol Abuse &amp; Alcoholism (NIAAA))</t>
  </si>
  <si>
    <t>The RRIPP-3 study is sponsored by award #8B422-01 from Aker Biomarine Antarctic AS to the Medical University of South Carolina. The intramural program of the National Institute on Alcohol Abuse and Alcoholism, NIH, also provided support for this study. The MUSC study team is particularly appreciative of the assistance provided by the military personnel, staff and contractors at Fort Benning. The RRIPP3 study could not have been conducted without their foresight, thoughtful suggestions, and behind the scenes support. All views and opinions expressed herein are those of the authors and do not necessarily reflect the funding organization.</t>
  </si>
  <si>
    <t>ELSEVIER INC</t>
  </si>
  <si>
    <t>525 B STREET, STE 1900, SAN DIEGO, CA 92101-4495 USA</t>
  </si>
  <si>
    <t>2451-8654</t>
  </si>
  <si>
    <t>CONT CLIN TRIAL COMM</t>
  </si>
  <si>
    <t>Contemp. Clin. Trials Commun.</t>
  </si>
  <si>
    <t>10.1016/j.conctc.2019.100359</t>
  </si>
  <si>
    <t>Medicine, Research &amp; Experimental</t>
  </si>
  <si>
    <t>Research &amp; Experimental Medicine</t>
  </si>
  <si>
    <t>JQ7NQ</t>
  </si>
  <si>
    <t>WOS:000499127900007</t>
  </si>
  <si>
    <t>Frey, DI; Morozov, EG; Ansorge, I; Fomin, VV; Diansky, NA; Tarakanov, RY</t>
  </si>
  <si>
    <t>Frey, D., I; Morozov, E. G.; Ansorge, I; Fomin, V. V.; Diansky, N. A.; Tarakanov, R. Yu</t>
  </si>
  <si>
    <t>Thermohaline structure of Antarctic Bottom Water in the abyssal basins of the South Atlantic</t>
  </si>
  <si>
    <t>Antarctic Bottom Water; deep-water processes; thermohaline structure; numerical modeling</t>
  </si>
  <si>
    <t>OCEAN CIRCULATION; MODEL; BOUNDARY; TRANSPORT; FLOW; SEA</t>
  </si>
  <si>
    <t>Antarctic Bottom Water (AABW) occupies the lowest ocean layer in the major part of the Atlantic. Despite the fact that this water has the same origin from the Weddell Sea, thermohaline properties of bottom layers vary strongly in different deep basins. Temperature and salinity increase along the pathways of bottom water propagation is caused by mixing of AABW with the warmer and more saline water in the overlying layers. This mixing strongly intensifies over underwater ridges; in addition, these ridges determine the pathways of bottom water spreading. Thus, the ocean topography plays the most important role in the formation of thermohaline structure of deep basins. In particular, the properties of AABW in the western and eastern parts of the South Atlantic significantly differ from each other. In this paper we compare temperature and salinity structure of the abyssal waters of the Southeast and Southwest Atlantic. We used the results of high spatial resolution modeling and hydrographic measurements for this study. We also simulated the velocity field in the bottom layer of the South Atlantic.</t>
  </si>
  <si>
    <t>[Frey, D., I; Morozov, E. G.; Tarakanov, R. Yu] Shirshov Inst Oceanol RAS, Moscow, Russia; [Ansorge, I] Univ Cape Town, Rondebosch, South Africa; [Fomin, V. V.; Diansky, N. A.] Zubov State Oceanog Inst, Moscow, Russia; [Diansky, N. A.] Lomonosov Moscow State Univ, Moscow, Russia; [Diansky, N. A.] Inst Numer Math RAS, Moscow, Russia</t>
  </si>
  <si>
    <t>Russian Academy of Sciences; Shirshov Institute of Oceanology; University of Cape Town; Zubov State Oceanographic Institute; Lomonosov Moscow State University; Russian Academy of Sciences</t>
  </si>
  <si>
    <t>Morozov, EG (corresponding author), Russian Acad Sci, Shirshov Inst Oceanol, Nakhimovskii Prospect 36, Moscow 117997, Russia.</t>
  </si>
  <si>
    <t>egmorozov@mail.ru</t>
  </si>
  <si>
    <t>Morozov, Eugene G/L-3023-2018; Fomin, Vladimir/AAQ-2838-2020; Frey, Dmitry/X-9812-2018; Diansky, Nikolay A/R-8307-2018; ANSORGE, ISABELLE/AAY-7396-2020; Tarakanov, Roman/R-3325-2016; Fomin, Vladimir/C-2124-2017</t>
  </si>
  <si>
    <t>Tarakanov, Roman/0000-0002-8711-1859;</t>
  </si>
  <si>
    <t>Russian Federation [0128-2019-0009]; Russian Foundation for Basic Research [19-57-60001, 19-05-00878]; Russian Science Foundation [16-17-10149]; National Research Foundation of South Africa [UID 118901]; Russian Science Foundation [19-17-13021] Funding Source: Russian Science Foundation</t>
  </si>
  <si>
    <t>Russian Federation(Russian Federation); Russian Foundation for Basic Research(Russian Foundation for Basic Research (RFBR)Spanish Government); Russian Science Foundation(Russian Science Foundation (RSF)); National Research Foundation of South Africa(National Research Foundation - South Africa); Russian Science Foundation(Russian Science Foundation (RSF))</t>
  </si>
  <si>
    <t>The work was carried out within the State Task of the Russian Federation 0128-2019-0009; the research was supported by the Russian Foundation for Basic Research (grant 19-57-60001, numerical simulations, and 19-05-00878, model adjustment) and by the Russian Science Foundation (grant 16-17-10149, data analysis). The work of I. Ansorge was supported by the National Research Foundation of South Africa (Grant UID 118901).</t>
  </si>
  <si>
    <t>SEP-OCT</t>
  </si>
  <si>
    <t>ES5005</t>
  </si>
  <si>
    <t>10.2205/2019ES000679</t>
  </si>
  <si>
    <t>JM9PZ</t>
  </si>
  <si>
    <t>WOS:000496539300005</t>
  </si>
  <si>
    <t>Li, F; Li, WH; Zhang, SK; Lei, JT; Zhang, QC; Yuan, LX</t>
  </si>
  <si>
    <t>Li Fei; Li WenHao; Zhang ShengKai; Lei JinTao; Zhang QingChuan; Yuan LeXian</t>
  </si>
  <si>
    <t>Spatiotemporal filtering for regional GNSS network in Antarctic Peninsula using independent component analysis</t>
  </si>
  <si>
    <t>GNSS time series; ICA; PCA; Common mode error; Antarctic Peninsula</t>
  </si>
  <si>
    <t>GLACIAL ISOSTATIC-ADJUSTMENT; TIME-SERIES; VELOCITY; MOTION</t>
  </si>
  <si>
    <t>The high-accuracy GNSS velocity field is one of effective approaches to studying the regional crustal displacement, and it can also provide validations and constraints for Glacial Isostatic Adjustment (GIA) models. Common Mode Error (CME) is one of the major errors related to spatiotemporal distribution. Applying a spatiotemporal filter can reduce these effects and improve the precision of GNSS time series. The widely used Principal Component Analysis (PCA) is based on second-order statistics (variance and covariance), which cannot take full advantage of higher order statistics. The so-called Independent Component Analysis ( ICA) introduces high-order statistics to help separate statistically independent non-Gaussian signals. For 15 GNSS stations in Antarctic Peninsula, we firstly introduce a factor analysis to remove those anomaly stations influenced by strong local effects. And then we compare the regional filter results derived from PCA and ICA. The result shows that ICA result is better than PCA result. The reduction of mean RMS is 44. 69%, 26. 94%, 34. 87% in E, N, U components after applying ICA filter; the reduction of mean velocity uncertainty can reach up to 37. 43%, 44. 58%, 55. 86%, respectively.</t>
  </si>
  <si>
    <t>[Li Fei; Li WenHao; Zhang ShengKai; Lei JinTao; Zhang QingChuan; Yuan LeXian] Wuhan Univ, Chinese Antarctic Ctr Surveying &amp; Mapping, Wuhan 430079, Hubei, Peoples R China; [Li Fei] Wuhan Univ, State Key Lab Informat Engn Surveying Mapping &amp; R, Wuhan 430079, Hubei, Peoples R China</t>
  </si>
  <si>
    <t>Zhang, SK (corresponding author), Wuhan Univ, Chinese Antarctic Ctr Surveying &amp; Mapping, Wuhan 430079, Hubei, Peoples R China.</t>
  </si>
  <si>
    <t>fli@whu.edu.cn; zskai@whu.edu.cn</t>
  </si>
  <si>
    <t>LEI, Jintao/HHZ-6471-2022</t>
  </si>
  <si>
    <t>10.6038/cjg2019M0534</t>
  </si>
  <si>
    <t>JK7SN</t>
  </si>
  <si>
    <t>WOS:000495040900007</t>
  </si>
  <si>
    <t>Wang, YL; Hsu, YC; Lee, CP; Wu, CR</t>
  </si>
  <si>
    <t>Wang, You-Lin; Hsu, Yu-Chen; Lee, Chung-Pan; Wu, Chau-Ron</t>
  </si>
  <si>
    <t>Coupling Influences of ENSO and PDO on the Inter-Decadal SST Variability of the ACC around the Western South Atlantic</t>
  </si>
  <si>
    <t>SUSTAINABILITY</t>
  </si>
  <si>
    <t>Antarctic Circumpolar Current; ENSO; HadISST; sea surface temperature; Pacific Decadal Oscillation; SST; superpositioning</t>
  </si>
  <si>
    <t>SEA-SURFACE TEMPERATURE; INTERDECADAL CLIMATE VARIABILITY; RAINFALL VARIABILITY; TROPICAL PACIFIC; SUMMER RAINFALL; AMERICA; OSCILLATION; MODES; PRECIPITATION; CIRCULATION</t>
  </si>
  <si>
    <t>The Antarctic Circumpolar Current (ACC) plays an important role in the climate as it balances heat energy and water mass between the Pacific and Atlantic Oceans through the Drake Passage. However, because the historical measurements and observations are extremely limited, the decadal and long-term variations of the ACC around the western South Atlantic Ocean are rarely studied. By analyzing reconstructed sea surface temperatures (SSTs) in a 147-year period (1870-2016), previous studies have shown that SST anomalies (SSTAs) around the Antarctic Peninsula and South America had the same phase change as the El Nino Southern Oscillation (ENSO). This study further showed that changes in SSTAs in the regions mentioned above were enlarged when the Pacific Decadal Oscillation (PDO) and the ENSO were in the same warm or cold phase, implying that changes in the SST of higher latitude oceans could be enhanced when the influence of the ENSO is considered along with the PDO.</t>
  </si>
  <si>
    <t>[Wang, You-Lin; Wu, Chau-Ron] Natl Taiwan Normal Univ, Dept Earth Sci, Taipei 11677, Taiwan; [Hsu, Yu-Chen; Lee, Chung-Pan] Natl Sun Yat Sen Univ, Dept Marine Environm &amp; Engn, Kaohsiung 80424, Taiwan; [Hsu, Yu-Chen] Taiwan Ocean Res Inst, Natl Appl Res Labs, Kaohsiung 80143, Taiwan</t>
  </si>
  <si>
    <t>National Taiwan Normal University; National Sun Yat Sen University; National Applied Research Laboratories - Taiwan</t>
  </si>
  <si>
    <t>Wu, CR (corresponding author), Natl Taiwan Normal Univ, Dept Earth Sci, Taipei 11677, Taiwan.;Lee, CP (corresponding author), Natl Sun Yat Sen Univ, Dept Marine Environm &amp; Engn, Kaohsiung 80424, Taiwan.</t>
  </si>
  <si>
    <t>cplee@mail.nsysu.edu.tw; cwu@ntnu.edu.tw</t>
  </si>
  <si>
    <t>Wu, Chau-Ron/GDZ-5620-2022</t>
  </si>
  <si>
    <t>Wu, Chau-Ron/0000-0002-2567-4664; Wang, You-Lin/0000-0003-3526-8325</t>
  </si>
  <si>
    <t>2071-1050</t>
  </si>
  <si>
    <t>SUSTAINABILITY-BASEL</t>
  </si>
  <si>
    <t>Sustainability</t>
  </si>
  <si>
    <t>10.3390/su11184853</t>
  </si>
  <si>
    <t>JC2KA</t>
  </si>
  <si>
    <t>WOS:000489104700039</t>
  </si>
  <si>
    <t>Shaw, EA; Wall, DH</t>
  </si>
  <si>
    <t>Shaw, E. Ashley; Wall, Diana H.</t>
  </si>
  <si>
    <t>Biotic Interactions in Experimental Antarctic Soil Microcosms Vary with Abiotic Stress</t>
  </si>
  <si>
    <t>SOIL SYSTEMS</t>
  </si>
  <si>
    <t>nematode; bacteria; soil communities; trophic interactions; biological interactions; polar; desert; top-down effects</t>
  </si>
  <si>
    <t>MCMURDO DRY VALLEYS; NEMATODE SCOTTNEMA-LINDSAYAE; FREEZE-THAW CYCLES; TAYLOR VALLEY; POLAR DESERT; TROPHIC INTERACTIONS; NUTRIENT DYNAMICS; AFFECT ENERGY; ECOSYSTEM; BIODIVERSITY</t>
  </si>
  <si>
    <t>Biotic interactions structure ecological communities but abiotic factors affect the strength of these relationships. These interactions are difficult to study in soils due to their vast biodiversity and the many environmental factors that affect soil species. The McMurdo Dry Valleys (MDV), Antarctica, are relatively simple soil ecosystems compared to temperate soils, making them an excellent study system for the trophic relationships of soil. Soil microbes and relatively few species of nematodes, rotifers, tardigrades, springtails, and mites are patchily distributed across the cold, dry landscape, which lacks vascular plants and terrestrial vertebrates. However, glacier and permafrost melt are expected to cause shifts in soil moisture and solutes across this ecosystem. To test how increased moisture and salinity affect soil invertebrates and their biotic interactions, we established a laboratory microcosm experiment (4 community x 2 moisture x 2 salinity treatments). Community treatments were: (1) Bacteria only (control), (2) Scottnema (S. lindsayae + bacteria), (3) Eudorylaimus (E. antarcticus + bacteria), and (4) Mixed (S. lindsayae + E. antarcticus + bacteria). Salinity and moisture treatments were control and high. High moisture reduced S. lindsayae adults, while high salinity reduced the total S. lindsayae population. We found that S. lindsayae exerted top-down control over soil bacteria populations, but this effect was dependent on salinity treatment. In the high salinity treatment, bacteria were released from top-down pressure as S. lindsayae declined. Ours was the first study to empirically demonstrate, although in lab microcosm conditions, top-down control in the MDV soil food web.</t>
  </si>
  <si>
    <t>[Shaw, E. Ashley; Wall, Diana H.] Colorado State Univ, Dept Biol, Ft Collins, CO 80523 USA; [Wall, Diana H.] Colorado State Univ, Nat Resource Ecol Lab, Ft Collins, CO 80523 USA</t>
  </si>
  <si>
    <t>Colorado State University; Colorado State University</t>
  </si>
  <si>
    <t>Shaw, EA (corresponding author), Colorado State Univ, Dept Biol, Ft Collins, CO 80523 USA.</t>
  </si>
  <si>
    <t>ashleysh@uoregon.edu</t>
  </si>
  <si>
    <t>Wall, Diana H/F-5491-2011</t>
  </si>
  <si>
    <t>United States National Science Foundation [OPP-1115245]</t>
  </si>
  <si>
    <t>This work was supported by the United States National Science Foundation Grant #OPP-1115245 for Long Term Ecological Research (LTER). Any opinions, findings, conclusions, or recommendations expressed here are those of the authors and do not necessarily reflect the National Science Foundation's views.</t>
  </si>
  <si>
    <t>2571-8789</t>
  </si>
  <si>
    <t>SOIL SYST</t>
  </si>
  <si>
    <t>Soil Syst.</t>
  </si>
  <si>
    <t>10.3390/soilsystems3030057</t>
  </si>
  <si>
    <t>JH7ZU</t>
  </si>
  <si>
    <t>WOS:000492988900005</t>
  </si>
  <si>
    <t>Eayrs, C; Holland, D; Francis, D; Wagner, T; Kumar, R; Li, XC</t>
  </si>
  <si>
    <t>Eayrs, Clare; Holland, David; Francis, Diana; Wagner, Till; Kumar, Rajesh; Li, Xichen</t>
  </si>
  <si>
    <t>Understanding the Seasonal Cycle of Antarctic Sea Ice Extent in the Context of Longer-Term Variability</t>
  </si>
  <si>
    <t>sea ice; Antarctic; climate modeling; satellite observations; semiannual oscillation; ice-ocean albedo feedback</t>
  </si>
  <si>
    <t>SOUTHERN ANNULAR MODE; LOW-FREQUENCY VARIABILITY; HALF-YEARLY CYCLE; LARGE-SCALE; SEMIANNUAL OSCILLATION; INTERANNUAL VARIABILITY; BELLINGSHAUSEN SEAS; CLIMATE VARIABILITY; HEMISPHERE CLIMATE; PASSIVE MICROWAVE</t>
  </si>
  <si>
    <t>Over the 40-year satellite record, there has been a slight increasing trend in total annual mean Antarctic sea ice extent of approximately 1.5% per decade that is made up of the sum of significantly larger opposing regional trends. However, record increases in total Antarctic sea ice extent were observed during 2012-2014, followed by record lows (for the satellite era) through 2018. There is still no consensus on the main drivers of these trends, but it is generally believed that the atmosphere plays a significant role and that seasonal time scales and regional scale processes are important. Despite considerable yearly and regional variability, the mean seasonal cycle of growth and melt of Antarctic sea ice is strikingly consistent, with a slow growth but fast melt season. If we are to project trends in Antarctic sea ice and understand changes on longer time scales, we need to understand the mechanisms related to the seasonal cycle separately from those that drive variability. Twice-yearly changes in the position and intensity of the zonal winds circling Antarctica are thought to drive the system by working with or against the evolving sea ice edge to slow the autumn advance and hasten the spring melt. Open water regions, created by divergence associated with the zonal winds, amplify the spring melt through increased warming of the upper ocean. Climate models fail to accurately reproduce mean Antarctic sea ice extent and overestimate its year-to-year variability, but they tend to capture the pattern and timing of the Antarctic seasonal cycle.</t>
  </si>
  <si>
    <t>[Eayrs, Clare; Holland, David; Francis, Diana; Kumar, Rajesh] New York Univ Abu Dhabi, Ctr Global Sea Level Change, Abu Dhabi, U Arab Emirates; [Holland, David] NYU, Courant Inst Math Sci, New York, NY USA; [Wagner, Till] Univ N Carolina, Dept Phys &amp; Phys Oceanog, Wilmington, NC USA; [Li, Xichen] Inst Atmospher Phys, Beijing, Peoples R China</t>
  </si>
  <si>
    <t>New York University Abu Dhabi; New York University; University of North Carolina; University of North Carolina Wilmington; Chinese Academy of Sciences; Institute of Atmospheric Physics, CAS</t>
  </si>
  <si>
    <t>Eayrs, C (corresponding author), New York Univ Abu Dhabi, Ctr Global Sea Level Change, Abu Dhabi, U Arab Emirates.</t>
  </si>
  <si>
    <t>clare.eayrs@nyu.edu</t>
  </si>
  <si>
    <t>Li, Xichen/ISB-4663-2023; Kumar, Rajesh/A-1212-2015; Eayrs, Clare/T-7969-2019; FRANCIS, Diana/N-3729-2018</t>
  </si>
  <si>
    <t>Kumar, Rajesh/0000-0002-3135-9556; Eayrs, Clare/0000-0003-3129-7604; FRANCIS, Diana/0000-0002-7587-0006; Wagner, Till/0000-0003-4572-1285</t>
  </si>
  <si>
    <t>NYUAD Center for global Sea Level Change project [G1204]</t>
  </si>
  <si>
    <t>NYUAD Center for global Sea Level Change project</t>
  </si>
  <si>
    <t>Thisworkwas funded by NYUAD Center for global Sea Level Change project G1204. Sea ice data were obtained from NSIDC Sea Ice Index (https://nsidc.org/data/G02135) and Climate Data Record (https://nsidc.org/data/G02202). ERA-Interim monthly reanalysis data sets were obtained from the ECMWF data archive (https://www.ecmwf.int/en/forecasts/datasets/archive-datasets/reanalysis-datasets/era-interim). We acknowledge Ian Eisenman for the processed CMIP5 data used in this study, available at http://eisenman.ucsd.edu/code.html.We would like to thank Philip Rodenbough and the ScientificWriting Program at New York University Abu Dhabi.</t>
  </si>
  <si>
    <t>10.1029/2018RG000631</t>
  </si>
  <si>
    <t>JH5GI</t>
  </si>
  <si>
    <t>WOS:000492796700009</t>
  </si>
  <si>
    <t>Cyriac, A; McPhaden, MJ; Phillips, HE; Bindoff, NL; Feng, M</t>
  </si>
  <si>
    <t>Cyriac, A.; McPhaden, M. J.; Phillips, H. E.; Bindoff, N. L.; Feng, M.</t>
  </si>
  <si>
    <t>Seasonal Evolution of the Surface Layer Heat Balance in the Eastern Subtropical Indian Ocean</t>
  </si>
  <si>
    <t>EQUATORIAL PACIFIC-OCEAN; LEEUWIN CURRENT SYSTEM; CIRCULATION; FLUXES; EDDIES; BUDGET; ATMOSPHERE; PATHWAYS; ATLANTIC; IMPACTS</t>
  </si>
  <si>
    <t>The South Indian Ocean (SIO) is a region of strong air-sea heat loss due to the unique ocean circulation pattern influenced by the Indonesian Throughflow. In this study, the seasonal variation of the surface layer heat budget in the eastern SIO is investigated using 2 years of measurements from a mooring at 25 degrees S, 100 degrees E, the only colocated upper ocean and surface meteorology time series in the subtropical Indian Ocean. The mooring data are combined with other in situ and satellite data to examine the role of air-sea fluxes and ocean heat transport on the evolution of mixed layer temperature using heat budget diagnostic models. Results show that on seasonal time scales, mixed layer heat storage in the eastern SIO is mostly balanced by a combination of surface fluxes and turbulent entrainment with a contribution from horizontal advection at times. Solar radiation dominates the seasonal cycle of net surface heat flux, which warms the mixed layer during austral summer (67 W/m(2)) and cools it during austral winter (-44 W/m(2)). Entrainment is in good agreement with the heat budget residual for most of the year. Horizontal advection is spatially variable and appears to be dominated by the presence of mesoscale eddies and possibly annual and semiannual Rossby waves propagating from the eastern boundary. Results from the 2-year mooring-based data analysis are in reasonably good agreement with a 12-year regional heat budget analysis around the mooring location using ocean reanalysis products.</t>
  </si>
  <si>
    <t>[Cyriac, A.; Phillips, H. E.; Bindoff, N. L.] Univ Tasmania, Inst Marine &amp; Antarctic Studies, Hobart, Tas, Australia; [Cyriac, A.] ARC Ctr Excellence Climate Syst Sci, Hobart, Tas, Australia; [McPhaden, M. J.] NOAA, Pacific Marine Environm Lab, 7600 Sand Point Way Ne, Seattle, WA 98115 USA; [Bindoff, N. L.] ARC Ctr Excellence Climate Extremes, Hobart, Tas, Australia; [Bindoff, N. L.] Antarctic Climate &amp; Ecosyst CRC, Hobart, Tas, Australia; [Bindoff, N. L.] CSIRO Marine &amp; Atmospher Res, Hobart, Tas, Australia; [Feng, M.] IOMRC, CSIRO Oceans &amp; Atmosphere, Crawley, WA, Australia; [Feng, M.] Ctr Southern Hemisphere Oceans Res, Hobart, Tas, Australia</t>
  </si>
  <si>
    <t>University of Tasmania; ARC Centre of Excellence for Climate System Science; National Oceanic Atmospheric Admin (NOAA) - USA; University of Tasmania; Commonwealth Scientific &amp; Industrial Research Organisation (CSIRO); Commonwealth Scientific &amp; Industrial Research Organisation (CSIRO)</t>
  </si>
  <si>
    <t>Cyriac, A (corresponding author), Univ Tasmania, Inst Marine &amp; Antarctic Studies, Hobart, Tas, Australia.;Cyriac, A (corresponding author), ARC Ctr Excellence Climate Syst Sci, Hobart, Tas, Australia.</t>
  </si>
  <si>
    <t>ajitha.cyriac@utas.edu.au</t>
  </si>
  <si>
    <t>McPhaden, Michael J/D-9799-2016; Phillips, Helen/I-3761-2013; Bindoff, Nathaniel Lee/C-8050-2011; Bindoff, Nathaniel Lee/IVV-0333-2023; Feng, Ming/F-5411-2010</t>
  </si>
  <si>
    <t>Phillips, Helen/0000-0002-2941-7577; Bindoff, Nathaniel Lee/0000-0001-5662-9519; Bindoff, Nathaniel Lee/0000-0001-5662-9519; Feng, Ming/0000-0002-2855-7092; Cyriac, Ajitha/0000-0001-6149-740X</t>
  </si>
  <si>
    <t>10.1029/2018JC014559</t>
  </si>
  <si>
    <t>WOS:000492197000002</t>
  </si>
  <si>
    <t>Gnevyshev, VG; Frolova, AV; Kubryakov, AA; Sobko, YV; Belonenko, TV</t>
  </si>
  <si>
    <t>Gnevyshev, V. G.; Frolova, A. V.; Kubryakov, A. A.; Sobko, Yu. V.; Belonenko, T. V.</t>
  </si>
  <si>
    <t>Interaction between Rossby Waves and a Jet Flow: Basic Equations and Verification for the Antarctic Circumpolar Current</t>
  </si>
  <si>
    <t>Rossby waves; mesoscale eddies; jet current; Antarctic Circumpolar Current; dispersion relation; nonlinear theory; altimetry</t>
  </si>
  <si>
    <t>PLANETARY-WAVES; DISPERSION-RELATION; MEAN FLOW; VARIABILITY; TOPOGRAPHY; EDDIES</t>
  </si>
  <si>
    <t>The article focuses on the interaction of Rossby waves in the ocean with zonal jet flows. A new approach is proposed to show that nonlinearity in the long-wave approximation exactly compensates the Doppler shift. A new dispersion relation for the Rossby waves interacting with the jets is deduced from the nonlinear theory. The conclusion is verified using satellite altimetry data of the Antarctic Circumpolar Current (ACC). For the ACC area, we compare empirical velocities obtained from the altimetry data with theoretical phase velocities of Rossby waves calculated from nonlinear dispersion relation using the equivalent beta effect. The comparison shows that the new dispersion relation based on the nonlinear approach is capable of describing both the westward and the eastward propagation of mesoscale eddies in the field of sea level anomalies that can be identified as manifestation of Rossby waves in the ocean.</t>
  </si>
  <si>
    <t>[Gnevyshev, V. G.] Russian Acad Sci, Shirshov Inst Oceanol, Moscow 117997, Russia; [Frolova, A. V.; Belonenko, T. V.] St Petersburg State Univ, St Petersburg 199034, Russia; [Kubryakov, A. A.] Marine Hydrophys Inst, Sevastopol 299011, Russia; [Sobko, Yu. V.] RUS GmbH, T Syst, Deutsch Telekom, St Petersburg Div, St Petersburg 199034, Russia</t>
  </si>
  <si>
    <t>Russian Academy of Sciences; Shirshov Institute of Oceanology; Saint Petersburg State University; Marine Hydrophysical Institute of RAS; Russian Academy of Sciences; St. Petersburg Scientific Centre of the Russian Academy of Sciences</t>
  </si>
  <si>
    <t>Belonenko, TV (corresponding author), St Petersburg State Univ, St Petersburg 199034, Russia.</t>
  </si>
  <si>
    <t>btvlisab@yandex.ru</t>
  </si>
  <si>
    <t>Kubryakov, Arseny/F-8921-2014; Vladimir, Gnevyshev/AAZ-6352-2021; Belonenko, Tatyana/K-2162-2013</t>
  </si>
  <si>
    <t>Vladimir, Gnevyshev/0000-0001-6654-5570; Belonenko, Tatyana/0000-0003-4608-7781; Frolova, Anastasiia/0000-0002-8064-7116</t>
  </si>
  <si>
    <t>Russian Foundation for Basic Research [17-05-00034]</t>
  </si>
  <si>
    <t>This work was supported by the Russian Foundation for Basic Research (grant no. 17-05-00034).</t>
  </si>
  <si>
    <t>10.1134/S0001433819050074</t>
  </si>
  <si>
    <t>JF6JG</t>
  </si>
  <si>
    <t>WOS:000491493700005</t>
  </si>
  <si>
    <t>Tarakanov, RY</t>
  </si>
  <si>
    <t>Tarakanov, R. Y.</t>
  </si>
  <si>
    <t>Distinguishing Closed Circulations from the Satellite Maps of the Dynamic Topography of the Ocean Surface</t>
  </si>
  <si>
    <t>closed circulations; dynamic topography; satellite altimetry</t>
  </si>
  <si>
    <t>ANTARCTIC CIRCUMPOLAR CURRENT; MESOSCALE EDDIES; DRAKE PASSAGE; EDDY DETECTION; SEA; IDENTIFICATION; ALTIMETRY; JETS; ENERGY</t>
  </si>
  <si>
    <t>An algorithm for distinguishing closed multicore circulations from digital maps of dynamic topography (DT) is described. The algorithm is based on the expansion of eddies over the area from their cores (local maxima/minima of the DT) until the DT thresholds corresponding to these cores are reached. The algorithm is performed in several iterations until the points belonging to the closed circulations are completely exhausted. The algorithm is an exact numerical solution of the problem of determining the value of the DT for a closed loop, the most distant from the core of circulation. The algorithm takes into account the problems of nesting circulations of different signs into each other, the possible intersecting of circulations with different signs on the numerical grid, and the possible existence of islands or floating ice inside the circulations. A method is described for merging smaller DT maps to larger maps with the circulations distinguished from the smaller maps.</t>
  </si>
  <si>
    <t>[Tarakanov, R. Y.] Russian Acad Sci, Shirshov Inst Oceanol, Moscow, Russia</t>
  </si>
  <si>
    <t>Tarakanov, RY (corresponding author), Russian Acad Sci, Shirshov Inst Oceanol, Moscow, Russia.</t>
  </si>
  <si>
    <t>rtarakanov@gmail.com</t>
  </si>
  <si>
    <t>Tarakanov, Roman/R-3325-2016</t>
  </si>
  <si>
    <t>Tarakanov, Roman/0000-0002-8711-1859</t>
  </si>
  <si>
    <t>Russian Science Foundation [16-17-10149]; [0149-2019-0004]</t>
  </si>
  <si>
    <t>Russian Science Foundation(Russian Science Foundation (RSF));</t>
  </si>
  <si>
    <t>This work was supported by the Russian Science Foundation (grant 16-17-10149, development of the algorithm for distinguishing closed circulations) and State Task no. 0149-2019-0004 (preparation of satellite observation data).</t>
  </si>
  <si>
    <t>10.1134/S0001433819050116</t>
  </si>
  <si>
    <t>WOS:000491493700012</t>
  </si>
  <si>
    <t>Zhuang, YP; Li, HL; Jin, HY; Chen, JF; Gao, SQ; Bai, YC; Ji, ZQ; Li, YJ</t>
  </si>
  <si>
    <t>Zhuang, Yanpei; Li, Hongliang; Jin, Haiyan; Chen, Jianfang; Gao, Shengquan; Bai, Youcheng; Ji, Zhongqiang; Li, Yangjie</t>
  </si>
  <si>
    <t>Observation of nitrate deficit along transects across the Canada Basin after major sea-ice loss</t>
  </si>
  <si>
    <t>5th International Symposium on Arctic Research (ISAR)</t>
  </si>
  <si>
    <t>JAN 15-18, 2018</t>
  </si>
  <si>
    <t>Tokyo, JAPAN</t>
  </si>
  <si>
    <t>N*; Nitrogen loss; Ice retreat; Arctic ocean</t>
  </si>
  <si>
    <t>ARCTIC-OCEAN; DENITRIFICATION RATES; BEAUFORT GYRE; SHELF WATERS; NITROGEN; PACIFIC; NUTRIENT; ATLANTIC; NO; HALOCLINE</t>
  </si>
  <si>
    <t>Nutrient data were collected along similar cross-basin transects in the Canada Basin (75 degrees-85 degrees N) in 2005-2008, to evaluate the long-term change in the nitrate deficit. The results revealed a subsurface N* minimum (&lt; - 10 mu mol/kg), indicating a large nitrate deficit in the upper halocline water of the basin. The interannual change of N* from 2005 to 2008 demonstrates the increase in the nitrate deficit. The subsurface low-N* waters are expanding, especially in the southern Canada Basin (75 degrees-80 degrees N). The thickening distribution of Pacific water is primarily responsible for the expansion of the nitrate deficit in the basin.</t>
  </si>
  <si>
    <t>[Zhuang, Yanpei; Li, Hongliang; Jin, Haiyan; Chen, Jianfang; Gao, Shengquan; Bai, Youcheng; Ji, Zhongqiang; Li, Yangjie] Minist Nat Resources, Key Lab Marine Ecosyst &amp; Biogeochem, Inst Oceanog 2, State Ocean Adm, Hangzhou 310012, Zhejiang, Peoples R China; [Jin, Haiyan; Chen, Jianfang] Minist Nat Resources, State Key Lab Satellite Ocean Environm Dynam, Inst Oceanog 2, Hangzhou 310012, Zhejiang, Peoples R China</t>
  </si>
  <si>
    <t>Ministry of Natural Resources of the People's Republic of China; Second Institute of Oceanography, Ministry of Natural Resources; Ministry of Natural Resources of the People's Republic of China</t>
  </si>
  <si>
    <t>Jin, HY; Chen, JF (corresponding author), 36 Baochu North Rd, Hangzhou, Zhejiang, Peoples R China.</t>
  </si>
  <si>
    <t>jinhaiyan@sio.org.cn; jfchen@sio.org.cn</t>
  </si>
  <si>
    <t>Li, Yangjie/ABF-3407-2021</t>
  </si>
  <si>
    <t>National Natural Science Foundation of China [41776205, 41506222]; Chinese Polar Environment Comprehensive Investigation &amp; Assessment Programs [CHINARE0304, 0402]</t>
  </si>
  <si>
    <t>National Natural Science Foundation of China(National Natural Science Foundation of China (NSFC)); Chinese Polar Environment Comprehensive Investigation &amp; Assessment Programs</t>
  </si>
  <si>
    <t>We thank the Data-sharing Platform of the Carbon Dioxide Information Analysis Center (https://www.nodc.noaa.gov/ocads/) and Chinese National Arctic &amp; Antarctic Data Center (http://www.chinare.org.cn/en/index/) for providing the data used in this paper. This work was supported by the National Natural Science Foundation of China (41776205, 41506222) and the Chinese Polar Environment Comprehensive Investigation &amp; Assessment Programs (CHINARE0304; 0402).</t>
  </si>
  <si>
    <t>10.1016/j.polar.2019.03.001</t>
  </si>
  <si>
    <t>JE8XP</t>
  </si>
  <si>
    <t>WOS:000490973400026</t>
  </si>
  <si>
    <t>Zheng, L; Overeem, I; Wang, K; Clow, GD</t>
  </si>
  <si>
    <t>Zheng, Lei; Overeem, Irina; Wang, Kang; Clow, Gary D.</t>
  </si>
  <si>
    <t>Changing Arctic River Dynamics Cause Localized Permafrost Thaw</t>
  </si>
  <si>
    <t>JOURNAL OF GEOPHYSICAL RESEARCH-EARTH SURFACE</t>
  </si>
  <si>
    <t>permafrost; floodplains; rivers; thermal regime; modeling; climate change</t>
  </si>
  <si>
    <t>ACTIVE-LAYER THICKNESS; SEASONAL SNOW COVER; KUPARUK RIVER; WATER; ALASKA; BASIN; TEMPERATURE; DEPTH; ICE; HYDROLOGY</t>
  </si>
  <si>
    <t>Permafrost in the Arctic regions is degrading in response to decades of amplified warming. Advanced degradation of ice-rich permafrost could significantly alter the water balance by increasing runoff and flooding. How do the hydrological changes in river systems, in turn, affect the permafrost thermal state, specifically in floodplains? First, we develop a first-order heat budget approach to simulate evolving river-water temperature. The river-water thermal model includes heat exchanges at both the air-water and water-subsurface interfaces and can accurately estimate water temperature. Then, river-water temperature is employed as an upper boundary condition for the control volume permafrost model, which models the thermal state of shallow permafrost. The combined model is validated and applied in the Kuparuk River floodplain, Alaska. Results indicate that permafrost warms rapidly during inundation and that channelbelt active layer thickness can deepen by more than 1 m. We find that earlier arrival of the spring freshet and associated earlier inundation onset, as well as increase in river discharge, can significantly increase subsurface permafrost temperature and lead to a deepening of the active layer. In recent years Kuparuk River streamflow has arrived earlier, and mean annual river discharge has increased by 35% since the 1970s. New permanent water and seasonal water appeared throughout the river network of the Kuparuk River since the 1980s according to satellite observations. These hydrological changes likely have contributed to the expansion of riverbed thaw bulbs and the degradation of floodplain permafrost.</t>
  </si>
  <si>
    <t>[Zheng, Lei; Overeem, Irina; Wang, Kang; Clow, Gary D.] Univ Colorado, Inst Arctic &amp; Alpine Res, CSDMS, Boulder, CO 80309 USA; [Zheng, Lei] Wuhan Univ, Chinese Antarctic Ctr Surveying &amp; Mapping, Wuhan, Hubei, Peoples R China; [Overeem, Irina] Univ Colorado, Dept Geol Sci, Boulder, CO 80309 USA</t>
  </si>
  <si>
    <t>University of Colorado System; University of Colorado Boulder; Wuhan University; University of Colorado System; University of Colorado Boulder</t>
  </si>
  <si>
    <t>Overeem, I (corresponding author), Univ Colorado, Inst Arctic &amp; Alpine Res, CSDMS, Boulder, CO 80309 USA.;Overeem, I (corresponding author), Univ Colorado, Dept Geol Sci, Boulder, CO 80309 USA.</t>
  </si>
  <si>
    <t>irina.overeem@colorado.edu</t>
  </si>
  <si>
    <t>Zheng, Lei/AAU-3788-2020; Wang, Kang/J-7351-2019</t>
  </si>
  <si>
    <t>Wang, Kang/0000-0003-3416-572X; OVEREEM, IRINA/0000-0002-8422-580X</t>
  </si>
  <si>
    <t>U.S. National Science Foundation Office of Polar Programs Award [1503559]; China Scholarship Council [201706270140]; Directorate For Geosciences; Office of Polar Programs (OPP) [1503559] Funding Source: National Science Foundation</t>
  </si>
  <si>
    <t>U.S. National Science Foundation Office of Polar Programs Award; China Scholarship Council(China Scholarship Council); Directorate For Geosciences; Office of Polar Programs (OPP)(National Science Foundation (NSF)NSF - Directorate for Geosciences (GEO))</t>
  </si>
  <si>
    <t>Climate data were obtained from the Geophysical Institute of the University of Alaska Fairbanks (http://permafrost.gi.alaska.edu/site/dh1) and the European Centre for Medium-Range Weather Forecasts (https://apps.ecmwf.int/datasets/).We thank J. Conaway and J. Koch (USGS, Anchorage, Alaska) for discussions on the river gauging and data processing protocols. The surface elevation data set was obtained from the ArcticDEM website maintained by the Polar Geospatial Center at the University of Minnesota (https://www.pgc.umn.edu/data/arcticdem/).The authors thank R. S. A. Anderson, S. Anderson, and A. Wlostoski (INSTAAR) for discussions on physical processes and the study site. JGR-ES reviewers and editors helped with improvement of the final manuscript. This study is funded by the U.S. National Science Foundation Office of Polar Programs Award 1503559 and the China Scholarship Council Grant 201706270140.</t>
  </si>
  <si>
    <t>2169-9003</t>
  </si>
  <si>
    <t>2169-9011</t>
  </si>
  <si>
    <t>J GEOPHYS RES-EARTH</t>
  </si>
  <si>
    <t>J. Geophys. Res.-Earth Surf.</t>
  </si>
  <si>
    <t>10.1029/2019JF005060</t>
  </si>
  <si>
    <t>JF6FD</t>
  </si>
  <si>
    <t>WOS:000491482500001</t>
  </si>
  <si>
    <t>Sakerin, SM; Golobokova, LP; Kabanov, DM; Kalashnikova, DA; Kozlov, VS; Kruglinsky, IA; Makarov, VI; Makshtas, AP; Popova, SA; Radionov, VF; Simonova, GV; Turchinovich, YS; Khodzher, TV; Khuriganowa, OI; Chankina, OV; Chernov, DG</t>
  </si>
  <si>
    <t>Sakerin, S. M.; Golobokova, L. P.; Kabanov, D. M.; Kalashnikova, D. A.; Kozlov, V. S.; Kruglinsky, I. A.; Makarov, V. I.; Makshtas, A. P.; Popova, S. A.; Radionov, V. F.; Simonova, G. V.; Turchinovich, Yu. S.; Khodzher, T. V.; Khuriganowa, O. I.; Chankina, O. V.; Chernov, D. G.</t>
  </si>
  <si>
    <t>Measurements of Physicochemical Characteristics of Atmospheric Aerosol at Research Station Ice Base Cape Baranov in 2018</t>
  </si>
  <si>
    <t>ATMOSPHERIC AND OCEANIC OPTICS</t>
  </si>
  <si>
    <t>aerosol; black carbon; ion; elemental; isotopic composition; Severnaya Zemlya</t>
  </si>
  <si>
    <t>BLACK CARBON; SYNCHROTRON-RADIATION; SEASONAL-VARIATIONS; TRANSPORT; AIR; DISTRIBUTIONS; EMISSIONS; TIKSI</t>
  </si>
  <si>
    <t>We discuss the results of measurements in the region of Cape Baranov (the Severnaya Zemlya archipelago) of the set of physicochemical characteristics of atmospheric aerosol: aerosol optical depth, aerosol and black carbon concentrations, elemental and ion compositions of aerosol, organic and elemental carbon contents in aerosol, as well as the isotopic composition of carbon in the aerosol and snow samples. It is shown that the average values of most aerosol characteristics, measured in April-June 2018, are a little lower than in the Arctic settlement Barentsburg (Spitsbergen archipelago) and several-fold smaller than in the south of Western Siberia in the same period.</t>
  </si>
  <si>
    <t>[Sakerin, S. M.; Kabanov, D. M.; Kozlov, V. S.; Turchinovich, Yu. S.; Chernov, D. G.] Russian Acad Sci, VE Zuev Inst Atmospher Opt, Siberian Branch, Tomsk 634055, Russia; [Golobokova, L. P.; Khodzher, T. V.; Khuriganowa, O. I.] Russian Acad Sci, Limnol Inst, Siberian Branch, Irkutsk 664033, Russia; [Kalashnikova, D. A.; Simonova, G. V.] Russian Acad Sci, Siberian Branch, Inst Monitoring Climat &amp; Ecol Syst, Tomsk 634055, Russia; [Kruglinsky, I. A.] Natl Res Tomsk State Univ, Tomsk 634050, Russia; [Makarov, V. I.; Popova, S. A.; Chankina, O. V.] Russian Acad Sci, Voevodsky Inst Chem Kinet &amp; Combust, Siberian Branch, Novosibirsk 630090, Russia; [Makshtas, A. P.; Radionov, V. F.] Arctic &amp; Antarctic Res Inst, St Petersburg 199397, Russia</t>
  </si>
  <si>
    <t>Russian Academy of Sciences; Zuev Institute of Atmospheric Optics, Siberian Branch of the Russian Academy of Sciences; Irkutsk Science Centre of the Russian Academy of Sciences; Russian Academy of Sciences; Limnological Institute SB RAS; Institute of Monitoring of Climatic &amp; Ecological Systems of the Siberian Branch of the RAS; Russian Academy of Sciences; Tomsk State University; Voevodsky Institute of Chemical Kinetics &amp; Combustion SB RAS; Russian Academy of Sciences; Arctic &amp; Antarctic Research Institute</t>
  </si>
  <si>
    <t>Sakerin, SM (corresponding author), Russian Acad Sci, VE Zuev Inst Atmospher Opt, Siberian Branch, Tomsk 634055, Russia.</t>
  </si>
  <si>
    <t>iao.rudkab@iao.ru</t>
  </si>
  <si>
    <t>Kabanov, Dmitry M./A-5805-2014; kruglinsky, Ivan/AAZ-3660-2020; Sakerin, Sergey/A-6508-2014; Kabanov, Dmitry/A-4871-2014; Kalashnikova, Daria/KDN-0449-2024; Simonova, Galina V./G-5817-2014; Popova, Svetlana/AAC-2922-2022</t>
  </si>
  <si>
    <t>Popova, Svetlana/0000-0002-5875-8207; Chernov, Dmitriy/0000-0003-1877-6678</t>
  </si>
  <si>
    <t>Complex Program of Basic Research, Siberian Branch, Russian Academy of Sciences II.1 [AAAA-F18-118012500294-9, AAAA-A18-118012490017-8, AAAA-A18-118122190007-8, AAAA-A17-117122190017-8]; Ministry of Education and Science of the Russian Federation [RFMEFI-61617X0076]; Subprogram 4 Organization and support of works and scientific research in the Arctic and Antarctica of State Program of the Russian Federation Environmental protection for 2012-2020</t>
  </si>
  <si>
    <t>Complex Program of Basic Research, Siberian Branch, Russian Academy of Sciences II.1(Russian Academy of Sciences); Ministry of Education and Science of the Russian Federation(Ministry of Education and Science, Russian Federation); Subprogram 4 Organization and support of works and scientific research in the Arctic and Antarctica of State Program of the Russian Federation Environmental protection for 2012-2020</t>
  </si>
  <si>
    <t>This work was supported by the Complex Program of Basic Research, Siberian Branch, Russian Academy of Sciences II.1 (projects nos. AAAA-F18-118012500294-9,AAAA-A18-118012490017-8, AAAA-A18-118122190007-8, and AAAA-A17-117122190017-8), Ministry of Education and Science of the Russian Federation (project RFMEFI-61617X0076), and Subprogram 4 Organization and support of works and scientific research in the Arctic and Antarctica of State Program of the Russian Federation Environmental protection for 2012-2020.</t>
  </si>
  <si>
    <t>1024-8560</t>
  </si>
  <si>
    <t>2070-0393</t>
  </si>
  <si>
    <t>ATMOS OCEAN OPT</t>
  </si>
  <si>
    <t>Atmos. Ocean. Opt.</t>
  </si>
  <si>
    <t>10.1134/S1024856019050130</t>
  </si>
  <si>
    <t>Optics</t>
  </si>
  <si>
    <t>JE8OU</t>
  </si>
  <si>
    <t>WOS:000490950300004</t>
  </si>
  <si>
    <t>Renfrew, IA; Pickart, RS; Våge, K; Moore, GWK; Bracegirdle, TJ; Elvidge, AD; Jeansson, E; Lachlan-Cope, T; McRaven, LT; Papritz, L; Reuder, J; Sodemann, H; Terpstra, A; Waterman, S; Valdimarsson, H; Weiss, A; Almansi, M; Bahr, F; Brakstad, A; Barrell, C; Brooke, JK; Brooks, BJ; Brooks, IM; Brooks, ME; Bruvik, EM; Duscha, C; Fer, I; Golid, HM; Hallerstig, M; Hessevik, I; Huang, J; Houghton, L; Jónsson, S; Jonassen, M; Jackson, K; Kvalsund, K; Kolstad, EW; Konstali, K; Kristiansen, J; Ladkin, R; Lin, P; Macrander, A; Mitchell, A; Olafsson, H; Pacini, A; Payne, C; Palmason, B; Pérez-Hernández, MD; Peterson, AK; Petersen, GN; Pisareva, MN; Pope, JO; Seidl, A; Semper, S; Sergeev, D; Skjelsvik, S; Soiland, H; Smith, D; Spall, MA; Spengler, T; Touzeau, A; Tupper, G; Weng, Y; Williams, KD; Yang, X; Zhou, S</t>
  </si>
  <si>
    <t>Renfrew, I. A.; Pickart, R. S.; Vage, K.; Moore, G. W. K.; Bracegirdle, T. J.; Elvidge, A. D.; Jeansson, E.; Lachlan-Cope, T.; McRaven, L. T.; Papritz, L.; Reuder, J.; Sodemann, H.; Terpstra, A.; Waterman, S.; Valdimarsson, H.; Weiss, A.; Almansi, M.; Bahr, F.; Brakstad, A.; Barrell, C.; Brooke, J. K.; Brooks, B. J.; Brooks, I. M.; Brooks, M. E.; Bruvik, E. M.; Duscha, C.; Fer, I.; Golid, H. M.; Hallerstig, M.; Hessevik, I.; Huang, J.; Houghton, L.; Jonsson, S.; Jonassen, M.; Jackson, K.; Kvalsund, K.; Kolstad, E. W.; Konstali, K.; Kristiansen, J.; Ladkin, R.; Lin, P.; Macrander, A.; Mitchell, A.; Olafsson, H.; Pacini, A.; Payne, C.; Palmason, B.; Perez-Hernandez, M. D.; Peterson, A. K.; Petersen, G. N.; Pisareva, M. N.; Pope, J. O.; Seidl, A.; Semper, S.; Sergeev, D.; Skjelsvik, S.; Soiland, H.; Smith, D.; Spall, M. A.; Spengler, T.; Touzeau, A.; Tupper, G.; Weng, Y.; Williams, K. D.; Yang, X.; Zhou, S.</t>
  </si>
  <si>
    <t>The Iceland Greenland Seas Project</t>
  </si>
  <si>
    <t>DENMARK STRAIT OVERFLOW; COLD-AIR OUTBREAKS; MARGINAL-ICE-ZONE; NORTH-ATLANTIC; BOUNDARY-LAYER; LABRADOR SEA; FRESH-WATER; CIRCULATION; CLIMATE; OCEAN</t>
  </si>
  <si>
    <t>The Iceland Greenland Seas Project (IGP) is a coordinated atmosphere-ocean research program investigating climate processes in the source region of the densest waters of the Atlantic meridional overturning circulation. During February and March 2018, a field campaign was executed over the Iceland and southern Greenland Seas that utilized a range of observing platforms to investigate critical processes in the region, including a research vessel, a research aircraft, moorings, sea gliders, floats, and a meteorological buoy. A remarkable feature of the field campaign was the highly coordinated deployment of the observing platforms, whereby the research vessel and aircraft tracks were planned in concert to allow simultaneous sampling of the atmosphere, the ocean, and their interactions. This joint planning was supported by tailor-made convection-permitting weather forecasts and novel diagnostics from an ensemble prediction system. The scientific aims of the IGP are to characterize the atmospheric forcing and the ocean response of coupled processes; in particular, cold-air outbreaks in the vicinity of the marginal ice zone and their triggering of oceanic heat loss, and the role of freshwater in the generation of dense water masses. The campaign observed the life cycle of a long-lasting cold-air outbreak over the Iceland Sea and the development of a cold-air outbreak over the Greenland Sea. Repeated profiling revealed the immediate impact on the ocean, while a comprehensive hydrographic survey provided a rare picture of these subpolar seas in winter. A joint atmosphere-ocean approach is also being used in the analysis phase, with coupled observational analysis and coordinated numerical modeling activities underway.</t>
  </si>
  <si>
    <t>[Renfrew, I. A.; Elvidge, A. D.; Terpstra, A.; Barrell, C.; Sergeev, D.; Smith, D.; Zhou, S.] Univ East Anglia, Sch Environm Sci, Norwich, Norfolk, England; [Pickart, R. S.; McRaven, L. T.; Bahr, F.; Huang, J.; Houghton, L.; Lin, P.; Mitchell, A.; Pacini, A.; Spall, M. A.; Tupper, G.] Woods Hole Oceanog Inst, Woods Hole, MA 02543 USA; [Vage, K.; Reuder, J.; Sodemann, H.; Terpstra, A.; Brakstad, A.; Bruvik, E. M.; Duscha, C.; Fer, I.; Golid, H. M.; Hessevik, I.; Jonassen, M.; Jackson, K.; Konstali, K.; Peterson, A. K.; Seidl, A.; Semper, S.; Skjelsvik, S.; Spengler, T.; Touzeau, A.; Weng, Y.] Univ Bergen, Geophys Inst, Bergen, Norway; [Vage, K.; Reuder, J.; Sodemann, H.; Terpstra, A.; Brakstad, A.; Bruvik, E. M.; Duscha, C.; Fer, I.; Golid, H. M.; Hessevik, I.; Jonassen, M.; Jackson, K.; Konstali, K.; Peterson, A. K.; Seidl, A.; Semper, S.; Skjelsvik, S.; Spengler, T.; Touzeau, A.; Weng, Y.] Bjerknes Ctr Climate Res, Bergen, Norway; [Moore, G. W. K.] Univ Toronto, Dept Phys, Toronto, ON, Canada; [Bracegirdle, T. J.; Lachlan-Cope, T.; Weiss, A.; Ladkin, R.; Pope, J. O.] British Antarctic Survey, Cambridge, England; [Jeansson, E.; Hallerstig, M.; Kolstad, E. W.] Norwegian Res Ctr, Bjerknes Ctr Climate Res, Bergen, Norway; [Papritz, L.] Swiss Fed Inst Technol, Dept Environm Syst Sci, Inst Atmospher &amp; Climate Sci, Zurich, Switzerland; [Waterman, S.; Payne, C.] Univ British Columbia, Dept Earth Ocean &amp; Atmospher Sci, Vancouver, BC, Canada; [Valdimarsson, H.; Macrander, A.; Perez-Hernandez, M. D.] Marine &amp; Freshwater Res Inst, Reykjavik, Iceland; [Almansi, M.] Johns Hopkins Univ, Dept Earth &amp; Planetary Sci, Baltimore, MD 21218 USA; [Brooke, J. K.; Brooks, M. E.; Williams, K. D.] Met Off, Exeter, Devon, England; [Brooks, B. J.] Univ Leeds, Natl Ctr Atmospher Sci, Leeds, W Yorkshire, England; [Brooks, I. M.] Univ Leeds, Sch Earth &amp; Environm, Leeds, W Yorkshire, England; [Huang, J.] Tsinghua Univ, Key Lab Earth Syst Modeling, Minist Educ, Beijing, Peoples R China; [Huang, J.] Tsinghua Univ, Dept Earth Syst Sci, Beijing, Peoples R China; [Jonsson, S.] Marine &amp; Freshwater Res Inst, Reykjavik, Iceland; [Jonsson, S.] Univ Akureyri, Akureyri, Iceland; [Jonassen, M.] Univ Ctr Svalbard, Dept Arct Geophys, Longyearbyen, Norway; [Kvalsund, K.] Runde Environm Ctr, Runde, Norway; [Kristiansen, J.] Norwegian Meteorol Inst, Oslo, Norway; [Olafsson, H.] Univ Iceland, Reykjavik, Iceland; [Palmason, B.; Petersen, G. N.] Iceland Meteorol Off, Reykjavik, Iceland; [Pisareva, M. N.] Russian Acad Sci, Shirshov Inst Oceanol, Moscow, Russia; [Soiland, H.] Inst Marine Res, Bergen, Norway; [Yang, X.] Danish Meteorol Inst, Copenhagen, Denmark</t>
  </si>
  <si>
    <t>University of East Anglia; Woods Hole Oceanographic Institution; University of Bergen; Bjerknes Centre for Climate Research; University of Toronto; UK Research &amp; Innovation (UKRI); Natural Environment Research Council (NERC); NERC British Antarctic Survey; Bjerknes Centre for Climate Research; Norwegian Research Centre (NORCE); Swiss Federal Institutes of Technology Domain; ETH Zurich; University of British Columbia; Marine &amp; Freshwater Research Institute (MFRI); Johns Hopkins University; Met Office - UK; UK Research &amp; Innovation (UKRI); Natural Environment Research Council (NERC); NERC National Centre for Atmospheric Science; University of Leeds; University of Leeds; Tsinghua University; Tsinghua University; Marine &amp; Freshwater Research Institute (MFRI); University of Akureyri; University Centre Svalbard (UNIS); Norwegian Meteorological Institute; University of Iceland; Russian Academy of Sciences; Shirshov Institute of Oceanology; Institute of Marine Research - Norway; Danish Meteorological Institute DMI</t>
  </si>
  <si>
    <t>Renfrew, IA (corresponding author), Univ East Anglia, Sch Environm Sci, Norwich, Norfolk, England.</t>
  </si>
  <si>
    <t>i.renfrew@uea.ac.uk</t>
  </si>
  <si>
    <t>Seidl, Andrew/KAM-4466-2024; Sodemann, Harald/ABG-5304-2021; Petersen, Guðrún Nína/AAY-6282-2021; Bracegirdle, Tom/AAD-6060-2020; Huang, Jie/KCX-8283-2024; Kolstad, Erik/A-2311-2015; Brooks, Melissa/E-7466-2011; Huang, Jie/AAU-8458-2021; Sergeev, Denis E./N-3404-2014; Brooke, Jennifer K./ABG-2243-2020; Pisareva, Maria N/D-4977-2017; Våge, Kjetil/GON-7304-2022; Kolstad, Erik Olsøybakk/GYJ-6310-2022; Renfrew, Ian A/E-4057-2010; Waterman, Stephanie/AAY-6033-2020; Spengler, Thomas/AAB-5153-2021; Pérez-Hernández, Maria Dolores/J-5330-2014; Våge, Kjetil/AAG-6208-2019; Brooks, Ian M/E-1378-2012; Petersen, Gudrun Nina/AAD-3619-2020; Moore, George Kent/D-8518-2011; OLAFSSON, HARALDUR/AAD-8234-2021; Fer, Ilker/C-7820-2012; Pope, James/E-9473-2017</t>
  </si>
  <si>
    <t>Sodemann, Harald/0000-0002-8167-0860; Petersen, Guðrún Nína/0000-0003-0214-7324; Kolstad, Erik/0000-0001-5394-9541; Huang, Jie/0000-0003-1134-5752; Sergeev, Denis E./0000-0001-8832-5288; Brooke, Jennifer K./0000-0001-5752-5877; Pisareva, Maria N/0000-0002-9545-7649; Våge, Kjetil/0000-0002-7478-8510; Waterman, Stephanie/0000-0001-5797-1092; Spengler, Thomas/0000-0002-1747-6385; Pérez-Hernández, Maria Dolores/0000-0001-7293-9584; Petersen, Gudrun Nina/0000-0003-0214-7324; Moore, George Kent/0000-0002-3986-5605; Fer, Ilker/0000-0002-2427-2532; Brooks, Melissa/0000-0002-4773-8630; McRaven, Leah/0000-0002-4552-4313; Pope, James/0000-0001-8945-4209; Semper, Stefanie/0000-0003-1083-4642; Papritz, Lukas/0000-0002-2047-9544; Jonsson, Steingrimur/0000-0001-5082-6714; Barrell, Chris/0000-0002-0494-9884; Smith, Daniel/0000-0003-0818-672X; Brooks, Ian/0000-0002-5051-1322; Elvidge, Andrew/0000-0002-7099-902X; Almansi, Mattia/0000-0001-6849-3647</t>
  </si>
  <si>
    <t>U.S. National Science Foundation [OCE-1558742]; U.K.'s Natural Environment Research Council: AFIS [NE/N009754/1]; Research Council of Norway: MOCN [231647]; Research Council of Norway: VENTILATE [229791]; Research Council of Norway: SNOWPACE [262710]; Research Council of Norway: FARLAB [245907]; Bergen Research Foundation [BFS2016REK01]; NERC [bas0100032, 1941538, NE/N009754/1, NE/R017026/1] Funding Source: UKRI</t>
  </si>
  <si>
    <t>U.S. National Science Foundation(National Science Foundation (NSF)); U.K.'s Natural Environment Research Council: AFIS; Research Council of Norway: MOCN(Research Council of Norway); Research Council of Norway: VENTILATE(Research Council of Norway); Research Council of Norway: SNOWPACE(Research Council of Norway); Research Council of Norway: FARLAB(Research Council of Norway); Bergen Research Foundation; NERC(UK Research &amp; Innovation (UKRI)Natural Environment Research Council (NERC))</t>
  </si>
  <si>
    <t>The IGP has received funding from the U.S. National Science Foundation: Grant OCE-1558742; the U.K.'s Natural Environment Research Council: AFIS (NE/N009754/1); the Research Council of Norway: MOCN (231647), VENTILATE (229791), SNOWPACE (262710) and FARLAB (245907); and the Bergen Research Foundation (BFS2016REK01). We thank all those involved in the field work associated with the IGP, particularly the officers and crew of the Alliance, and the operations staff of the aircraft campaign.</t>
  </si>
  <si>
    <t>10.1175/BAMS-D-18-0217.1</t>
  </si>
  <si>
    <t>JD1DZ</t>
  </si>
  <si>
    <t>WOS:000489716700016</t>
  </si>
  <si>
    <t>Cresswell, AK; Langlois, TJ; Wilson, SK; Claudet, J; Thomson, DP; Renton, M; Fulton, CJ; Fisher, R; Vanderklift, MA; Babcock, RC; Stuart-Smith, RD; Haywood, MDE; Depczynski, M; Westera, M; Ayling, AM; Fitzpatrick, B; Halford, AR; McLean, DL; Pillans, RD; Cheal, AJ; Tinkler, P; Edgar, GJ; Graham, NAJ; Harvey, ES; Holmes, TH</t>
  </si>
  <si>
    <t>Cresswell, A. K.; Langlois, T. J.; Wilson, S. K.; Claudet, J.; Thomson, D. P.; Renton, M.; Fulton, C. J.; Fisher, R.; Vanderklift, M. A.; Babcock, R. C.; Stuart-Smith, R. D.; Haywood, M. D. E.; Depczynski, M.; Westera, M.; Ayling, A. M.; Fitzpatrick, B.; Halford, A. R.; McLean, D. L.; Pillans, R. D.; Cheal, A. J.; Tinkler, P.; Edgar, G. J.; Graham, N. A. J.; Harvey, E. S.; Holmes, T. H.</t>
  </si>
  <si>
    <t>Disentangling the response of fishes to recreational fishing over 30 years within a fringing coral reef reserve network</t>
  </si>
  <si>
    <t>BIOLOGICAL CONSERVATION</t>
  </si>
  <si>
    <t>Marine protected area; MPA; Fisheries; Coral reef; Ningaloo; Adaptive management; Recreational fishing; Lethrinus</t>
  </si>
  <si>
    <t>MARINE PROTECTED AREAS; ECOLOGICAL RESEARCH; NINGALOO REEF; NEW-ZEALAND; HABITAT; VIDEO; IMPACTS; BIODIVERSITY; MANAGEMENT; BIOMASS</t>
  </si>
  <si>
    <t>Few studies assess the effects of recreational fishing in isolation from commercial fishing. We used meta-analysis to synthesise 4444 samples from 30 years (1987-2017) of fish surveys inside and outside a large network of highly protected reserves in the Ningaloo Marine Park, Western Australia, where the major fishing activity is recreational. Data were collected by different agencies, using varied survey designs and sampling methods. We contrasted the relative abundance and biomass of target and non-target fish groups between fished and reserve locations. We considered the influence of, and possible interactions between, seven additional variables: age and size of reserve, one of two reserve network configurations, reef habitat type, recreational fishing activity, shorebased fishing regulations and survey method. Taxa responded differently: the abundance and biomass inside reserves relative to outside was higher for targeted lethrinids, while other targeted (and non-targeted) fish groups were indistinguishable. Reef habitat was important for explaining lethrinid response to protection, and this factor interacted with reserve size, such that larger reserves were demonstrably more effective in the back reef and lagoon habitats. There was little evidence of changes in relative abundance and biomass of fishes with reserve age, or after rezoning and expansion of the reserve network. Our study demonstrates the complexities in quantifying fishing effects, highlighting some of the key factors and interactions that likely underlie the varied results in reserve assessments that should be considered in future reserve design and assessment.</t>
  </si>
  <si>
    <t>[Cresswell, A. K.; Langlois, T. J.; Renton, M.] Univ Western Australia, Sch Biol Sci, Crawley, WA, Australia; [Cresswell, A. K.; Thomson, D. P.; Vanderklift, M. A.] CSIRO Oceans &amp; Atmosphere, Indian Ocean Marine Res Ctr, Crawley, WA, Australia; [Cresswell, A. K.; Langlois, T. J.; Wilson, S. K.; Fisher, R.; Babcock, R. C.; Depczynski, M.; Fitzpatrick, B.; McLean, D. L.; Holmes, T. H.] Univ Western Australia, UWA Oceans Inst, Crawley, WA, Australia; [Wilson, S. K.; Holmes, T. H.] Western Australia Dept Biodivers Conservat &amp; Attr, Marine Sci Program, Kensington, NSW, Australia; [Claudet, J.] PSL Univ Paris, Natl Ctr Sci Res, CRIOBE, CNRS EPHE UPVD, Paris, France; [Claudet, J.] CORAIL, Lab Excellence, Moorea, French Polynesi, France; [Renton, M.] Univ Western Australia, Sch Agr &amp; Environm, Crawley, WA, Australia; [Fulton, C. J.] Australian Natl Univ, Res Sch Biol, Canberra, ACT, Australia; [Fisher, R.; Depczynski, M.; McLean, D. L.; Cheal, A. J.] Indian Ocean Marine Res Ctr, Australian Inst Marine Sci, Crawley, WA, Australia; [Babcock, R. C.; Haywood, M. D. E.; Pillans, R. D.] CSIRO Oceans &amp; Atmosphere, Queensland Biosci Precinct, St Lucia, Qld, Australia; [Stuart-Smith, R. D.; Edgar, G. J.] Univ Tasmania, Inst Marine &amp; Antarctic Studies, Hobart, Tas, Australia; [Westera, M.] BMT, Osborne Parke, WA, Australia; [Ayling, A. M.] Sea Res, Hideaway Bay, Qld, Australia; [Fitzpatrick, B.] Oceanwise Australia Pty Ltd, Perth, WA, Australia; [Halford, A. R.] SPC, Noumea, New Caledonia; [Tinkler, P.] Deakin Univ, Sch Life &amp; Environm Sci, Warrnambool, Australia; [Graham, N. A. J.] Univ Lancaster, Lancaster Environm Ctr, Lancaster, England; [Harvey, E. S.] Curtin Univ, Sch Mol &amp; Life Sci, Perth, WA, Australia</t>
  </si>
  <si>
    <t>University of Western Australia; University of Western Australia; Commonwealth Scientific &amp; Industrial Research Organisation (CSIRO); University of Western Australia; Universite PSL; University of Western Australia; Australian National University; Australian Institute of Marine Science; University of Western Australia; Commonwealth Scientific &amp; Industrial Research Organisation (CSIRO); University of Tasmania; Deakin University; Lancaster University; Curtin University</t>
  </si>
  <si>
    <t>Cresswell, AK (corresponding author), Univ Western Australia, Indian Ocean Marine Res Ctr, 64 Fairway,Level 4, Crawley, WA 6009, Australia.</t>
  </si>
  <si>
    <t>annacresswell@gmail.com</t>
  </si>
  <si>
    <t>Graham, Nicholas/C-8360-2014; Edgar, Graham/AAY-3797-2020; Claudet, Joachim/C-6335-2008; Stuart-Smith, Rick/I-5214-2019; Vanderklift, Mathew A/B-1003-2008; Pillans, Richard D/F-2458-2012; Wilson, Shaun/K-8597-2019; Thomson, Damian P/C-3047-2014; Fulton, Christopher J/A-5971-2008; Babcock, Russell C/A-3794-2012; McLean, Dianne/H-2449-2012; Renton, Michael/A-9979-2011; Harvey, Euan/B-2896-2011; depczynski, martial/B-7689-2008</t>
  </si>
  <si>
    <t>Graham, Nicholas/0000-0002-0304-7467; Edgar, Graham/0000-0003-0833-9001; Claudet, Joachim/0000-0001-6295-1061; Stuart-Smith, Rick/0000-0002-8874-0083; Wilson, Shaun/0000-0002-4590-0948; McLean, Dianne/0000-0002-0306-8348; Renton, Michael/0000-0003-1316-0145; Harvey, Euan/0000-0002-9069-4581; Thomson, Damian/0000-0001-5485-1562; Cresswell, Anna/0000-0001-6740-9052; Halford, Andrew/0000-0001-7966-8588; depczynski, martial/0000-0001-8723-0076</t>
  </si>
  <si>
    <t>CSIRO; Western Australian Marine Science Institution; WA Department of Biodiversity, Conservation and Attractions; Australian National University; Australian Institute of Marine Science; Caring for our Country; Gorgon Barrow Island Net Conservation Benefits Fund; BHP-CSIRO Industry-Science Ningaloo Outlook Marine Research Partnership; AIMS-Woodside Energy; WA State NRM program; Royalties for Regions program; Coastwest; University of Western Australia; Edith Cowan University School of Natural Sciences; Jean Rogerson Postgraduate Scholarship</t>
  </si>
  <si>
    <t>CSIRO(Commonwealth Scientific &amp; Industrial Research Organisation (CSIRO)); Western Australian Marine Science Institution; WA Department of Biodiversity, Conservation and Attractions; Australian National University(Australian National University); Australian Institute of Marine Science; Caring for our Country; Gorgon Barrow Island Net Conservation Benefits Fund; BHP-CSIRO Industry-Science Ningaloo Outlook Marine Research Partnership; AIMS-Woodside Energy; WA State NRM program; Royalties for Regions program; Coastwest; University of Western Australia; Edith Cowan University School of Natural Sciences; Jean Rogerson Postgraduate Scholarship</t>
  </si>
  <si>
    <t>The study was possible through funding provided by numerous organisations and programs: CSIRO, the Western Australian Marine Science Institution, WA Department of Biodiversity, Conservation and Attractions, the Australian National University, the Australian Institute of Marine Science, Caring for our Country, the Gorgon Barrow Island Net Conservation Benefits Fund, BHP-CSIRO Industry-Science Ningaloo Outlook Marine Research Partnership, AIMS-Woodside Energy, WA State NRM program, Royalties for Regions program, Coastwest, the University of Western Australia, Edith Cowan University School of Natural Sciences, the Jean Rogerson Postgraduate Scholarship.</t>
  </si>
  <si>
    <t>0006-3207</t>
  </si>
  <si>
    <t>1873-2917</t>
  </si>
  <si>
    <t>BIOL CONSERV</t>
  </si>
  <si>
    <t>Biol. Conserv.</t>
  </si>
  <si>
    <t>10.1016/j.biocon.2019.06.023</t>
  </si>
  <si>
    <t>JB1IS</t>
  </si>
  <si>
    <t>WOS:000488314700055</t>
  </si>
  <si>
    <t>Hospitaleche, CA; Haidr, N; Paulina-Carabajal, A; Reguero, M</t>
  </si>
  <si>
    <t>Hospitaleche, Carolina Acosta; Haidr, Nadia; Paulina-Carabajal, Ariana; Reguero, Marcelo</t>
  </si>
  <si>
    <t>The first skull of Anthropornis grandis (Ayes, Sphenisciformes) associated with postcranial elements</t>
  </si>
  <si>
    <t>Fossil penguin; Anatomy; Paleoneurology; Paleobiology; Submeseta Formation; Eocene; Antarctica</t>
  </si>
  <si>
    <t>SEYMOUR ISLAND; EOCENE PENGUINS; FOSSIL PENGUIN; GIANT PENGUIN; AVES; EVOLUTION; TYRANNOSAURIDAE; ANTARCTICA; MORPHOLOGY; RECORD</t>
  </si>
  <si>
    <t>Associated penguin remains found in Bartonian levels of the Submeseta Formation (Seymour Island, Antarctica), including cranium and mandible, both partial tarsometatarsi, and some other fragmentary bones, are analyzed here. This specimen preserves the first cranium reliably assigned to the giant form Anthropornis grandis, and constitutes the first opportunity to taxonomically assign a cranial material to any of the Antarctic penguin species. A discussion of the diet preferences and feeding mechanisms of A. grandis is supported here by three-dimensional paleoneurological and cranial-jaw muscular reconstructions. We propose that A. grandis was a penguin with a voluminous musculature strongly attached to the neck and skull, adapted to chase and hunt fish during diving. (C) 2019 Academie des sciences. Published by Elsevier Masson SAS. All rights reserved.</t>
  </si>
  <si>
    <t>[Hospitaleche, Carolina Acosta; Reguero, Marcelo] Univ Nacl La Plata, Museo La Plata, Div Paleontol Vertebrados, Paseo Bosque S-N,B1900FWA, La Plata, Buenos Aires, Argentina; [Hospitaleche, Carolina Acosta; Haidr, Nadia; Paulina-Carabajal, Ariana; Reguero, Marcelo] Consejo Nacl Invest Cient &amp; Tecn, C1425FQB, Buenos Aires, DF, Argentina; [Haidr, Nadia] Consejo Nacl Invest Cient &amp; Tecn, Unidad Ejecutora Lillo, FML, Calle Miguel Lillo 205,T4000, San Miguel De Tucuman, Tucuman, Argentina; [Paulina-Carabajal, Ariana] Univ Nacl Comahue, CONICET, Inst Invest Biodiversidad &amp; Medioambiente INIBIOM, Quintral 1250, RA-8400 San Carlos De Bariloche, Rio Negro, Argentina; [Reguero, Marcelo] Inst Antartico Argentino, 25 Mayo 1143, RA-1650 Buenos Aires, DF, Argentina</t>
  </si>
  <si>
    <t>National University of La Plata; Museo La Plata; Consejo Nacional de Investigaciones Cientificas y Tecnicas (CONICET); Consejo Nacional de Investigaciones Cientificas y Tecnicas (CONICET); Universidad Nacional del Comahue; Consejo Nacional de Investigaciones Cientificas y Tecnicas (CONICET); Instituto Antartico Argentino</t>
  </si>
  <si>
    <t>Hospitaleche, CA (corresponding author), Univ Nacl La Plata, Museo La Plata, Div Paleontol Vertebrados, Paseo Bosque S-N,B1900FWA, La Plata, Buenos Aires, Argentina.</t>
  </si>
  <si>
    <t>acostacaro@fcnym.unlp.edu.ar; nadiahaidr@gmail.com; premjisaurus@yahoo.com.ar; mreguero@dna.gov.ar</t>
  </si>
  <si>
    <t>Acosta Hospitaleche, Carolina/E-5740-2017; Reguero, Marcelo A./JHS-4893-2023</t>
  </si>
  <si>
    <t>Acosta Hospitaleche, Carolina/0000-0002-2614-1448;</t>
  </si>
  <si>
    <t>Direccion Nacional del Antartico; Oceanwide Expeditions, Vlissingen (NL); [PICT-E 0080]; [UNLP N838]; [PICT-2016-0481]</t>
  </si>
  <si>
    <t>Direccion Nacional del Antartico; Oceanwide Expeditions, Vlissingen (NL); ; ;</t>
  </si>
  <si>
    <t>Antarctic field trip was completely funded by Direccion Nacional del Antartico and the Instituto Antartico Argentino, and logistic support in the field was provided by Fuerza Aerea Argentina. Partial help was provided by the Consejo Nacional de Investigaciones Cientificas y Tecnologicas and Universidad Nacional de La Plata (N838). Leonel Acosta (Museo de La Plata) prepared the fossil, Maria Bernarda Epele and Mariano Cipollone (Y-TEC) made Micro-CT scans, and Agustin Ruella together with Nicolas Bauza (Museo de La Plata) performed the retro-deformation analyses. CAH is particularly grateful to Oceanwide Expeditions, Vlissingen (NL) for financial support. This project was partially funded by PICT-E 0080 (to Division Paleontologia Vertebrados, MLP), UNLP N838 (to CAH), and PICT-2016-0481 (to APC). Maria Florencia Sosa improved the English grammar. Three anonymous reviewers made important comments that improved our manuscript.</t>
  </si>
  <si>
    <t>ELSEVIER FRANCE-EDITIONS SCIENTIFIQUES MEDICALES ELSEVIER</t>
  </si>
  <si>
    <t>ISSY-LES-MOULINEAUX</t>
  </si>
  <si>
    <t>65 RUE CAMILLE DESMOULINS, CS50083, 92442 ISSY-LES-MOULINEAUX, FRANCE</t>
  </si>
  <si>
    <t>10.1016/j.crpv.2019.06.003</t>
  </si>
  <si>
    <t>JD3CP</t>
  </si>
  <si>
    <t>WOS:000489851900002</t>
  </si>
  <si>
    <t>Çotuk, HB; Duru, AD; Aktas, S</t>
  </si>
  <si>
    <t>Cotuk, H. Birol; Duru, Adil Deniz; Aktas, Sarnia</t>
  </si>
  <si>
    <t>Monitoring Autonomic and Central Nervous System Activity by Permutation Entropy during Short Sojourn in Antarctica</t>
  </si>
  <si>
    <t>ENTROPY</t>
  </si>
  <si>
    <t>permutation entropy; heart rate variability; electroencephalography; spectral analysis; Antarctica</t>
  </si>
  <si>
    <t>HEART-RATE-VARIABILITY; SIGNAL ANALYSIS; EEG; WORKLOAD; BRAIN</t>
  </si>
  <si>
    <t>The aim of this study was to monitor acute response patterns of autonomic and central nervous system activity during an encounter with Antarctica by synchronously recording heart rate variability (HRV) and electroencephalography (EEG). On three different time-points during the two-week sea journey, the EEG and HRV were recorded from nine male scientists who participated in The First Turkish Antarctic Research Expedition. The recordings were performed in a relaxed state with the eyes open, eyes closed, and during a space quantity perception test. For the EEG recordings, the wireless 14 channel EPOC-Emotiv device was used, and for the HRV recordings, a Polar heart rate monitor S810i was used. The HRV data were analyzed by time/frequency domain parameters and ordinal pattern statistics. For the EEG data, spectral band power in the conventional frequency bands, as well as permutation entropy values were calculated. Regarding HRV, neither conventional nor permutation entropy calculations produced significant differences for the different journey time-points, but only permutation entropy was able to differentiate between the testing conditions. During the cognitive test, permutation entropy values increased significantly, whereas the conventional HRV parameters did not show any significant differences. In the EEG analysis, the ordinal pattern statistics revealed significant transitions in the course of the sea voyage as permutation entropy values decreased, whereas spectral band power analysis could not detect any significant difference. Permutation entropy analysis was further able to differentiate between the three testing conditions as well between the brain regions. In the conventional spectral band power analysis, alpha band power could separate the three testing conditions and brain regions, and beta band power could only do so for the brain regions. This superiority of permutation entropy in discerning subtle differences in the autonomic and central nervous system's responses to an overwhelming subjective experience renders it suitable as an analysis tool for biomonitoring in extreme environments.</t>
  </si>
  <si>
    <t>[Cotuk, H. Birol; Duru, Adil Deniz] Marmara Univ, Dept Sport Hlth Sci, TR-34810 Istanbul, Turkey; [Aktas, Sarnia] Istanbul Univ, Dept Underwater &amp; Hyperbar Med, TR-34093 Istanbul, Turkey; [Cotuk, H. Birol] Marmara Univ, Sport Sci Fac, TR-34810 Istanbul, Turkey</t>
  </si>
  <si>
    <t>Marmara University; Istanbul University; Marmara University</t>
  </si>
  <si>
    <t>Çotuk, HB (corresponding author), Marmara Univ, Dept Sport Hlth Sci, TR-34810 Istanbul, Turkey.;Çotuk, HB (corresponding author), Marmara Univ, Sport Sci Fac, TR-34810 Istanbul, Turkey.</t>
  </si>
  <si>
    <t>hbcotuk@marmara.edu.tr; deniz.duru@marmara.edu.tr; samilaktas@yahoo.com</t>
  </si>
  <si>
    <t>Aktaş, Şamil/AAD-6656-2020; Duru, Adil Deniz/S-3840-2018</t>
  </si>
  <si>
    <t>Duru, Adil Deniz/0000-0003-3014-9626</t>
  </si>
  <si>
    <t>Research Fund of the Marmara University [SAG-A-100713-0296]</t>
  </si>
  <si>
    <t>Research Fund of the Marmara University(Marmara University)</t>
  </si>
  <si>
    <t>The study was partially funded by the Research Fund of the Marmara University with Project No: SAG-A-100713-0296. The APC was funded by the corresponding author.</t>
  </si>
  <si>
    <t>1099-4300</t>
  </si>
  <si>
    <t>ENTROPY-SWITZ</t>
  </si>
  <si>
    <t>Entropy</t>
  </si>
  <si>
    <t>10.3390/e21090893</t>
  </si>
  <si>
    <t>JC3KE</t>
  </si>
  <si>
    <t>WOS:000489176800077</t>
  </si>
  <si>
    <t>Malard, LA; Anwar, MZ; Jacobsen, CS; Pearce, DA</t>
  </si>
  <si>
    <t>Malard, Lucie A.; Anwar, Muhammad Z.; Jacobsen, Carsten S.; Pearce, David A.</t>
  </si>
  <si>
    <t>Biogeographical patterns in soil bacterial communities across the Arctic region</t>
  </si>
  <si>
    <t>FEMS MICROBIOLOGY ECOLOGY</t>
  </si>
  <si>
    <t>16S rRNA; Arctic soil; microbial diversity; indicator species; core microbiome; biogeography</t>
  </si>
  <si>
    <t>CLIMATE-CHANGE; SEQUENCE DATA; PERMAFROST; PH; DIVERSITY; METHANE; CYCLE; GEOCHEMISTRY; FEEDBACKS; MICROBES</t>
  </si>
  <si>
    <t>The considerable microbial diversity of soils and key role in biogeochemical cycling have led to growing interest in their global distribution and the impact that environmental change might have at the regional level. In the broadest study of Arctic soil bacterial communities to date, we used high-throughput DNA sequencing to investigate the bacterial diversity from 200 independent Arctic soil samples from 43 sites. We quantified the impact of spatial and environmental factors on bacterial community structure using variation partitioning analysis, illustrating a nonrandom distribution across the region. pH was confirmed as the key environmental driver structuring Arctic soil bacterial communities, while total organic carbon (TOC), moisture and conductivity were shown to have little effect. Specialist taxa were more abundant in acidic and alkaline soils while generalist taxa were more abundant in acidoneutral soils. Of the 48 147 bacterial taxa, a core microbiome composed of only 13 taxa that were ubiquitously distributed and present within 95% of samples was identified, illustrating the high potential for endemism in the region. Overall, our results demonstrate the importance of spatial and edaphic factors on the structure of Arctic soil bacterial communities.</t>
  </si>
  <si>
    <t>[Malard, Lucie A.; Pearce, David A.] Northumbria Univ, Fac Hlth &amp; Life Sci, Newcastle Upon Tyne NE1 8ST, Tyne &amp; Wear, England; [Anwar, Muhammad Z.; Jacobsen, Carsten S.] Aarhus Univ, Dept Environm Sci, DK-4000 Roskilde, Denmark; [Pearce, David A.] British Antarctic Survey, High Cross Madingley Rd, Cambridge CB3 0ET, England</t>
  </si>
  <si>
    <t>Northumbria University; Aarhus University; UK Research &amp; Innovation (UKRI); Natural Environment Research Council (NERC); NERC British Antarctic Survey</t>
  </si>
  <si>
    <t>Malard, LA (corresponding author), Northumbria Univ, Fac Hlth &amp; Life Sci, Newcastle Upon Tyne NE1 8ST, Tyne &amp; Wear, England.</t>
  </si>
  <si>
    <t>lucie.malard@northumbria.ac.uk</t>
  </si>
  <si>
    <t>Anwar, Muhammad Zohaib/AAB-1717-2020; Malard, Lucie/C-1852-2015</t>
  </si>
  <si>
    <t>Anwar, Muhammad Zohaib/0000-0001-8236-485X; Pearce, David/0000-0001-5292-4596; Malard, Lucie/0000-0001-9988-2127; Jacobsen, Carsten Suhr/0000-0003-1041-0823</t>
  </si>
  <si>
    <t>European Commission's Marie Sklowdowska Curie Actions program [675546]; Marie Curie Actions (MSCA) [675546] Funding Source: Marie Curie Actions (MSCA); NERC [bas0100036] Funding Source: UKRI</t>
  </si>
  <si>
    <t>European Commission's Marie Sklowdowska Curie Actions program; Marie Curie Actions (MSCA)(Marie Curie Actions); NERC(UK Research &amp; Innovation (UKRI)Natural Environment Research Council (NERC))</t>
  </si>
  <si>
    <t>This work was supported by a grant from the European Commission's Marie Sklowdowska Curie Actions program under project number 675546. The authors also thank Dr Paul Mann, Dr Charles Greer, Dr Svetlana Evgrafova, Dr Bill Holben, Sam Pannoni, Edwin Sia and UNIS for their participation and support in fieldwork. MiSeq sequencing of the 16S rRNA gene was performed by the NU-OMICS sequencing service (Northumbria University).</t>
  </si>
  <si>
    <t>0168-6496</t>
  </si>
  <si>
    <t>1574-6941</t>
  </si>
  <si>
    <t>FEMS MICROBIOL ECOL</t>
  </si>
  <si>
    <t>FEMS Microbiol. Ecol.</t>
  </si>
  <si>
    <t>fiz128</t>
  </si>
  <si>
    <t>10.1093/femsec/fiz128</t>
  </si>
  <si>
    <t>JD1CS</t>
  </si>
  <si>
    <t>Green Published, Green Accepted, hybrid, Green Submitted</t>
  </si>
  <si>
    <t>WOS:000489713400011</t>
  </si>
  <si>
    <t>Pan, HL; Cole, TL; Bi, XP; Fang, MQ; Zhou, CR; Yang, ZT; Ksepka, DT; Hart, T; Bouzat, JL; Argilla, LS; Bertelsen, MF; Boersma, PD; Bost, CA; Cherel, Y; Dann, P; Fiddaman, SR; Howard, P; Labuschagne, K; Mattern, T; Miller, G; Parker, P; Phillips, RA; Quillfeldt, P; Ryan, PG; Taylor, H; Thompson, DR; Young, MJ; Ellegaard, MR; Gilbert, MTP; Sinding, MHS; Pacheco, G; Shepherd, LD; Tennyson, AJD; Grosser, S; Kay, E; Nupen, LJ; Ellenberg, U; Houston, DM; Reeve, AH; Johnson, K; Masello, JF; Stracke, T; McKinlay, B; Borboroglu, PG; Zhang, DX; Zhang, GJ</t>
  </si>
  <si>
    <t>Pan, Hailin; Cole, Theresa L.; Bi, Xupeng; Fang, Miaoquan; Zhou, Chengran; Yang, Zhengtao; Ksepka, Daniel T.; Hart, Tom; Bouzat, Juan L.; Argilla, Lisa S.; Bertelsen, Mads F.; Boersma, P. Dee; Bost, Charles-Andre; Cherel, Yves; Dann, Peter; Fiddaman, Steven R.; Howard, Pauline; Labuschagne, Kim; Mattern, Thomas; Miller, Gary; Parker, Patricia; Phillips, Richard A.; Quillfeldt, Petra; Ryan, Peter G.; Taylor, Helen; Thompson, David R.; Young, Melanie J.; Ellegaard, Martin R.; Gilbert, M. Thomas P.; Sinding, Mikkel-Holger S.; Pacheco, George; Shepherd, Lara D.; Tennyson, Alan J. D.; Grosser, Stefanie; Kay, Emily; Nupen, Lisa J.; Ellenberg, Ursula; Houston, David M.; Reeve, Andrew Hart; Johnson, Kathryn; Masello, Juan F.; Stracke, Thomas; McKinlay, Bruce; Borboroglu, Pablo Garcia; Zhang, De-Xing; Zhang, Guojie</t>
  </si>
  <si>
    <t>High-coverage genomes to elucidate the evolution of penguins</t>
  </si>
  <si>
    <t>GIGASCIENCE</t>
  </si>
  <si>
    <t>genomics; Sphenisciformes; comparative evolution; phylogenetics; speciation; biogeography; demography; climate change; Antarctica; evolution</t>
  </si>
  <si>
    <t>MULTIPLE SEQUENCE ALIGNMENT; KING PENGUIN; POPULATION-CHANGES; EMPEROR PENGUINS; EXTANT PENGUINS; REVEALS; TOOL; CONSERVATION; PERFORMANCE; PREDATORS</t>
  </si>
  <si>
    <t>Background: Penguins (Sphenisciformes) are a remarkable order of flightless wing-propelled diving seabirds distributed widely across the southern hemisphere. They share a volant common ancestor with Procellariiformes close to the Cretaceous-Paleogene boundary (66 million years ago) and subsequently lost the ability to fly but enhanced their diving capabilities. With similar to 20 species among 6 genera, penguins range from the tropical Galapagos Islands to the oceanic temperate forests of New Zealand, the rocky coastlines of the sub-Antarctic islands, and the sea ice around Antarctica. To inhabit such diverse and extreme environments, penguins evolved many physiological and morphological adaptations. However, they are also highly sensitive to climate change. Therefore, penguins provide an exciting target system for understanding the evolutionary processes of speciation, adaptation, and demography. Genomic data are an emerging resource for addressing questions about such processes. Results: Here we present a novel dataset of 19 high-coverage genomes that, together with 2 previously published genomes, encompass all extant penguin species. We also present a well-supported phylogeny to clarify the relationships among penguins. In contrast to recent studies, our results demonstrate that the genus Aptenodytes is basal and sister to all other extant penguin genera, providing intriguing new insights into the adaptation of penguins to Antarctica. As such, our dataset provides a novel resource for understanding the evolutionary history of penguins as a clade, as well as the fine-scale relationships of individual penguin lineages. Against this background, we introduce a major consortium of international scientists dedicated to studying these genomes. Moreover, we highlight emerging issues regarding ensuring legal and respectful indigenous consultation, particularly for genomic data originating from New Zealand Taonga species. Conclusions: We believe that our dataset and project will be important for understanding evolution, increasing cultural heritage and guiding the conservation of this iconic southern hemisphere species assemblage.</t>
  </si>
  <si>
    <t>[Pan, Hailin; Bi, Xupeng; Fang, Miaoquan; Zhou, Chengran; Yang, Zhengtao; Zhang, Guojie] BGI Shenzhen, Shenzhen 518083, Peoples R China; [Pan, Hailin; Zhang, Guojie] Chinese Acad Sci, Kunming Inst Zool, State Key Lab Genet Resources &amp; Evolut, Kunming, Yunnan, Peoples R China; [Pan, Hailin; Reeve, Andrew Hart; Zhang, Guojie] Univ Copenhagen, Dept Biol, Sect Ecol &amp; Evolut, DK-2100 Copenhagen, Denmark; [Cole, Theresa L.] Manaaki Whenua Landcare Res, POB 69040, Canterbury 7640, New Zealand; [Cole, Theresa L.; Mattern, Thomas; Young, Melanie J.; Grosser, Stefanie] Univ Otago, Dept Zool, POB 56, Dunedin 9054, Otago, New Zealand; [Bi, Xupeng; Fang, Miaoquan; Zhou, Chengran; Yang, Zhengtao] BGI Shenzhen, China Natl Genebank, Shenzhen, Guangdong, Peoples R China; [Bi, Xupeng; Fang, Miaoquan; Zhang, Guojie] Chinese Acad Sci, Ctr Excellence Anim Evolut &amp; Genet, Kunming 650223, Yunnan, Peoples R China; [Ksepka, Daniel T.] Bruce Museum, Greenwich, CT 06830 USA; [Hart, Tom] Univ Oxford, Dept Zool, 11a Mansfield Rd, Oxford OX1 3SZ, England; [Bouzat, Juan L.] Bowling Green State Univ, Dept Biol Sci, Bowling Green, OH 43403 USA; [Argilla, Lisa S.] Wildlife Hosp Dunedin, Sch Vet Nursing, Otago Polytech, Dunedin 9016, Otago, New Zealand; [Bertelsen, Mads F.] Copenhagen Zoo, Roskildevej 38, DK-2000 Frederiksberg, Denmark; [Bertelsen, Mads F.] Univ Copenhagen, Dept Vet &amp; Anim Sci, Copenhagen, Denmark; [Boersma, P. Dee; Borboroglu, Pablo Garcia] Univ Washington, Ctr Ecosyst Sentinels, Dept Biol, Seattle, WA 98195 USA; [Bost, Charles-Andre; Cherel, Yves] La Rochelle Univ, CNRS, UMR 7372, CEBC, F-79360 Villiers En Bois, France; [Dann, Peter] Phillip Isl Nat Pk, Res Dept, POB 97, Phillip Isl, Vic 3922, Australia; [Fiddaman, Steven R.] Univ Oxford, Dept Zool, Peter Medawar Bldg Pathogen Res,South Parks Rd, Oxford OX1 3SY, England; [Howard, Pauline] Hornby Vet Ctr, 7 Tower St, Canterbury 8042, New Zealand; [Howard, Pauline; Stracke, Thomas] South Isl Wildlife Hosp, Canterbury, New Zealand; [Labuschagne, Kim] Natl Zool Garden, South African Natl Biodivers Inst, POB 754, ZA-0001 Pretoria, South Africa; [Miller, Gary] Univ Western Australia, Div Pathol &amp; Lab Med, Crawley, WA 6009, Australia; [Miller, Gary] Univ Tasmania, Inst Marine &amp; Antarctic Studies, Hobart, Tas 7001, Australia; [Parker, Patricia] Univ Missouri, Dept Biol, 8001 Nat Bridge Rd, St Louis, MO 63121 USA; [Phillips, Richard A.] British Antarctic Survey, Nat Environm Res Council, Cambridge, England; [Quillfeldt, Petra; Masello, Juan F.] Justus Liebig Univ Giessen, Heinrich Buff Ring 26, D-35392 Giessen, Germany; [Ryan, Peter G.; Nupen, Lisa J.] Univ Cape Town, FitzPatrick Inst African Ornithol, ZA-7701 Rondebosch, South Africa; [Taylor, Helen] Vet Serv Hawkes Bay Ltd, 801 Heretaunga St, Hastings, New Zealand; [Taylor, Helen] Wairoa Farm Vets, 77 Queen St, Wairoa 4108, New Zealand; [Thompson, David R.] Natl Inst Water &amp; Atmospher Res Ltd, Private Bag 14901, Wellington 6241, New Zealand; [Ellegaard, Martin R.; Gilbert, M. Thomas P.; Sinding, Mikkel-Holger S.; Pacheco, George] Univ Copenhagen, Fac Hlth &amp; Med Sci, GLOBE Inst, Sect Evolutionary Genom, Oster Farimagsgade 5A, Copenhagen, Denmark; [Gilbert, M. Thomas P.] NTNU Univ Museum, Trondheim, Norway; [Shepherd, Lara D.; Tennyson, Alan J. D.] Museum New Zealand Te Papa Tongarewa, POB 467, Wellington 6140, New Zealand; [Grosser, Stefanie] Ludwig Maximilians Univ Munchen, Fac Biol, Div Evolutionary Biol, Grosshaderner Str 2, D-82152 Planegg Martinsried, Germany; [Kay, Emily; Johnson, Kathryn] Massey Univ, Wildbase, Private Bag 11 222, Palmerston North 4442, New Zealand; [Kay, Emily; Johnson, Kathryn] Wellington Zoo, 200 Daniell St, Wellington 6021, New Zealand; [Nupen, Lisa J.] Natl Zool Gardens South Africa, Pretoria, South Africa; [Ellenberg, Ursula] La Trobe Univ, Dept Ecol Environm &amp; Evolut, Melbourne, Vic, Australia; [Ellenberg, Ursula] Univ Washington, Global Penguin Soc, Seattle, WA 98195 USA; [Houston, David M.] Dept Conservat, Biodivers Grp, Auckland, New Zealand; [Reeve, Andrew Hart] Univ Copenhagen, Dept Biol, Nat Hist Museum Denmark, Copenhagen, Denmark; [McKinlay, Bruce] Dept Conservat, Biodivers Grp, Dunedin, New Zealand; [Borboroglu, Pablo Garcia] Global Penguin Soc, RA-9120 Puerto Madryn, Argentina; [Borboroglu, Pablo Garcia] Consejo Nacl Invest Cient &amp; Tecn, CESIMAR CCT Cenpat, RA-9120 Puerto Madryn, Chubut, Argentina; [Zhang, De-Xing] Chinese Acad Sci, Inst Zool, Ctr Computat &amp; Evolutionary Biol, 1 Beichen West Rd, Beijing 100101, Peoples R China</t>
  </si>
  <si>
    <t>Beijing Genomics Institute (BGI); Chinese Academy of Sciences; Kunming Institute of Zoology, CAS; University of Copenhagen; Landcare Research - New Zealand; University of Otago; Beijing Genomics Institute (BGI); Chinese Academy of Sciences; University of Oxford; University System of Ohio; Bowling Green State University; Otago Polytechnic; University of Copenhagen; University of Washington; University of Washington Seattle; Centre National de la Recherche Scientifique (CNRS); CNRS - Institute of Ecology &amp; Environment (INEE); University of Oxford; South African National Biodiversity Institute; University of Western Australia; University of Tasmania; University of Missouri System; University of Missouri Saint Louis; UK Research &amp; Innovation (UKRI); Natural Environment Research Council (NERC); NERC British Antarctic Survey; Justus Liebig University Giessen; University of Cape Town; National Institute of Water &amp; Atmospheric Research (NIWA) - New Zealand; University of Copenhagen; Norwegian University of Science &amp; Technology (NTNU); University of Munich; Massey University; National Research Foundation - South Africa; National Zoological Gardens of South Africa; Melbourne Genomics Health Alliance; La Trobe University; University of Washington; University of Washington Seattle; University of Copenhagen; Consejo Nacional de Investigaciones Cientificas y Tecnicas (CONICET); Chinese Academy of Sciences</t>
  </si>
  <si>
    <t>Zhang, GJ (corresponding author), Univ Copenhagen, Dept Biol, Bldg 3,Univ Pk 15, DK-2100 Copenhagen, Denmark.</t>
  </si>
  <si>
    <t>Guojie.Zhang@bio.ku.dk</t>
  </si>
  <si>
    <t>Shepherd, Lara D/E-6663-2011; Bertelsen, Mads/AAA-5746-2022; Argilla, Lisa/AAD-6688-2019; Ellenberg, Ursula/AAF-7317-2020; Gilbert, Thomas/JSK-2650-2023; Mattern, Thomas/AAJ-6325-2020; Zhang, Guojie/HCH-1880-2022; Pacheco, George/R-3945-2019; Johnson, Kathryn/AAV-9373-2020; Pacheco, George/HLG-7362-2023; Fiddaman, Steven/HZL-9651-2023; Zhang, Guojie/J-7273-2019; Masello, Juan Francisco/C-7133-2009; Strander Sinding, Mikkel Holger/B-9450-2015; Quillfeldt, Petra/A-9549-2009; Gilbert, Marcus/A-8936-2013</t>
  </si>
  <si>
    <t>Bertelsen, Mads/0000-0001-9201-7499; Ellenberg, Ursula/0000-0002-3100-6742; Mattern, Thomas/0000-0003-0745-8180; Pacheco, George/0000-0002-9367-6813; Johnson, Kathryn/0000-0001-9771-7718; Pacheco, George/0000-0002-9367-6813; Zhang, Guojie/0000-0001-6860-1521; Masello, Juan Francisco/0000-0002-6826-4016; Strander Sinding, Mikkel Holger/0000-0003-1371-219X; Nupen, Lisa/0000-0003-1030-6057; Quillfeldt, Petra/0000-0002-4450-8688; Argilla, Lisa Shelley/0000-0002-2614-5000; Pan, Hailin/0000-0001-6785-9862; Labuschagne, Kim/0000-0003-2784-4767; Gilbert, Marcus/0000-0002-5805-7195; Ellegaard, Martin Rene/0000-0001-5777-091X; Cole, Theresa/0000-0002-0197-286X; Shepherd, Lara/0000-0002-7136-0017; Fiddaman, Steven/0000-0001-8222-7687</t>
  </si>
  <si>
    <t>National Key R&amp;D Program of China (MOST) [2018YFC1406901]; Science, Technology and Innovation Commission of Shenzhen Municipality [JCYJ20170817150721687, JCYJ20170817150239127]; Otago University postgraduate publishing bursary; Lundbeckfonden [R190-2014-2827]; Carlsbergfondet [CF16-0663]; Villum Foundation [25900]; Strategic Priority Research Programof the Chinese Academy of Science [XDB13000000, XDB31020000]; ERC [681396]; NERC [bas0100035] Funding Source: UKRI</t>
  </si>
  <si>
    <t>National Key R&amp;D Program of China (MOST); Science, Technology and Innovation Commission of Shenzhen Municipality; Otago University postgraduate publishing bursary; Lundbeckfonden(Lundbeckfonden); Carlsbergfondet(Carlsberg Foundation); Villum Foundation(Villum Fonden); Strategic Priority Research Programof the Chinese Academy of Science(Chinese Academy of Sciences); ERC(European Research Council (ERC)); NERC(UK Research &amp; Innovation (UKRI)Natural Environment Research Council (NERC))</t>
  </si>
  <si>
    <t>This project was supported by the National Key R&amp;D Program of China (MOST) grant 2018YFC1406901 and by the Science, Technology and Innovation Commission of Shenzhen Municipality grant No. JCYJ20170817150721687 and JCYJ20170817150239127. T.L.C. was supported by an Otago University postgraduate publishing bursary. G.Z. was supported by the Lundbeckfonden (grant No. R190-2014-2827), Carlsbergfondet (grant No. CF CF16-0663), the Villum Foundation (grant No. 25900), and by the Strategic Priority Research Programof the Chinese Academy of Science (grant No. XDB13000000, XDB31020000). M.T.P.G. was supported by the ERC Consolidator Grant 681396 Extinction Genomics.</t>
  </si>
  <si>
    <t>2047-217X</t>
  </si>
  <si>
    <t>GigaScience</t>
  </si>
  <si>
    <t>giz117</t>
  </si>
  <si>
    <t>10.1093/gigascience/giz117</t>
  </si>
  <si>
    <t>JC4TT</t>
  </si>
  <si>
    <t>WOS:000489271100012</t>
  </si>
  <si>
    <t>Nan, YM; Feng, ZH; Liu, EH; Li, BC</t>
  </si>
  <si>
    <t>Nan, Yaming; Feng, Zhihui; Liu, Enhai; Li, Bincheng</t>
  </si>
  <si>
    <t>Iterative Pointing Angle Calibration Method for the Spaceborne Photon-Counting Laser Altimeter Based on Small-Range Terrain Matching</t>
  </si>
  <si>
    <t>spaceborne laser altimeter; photon-counting; terrain matching; pointing angle calibration; ICESat-2</t>
  </si>
  <si>
    <t>GPS DATA; LIDAR; ICE; VERIFICATION; PERFORMANCE; ANTARCTICA; ALGORITHM; AIRBORNE; SYSTEM; IMAGE</t>
  </si>
  <si>
    <t>The satellite, Ice, Cloud and Land Elevation Satellite-2 (ICESat-2) has been equipped with a new type of spaceborne laser altimeter, which has the benefits of having small footprints and a high repetition rate, and it can produce dense footprints on the ground. Focusing on the pointing angle calibration of this new spaceborne laser altimeter, this paper proposes a fast pointing angle calibration method using only a small range of terrain surveyed by airborne lidar. Based on the matching criterion of least elevation difference, an iterative pointing angle calibration method was proposed. In the experiment, the simulated photon-counting laser altimeter data and the Ice, Cloud and Land Elevation Satellite-2 data were used to verify the algorithm. The results show that when 1 km and 2.5 km lengths of track were used, the pointing angle error after calibration could be reduced to about 0.3 arc-seconds and less than 0.1 arc-seconds, respectively. Meanwhile, compared with the traditional pyramid search method, the proposed iterative pointing angle calibration method does not require well-designed parameters, which are important in the pyramid search method to balance calculation time and calibration result, and the iterative pointing angle calibration method could significantly reduce the calibration time to only about one-fifth of that of the pyramid search method.</t>
  </si>
  <si>
    <t>[Nan, Yaming; Feng, Zhihui; Liu, Enhai] Chinese Acad Sci, Inst Opt &amp; Elect, Chengdu 610209, Sichuan, Peoples R China; [Nan, Yaming; Li, Bincheng] Univ Elect Sci &amp; Technol China, Sch Optoelect Sci &amp; Engn, Chengdu 610054, Sichuan, Peoples R China; [Nan, Yaming; Feng, Zhihui; Liu, Enhai] Univ Chinese Acad Sci, Beijing 100049, Peoples R China; [Nan, Yaming] Pingdingshan Univ, Sch Elect &amp; Mech Engn, Pingdingshan 467000, Peoples R China</t>
  </si>
  <si>
    <t>Chinese Academy of Sciences; Institute of Optics &amp; Electronics, CAS; University of Electronic Science &amp; Technology of China; Chinese Academy of Sciences; University of Chinese Academy of Sciences, CAS; Pingdingshan University</t>
  </si>
  <si>
    <t>Feng, ZH (corresponding author), Chinese Acad Sci, Inst Opt &amp; Elect, Chengdu 610209, Sichuan, Peoples R China.;Feng, ZH (corresponding author), Univ Chinese Acad Sci, Beijing 100049, Peoples R China.</t>
  </si>
  <si>
    <t>nanyaming09@mails.ucas.edu.cn; fengzh@ioe.ac.cn; leh@ioe.ac.cn; bcli@uestc.edu.cn</t>
  </si>
  <si>
    <t>liu, jianyang/JXL-6273-2024</t>
  </si>
  <si>
    <t>National Science Foundation [1557484, 1557319, 1557330]; National Science Foundation (NSF) through the Antarctic Integrated Systems Science award [ANT-1246342]; NASA ROSES UAS-Enabled Earth Science grant [10-UAS10-0021]; Division Of Earth Sciences; Directorate For Geosciences [1557319, 1557484, 1557330] Funding Source: National Science Foundation</t>
  </si>
  <si>
    <t>National Science Foundation(National Science Foundation (NSF)); National Science Foundation (NSF) through the Antarctic Integrated Systems Science award(National Science Foundation (NSF)); NASA ROSES UAS-Enabled Earth Science grant; Division Of Earth Sciences; Directorate For Geosciences(National Science Foundation (NSF)NSF - Directorate for Geosciences (GEO))</t>
  </si>
  <si>
    <t>This work was based on data services provided by the OpenTopography Facility with support from the National Science Foundation under NSF Award Numbers 1557484, 1557319, and 1557330. We thank the 2014-2015 lidar survey of the McMurdo Dry Valleys, Antarctica dataset, which was made possible by the National Science Foundation (NSF) through the Antarctic Integrated Systems Science award ANT-1246342 granted to Andrew G. Fountain, Department of Geology, Portland State University. The data were collected and processed by the NSF National Center for Airborne Laser Mapping (NCALM) and made available through the OpenTopography Facility. Lidar data funding for NCALM was provided by the NASA ROSES UAS-Enabled Earth Science grant #10-UAS10-0021 awarded to Glen, Egger and Ippolito.</t>
  </si>
  <si>
    <t>10.3390/rs11182158</t>
  </si>
  <si>
    <t>JC2IU</t>
  </si>
  <si>
    <t>WOS:000489101500088</t>
  </si>
  <si>
    <t>Papale, M; Lo Giudice, A; Conte, A; Rizzo, C; Rappazzo, AC; Maimone, G; Caruso, G; La Ferla, R; Azzaro, M; Gugliandolo, C; Paranhos, R; Cabral, AS; Spica, VR; Guglielmin, M</t>
  </si>
  <si>
    <t>Papale, Maria; Lo Giudice, Angelina; Conte, Antonella; Rizzo, Carmen; Rappazzo, Alessandro C.; Maimone, Giovanna; Caruso, Gabriella; La Ferla, Rosabruna; Azzaro, Maurizio; Gugliandolo, Concetta; Paranhos, Rodolfo; Cabral, Anderson S.; Spica, Vincenzo Romano; Guglielmin, Mauro</t>
  </si>
  <si>
    <t>Microbial Assemblages in Pressurized Antarctic Brine Pockets (Tarn Flat, Northern Victoria Land): A Hotspot of Biodiversity and Activity</t>
  </si>
  <si>
    <t>brine pockets; hyperthermophiles; sulphur-reducing bacteria; methanogens; metabolic potential</t>
  </si>
  <si>
    <t>MCMURDO DRY VALLEYS; PROKARYOTIC ASSEMBLAGES; PSYCHROBACTER-ARCTICUS; FUNCTIONAL DIVERSITY; BACTERIAL COMMUNITY; ENZYMATIC-ACTIVITY; MARINE VIRUSES; FLOW-CYTOMETRY; BLOOD FALLS; ICE COVER</t>
  </si>
  <si>
    <t>Two distinct pressurized hypersaline brine pockets (named TF4 and TF5), separated by a thin ice layer, were detected below an ice-sealed Antarctic lake. Prokaryotic (bacterial and archaeal) diversity, abundances (including virus-like particles) and metabolic profiles were investigated by an integrated approach, including traditional and new-generation methods. Although similar diversity indices were computed for both Bacteria and Archaea, distinct bacterial and archaeal assemblages were observed. Bacteroidetes and Gammaproteobacteria were more abundant in the shallowest brine pocket, TF4, and Deltaproteobacteria, mainly represented by versatile sulphate-reducing bacteria, dominated in the deepest, TF5. The detection of sulphate-reducing bacteria and methanogenic Archaea likely reflects the presence of a distinct synthrophic consortium in TF5. Surprisingly, members assigned to hyperthermophilic Crenarchaeota and Euryarchaeota were common to both brines, indicating that these cold habitats host the most thermally tolerant Archaea. The patterns of microbial communities were different, coherently with the observed microbiological diversity between TF4 and TF5 brines. Both the influence exerted by upward movement of saline brines from a sub-surface anoxic system and the possible occurrence of an ancient ice remnant from the Ross Ice Shelf were the likely main factors shaping the microbial communities.</t>
  </si>
  <si>
    <t>[Papale, Maria; Lo Giudice, Angelina; Rappazzo, Alessandro C.; Maimone, Giovanna; Caruso, Gabriella; La Ferla, Rosabruna; Azzaro, Maurizio] CNR, Natl Res Council, ISP, Inst Polar Sci, I-98122 Messina, Italy; [Conte, Antonella; Rizzo, Carmen; Gugliandolo, Concetta] Univ Messina, Dept Chem Biol Pharmaceut &amp; Environm Sci, I-98168 Messina, Italy; [Paranhos, Rodolfo; Cabral, Anderson S.] Univ Fed Rio de Janeiro, Inst Biol, BR-21941590 Rio De Janeiro, Brazil; [Spica, Vincenzo Romano] Univ Rome Foro Italico, Publ Hlth Unit, Dept Movement Human &amp; Hlth Sci, Pzza Lauro De Bosis 6, I-00135 Rome, Italy; [Guglielmin, Mauro] Univ Insubria, Dipartimento Sci Teor &amp; Applicate, I-21100 Varese, Italy</t>
  </si>
  <si>
    <t>Consiglio Nazionale delle Ricerche (CNR); Istituto di Scienze Polari (ISP-CNR); University of Messina; Universidade Federal do Rio de Janeiro; Foro Italico University of Rome; University of Insubria</t>
  </si>
  <si>
    <t>Lo Giudice, A (corresponding author), CNR, Natl Res Council, ISP, Inst Polar Sci, I-98122 Messina, Italy.</t>
  </si>
  <si>
    <t>Romano Spica, Vincenzo/V-5718-2019; Rizzo, Carmen/S-6285-2019; Papale, Maria/AAC-6049-2020; azzaro, Maurizio/AAE-6784-2019; Caruso, Gabriella/F-5450-2013; Rizzo, Carmen/AAA-3075-2022; Gugliandolo, Concetta/L-6855-2015</t>
  </si>
  <si>
    <t>azzaro, Maurizio/0000-0001-7885-2340; Caruso, Gabriella/0000-0002-3819-5486; Rizzo, Carmen/0000-0002-4340-3833; la ferla, rosabruna/0000-0003-1029-7349; Gugliandolo, Concetta/0000-0002-9125-3999</t>
  </si>
  <si>
    <t>National Antarctic Research Program (PNRA), Italian Ministry of Education and Research [PNRA 2013/AZ1.05, PNRA 2016_ 00194-A1, PNRA 2018_ 00186-E]; CNR Short Term Mobility (STM AMMCNT.CNR) [0058167-02/09/2015]</t>
  </si>
  <si>
    <t>National Antarctic Research Program (PNRA), Italian Ministry of Education and Research; CNR Short Term Mobility (STM AMMCNT.CNR)</t>
  </si>
  <si>
    <t>This work was supported by grants from the National Antarctic Research Program (PNRA), Italian Ministry of Education and Research (Research Project PNRA 2013/AZ1.05, PNRA 2016_ 00194-A1; PNRA 2018_ 00186-E) and from CNR Short Term Mobility (STM AMMCNT.CNR protocol number 0058167-02/09/2015).</t>
  </si>
  <si>
    <t>10.3390/microorganisms7090333</t>
  </si>
  <si>
    <t>JC2UF</t>
  </si>
  <si>
    <t>WOS:000489131300060</t>
  </si>
  <si>
    <t>Poliukhov, AA; Chubarova, NE; Blinov, DV; Tarasova, TA; Makshtas, AP; Muskatel, H</t>
  </si>
  <si>
    <t>Poliukhov, A. A.; Chubarova, N. E.; Blinov, D. V.; Tarasova, T. A.; Makshtas, A. P.; Muskatel, H.</t>
  </si>
  <si>
    <t>Radiation Effects of Different Types of Aerosol in Eurasia According to Observations and Model Calculations</t>
  </si>
  <si>
    <t>Aerosol; aerosol climatology; climate data; radiation and temperature aerosol effects; COSMO-Ru mesoscale model; CLIRAD(FC05)-SW radiation algorithm</t>
  </si>
  <si>
    <t>AERONET</t>
  </si>
  <si>
    <t>Radiation effects for different types of aerosol on the territory of Eurasia are estimated using modern aerosol climatologies Tegen and MACv2. Differences in the optical properties of aerosol in the mentioned climatologies in different natural zones as compared to the AERONET ground-based observation network are revealed. It is shown that aerosol climatologies reproduce annual variations with good accuracy for continental and mineral aerosol. Differences in the MACv2 are smaller on average than in the Tegen. The CLIRAD(FC05)-SW radiation algorithm was applied to calculate the values of total shortwave radiation using different aerosol climatologies. The errors of calculations are estimated for the selected observation stations. The deviation of the calculation results from measurement data does not exceed 25 W/m(2). The COSMO-Ru mesoscale model is used to analyze the sensitivity of surface air temperature prediction to radiation aerosol effects which varies in the range of 0.7-1.1 degrees C per 100 W/m(2) for different aerosol types.</t>
  </si>
  <si>
    <t>[Poliukhov, A. A.; Chubarova, N. E.] Lomonosov Moscow State Univ, GSP-1, Moscow 119991, Russia; [Poliukhov, A. A.; Blinov, D. V.] Hydrometeorol Res Ctr Russian Federat, Bolshoi Predtechenskii Per 11-13, Moscow 123242, Russia; [Tarasova, T. A.] Natl Inst Space Res, Ctr Weather Forecast &amp; Climat Studies, Rodovia Presidente Dutra,Km 40, BR-12630000 Sao Paulo, Brazil; [Makshtas, A. P.] Arctic &amp; Antarctic Res Inst, Ul Beringa 38, St Petersburg 199397, Russia; [Muskatel, H.] Israel Meteorol Serv, POB 25, IL-5025001 Bet Dagan, Israel</t>
  </si>
  <si>
    <t>Lomonosov Moscow State University; Instituto Nacional de Pesquisas Espaciais (INPE); Arctic &amp; Antarctic Research Institute</t>
  </si>
  <si>
    <t>Poliukhov, AA (corresponding author), Lomonosov Moscow State Univ, GSP-1, Moscow 119991, Russia.;Poliukhov, AA (corresponding author), Hydrometeorol Res Ctr Russian Federat, Bolshoi Predtechenskii Per 11-13, Moscow 123242, Russia.</t>
  </si>
  <si>
    <t>aeromsu@gmail.com</t>
  </si>
  <si>
    <t>Полюхов, Алексей/AAC-4342-2019; Blinov, Denis/AAZ-8611-2021; Poliukhov, Aleksei/F-2771-2014</t>
  </si>
  <si>
    <t>Полюхов, Алексей/0000-0001-6336-3376;</t>
  </si>
  <si>
    <t>Russian Science Foundation [18-17-00149]; Roshydromet Target Research and Development Program; Russian Science Foundation [18-17-00149] Funding Source: Russian Science Foundation</t>
  </si>
  <si>
    <t>Russian Science Foundation(Russian Science Foundation (RSF)); Roshydromet Target Research and Development Program; Russian Science Foundation(Russian Science Foundation (RSF))</t>
  </si>
  <si>
    <t>The research was supported by the Russian Science Foundation (grant 18-17-00149), the set of aerosol and radiation measurements at the Tiksi Hydro meteoro logi cal Observatory was supported by the theme 1.5.3.2 of the Roshydromet Target Research and Development Program.</t>
  </si>
  <si>
    <t>10.3103/S1068373919090012</t>
  </si>
  <si>
    <t>JB9VJ</t>
  </si>
  <si>
    <t>WOS:000488928200001</t>
  </si>
  <si>
    <t>Carducci, F; Biscotti, MA; Forconi, M; Barucca, M; Canapa, A</t>
  </si>
  <si>
    <t>Carducci, Federica; Biscotti, Maria Assunta; Forconi, Mariko; Barucca, Marco; Canapa, Adriana</t>
  </si>
  <si>
    <t>An intriguing relationship between teleost Rex3 retroelement and environmental temperature</t>
  </si>
  <si>
    <t>BIOLOGY LETTERS</t>
  </si>
  <si>
    <t>transposons; Rex elements; teleost; environment</t>
  </si>
  <si>
    <t>TRANSPOSABLE ELEMENTS; GENOME; EVOLUTION; IMPACT; DNA; DIVERSITY</t>
  </si>
  <si>
    <t>The movement and accumulation of transposable elements (TEs) exert a great influence on the host genome, e.g. determining architecture and genome size, providing a substrate for homologous recombination and DNA rearrangements. TEs are also known to be responsive and susceptible to environmental changes. However, the correlation between environmental conditions and the sequence evolution of TEs is still an unexplored field of research. Among vertebrates, teleosts represent a successful group of animals adapted to a wide range of different environments and their genome is constituted by a rich repertoire of TEs. The Rex3 retroelement is a lineage-specific non-LTR retrotransposon and thus represents a valid candidate for performing comparative sequence analyses between species adapted to diverse temperature conditions. Partial reverse transcriptase sequences of the Rex3 retroelement belonging to 39 species of teleosts were investigated through phylogenetic analysis to evaluate whether the species' adaptation to different environments led to the evolution of different Rex3 temperature-related variants. Our findings highlight an intriguing behaviour of the analysed sequences, showing clustering of Rex3 sequences isolated from species living in cold waters (Arctic and Antarctic regions and cold waters of temperate regions) compared with those isolated from species living in warm waters. This is the first evidence to our knowledge of a correlation between environmental temperature and Rex3 retroelement evolution.</t>
  </si>
  <si>
    <t>[Carducci, Federica; Biscotti, Maria Assunta; Forconi, Mariko; Barucca, Marco; Canapa, Adriana] Univ Politecn Marche, Dipartimento Sci Vita &amp; Ambiente, Via Brecce Bianche, I-60131 Ancona, Italy</t>
  </si>
  <si>
    <t>Marche Polytechnic University</t>
  </si>
  <si>
    <t>Barucca, M (corresponding author), Univ Politecn Marche, Dipartimento Sci Vita &amp; Ambiente, Via Brecce Bianche, I-60131 Ancona, Italy.</t>
  </si>
  <si>
    <t>m.barucca@univpm.it</t>
  </si>
  <si>
    <t>; Carducci, Federica/M-2193-2018</t>
  </si>
  <si>
    <t>CANAPA, Adriana/0000-0001-8087-9331; Carducci, Federica/0000-0002-3985-7998; BARUCCA, MARCO/0000-0002-0869-3214; BISCOTTI, MARIA ASSUNTA/0000-0003-3114-240X</t>
  </si>
  <si>
    <t>Ministero della Ricerca e dell'Istruzione [468-2014, 491-2015]</t>
  </si>
  <si>
    <t>Ministero della Ricerca e dell'Istruzione</t>
  </si>
  <si>
    <t>This work was supported by a grant from Ministero della Ricerca e dell'Istruzione, project nos: 468-2014 and 491-2015.</t>
  </si>
  <si>
    <t>1744-9561</t>
  </si>
  <si>
    <t>1744-957X</t>
  </si>
  <si>
    <t>BIOL LETTERS</t>
  </si>
  <si>
    <t>Biol. Lett.</t>
  </si>
  <si>
    <t>10.1098/rsbl.2019.0279</t>
  </si>
  <si>
    <t>Biology; Ecology; Evolutionary Biology</t>
  </si>
  <si>
    <t>Life Sciences &amp; Biomedicine - Other Topics; Environmental Sciences &amp; Ecology; Evolutionary Biology</t>
  </si>
  <si>
    <t>JB5BQ</t>
  </si>
  <si>
    <t>WOS:000488576000004</t>
  </si>
  <si>
    <t>Lippl, S; Friedl, P; Kittel, C; Marinsek, S; Seehaus, TC; Braun, MH</t>
  </si>
  <si>
    <t>Lippl, Stefan; Friedl, Peter; Kittel, Christoph; Marinsek, Sebastian; Seehaus, Thorsten C.; Braun, Matthias H.</t>
  </si>
  <si>
    <t>Spatial and Temporal Variability of Glacier Surface Velocities and Outlet Areas on James Ross Island, Northern Antarctic Peninsula</t>
  </si>
  <si>
    <t>James Ross Island; Antarctic Peninsula; glacier velocities; glacier area changes</t>
  </si>
  <si>
    <t>WORDIE ICE SHELF; MASS-BALANCE; CLIMATE-CHANGE; MODEL; DYNAMICS; COLLAPSE; LAND; TEMPERATURE; TRIBUTARY; EVOLUTION</t>
  </si>
  <si>
    <t>The northern Antarctic Peninsula was affected by a significant warming over the second half of the 20th century and the collapse of several ice shelves. Local climate conditions on James Ross Island on the northeastern coast can differ strongly from the main part of the Antarctic Peninsula. This paper reports the spatial and temporal variability of glacier surface velocities and the area of their outlets throughout James Ross Island, and evaluates potential relationships with atmospheric and oceanic conditions. Velocity estimates were retrieved from intensity feature tracking of scenes from satellite synthetic aperture radar sensors TerraSAR-X and TanDEM-X between 2014 and 2018, which were validated against ground observations. Calving front positions back to 1945 were used to calculate outlet area changes for the glaciers by using a common-box approach. The annual recession rates of almost all investigated glacier calving fronts decelerated for the time periods 2009-2014 and 2014-2018 in comparison to the period 1988-2009, but their velocity patterns differed. Analysis of atmospheric conditions failed to explain the different patterns in velocity and area changes. We suggest a strong influence from local bathymetric conditions. Future investigations of the oceanic conditions would be necessary for a profound understanding of the super-position of different influencing factors.</t>
  </si>
  <si>
    <t>[Lippl, Stefan; Friedl, Peter; Seehaus, Thorsten C.; Braun, Matthias H.] Friedrich Alexander Univ Erlangen Nurnberg, Inst Geog, Wetterkreuz 15, D-91052 Erlangen, Germany; [Kittel, Christoph] Univ Liege, Dept Geog, 3 Clos Mercator,Bat B11, B-4000 Liege, Belgium; [Marinsek, Sebastian] Inst Antartico Argentino, 25 Mayo 1143, RA-1650 San Martin, Argentina</t>
  </si>
  <si>
    <t>University of Erlangen Nuremberg; University of Liege; Instituto Antartico Argentino</t>
  </si>
  <si>
    <t>Lippl, S (corresponding author), Friedrich Alexander Univ Erlangen Nurnberg, Inst Geog, Wetterkreuz 15, D-91052 Erlangen, Germany.</t>
  </si>
  <si>
    <t>stefan.lipp1@fau.de</t>
  </si>
  <si>
    <t>Braun, Matthias H/S-4693-2016; Friedl, Peter/HTL-2333-2023; Braun, Matthias/A-4968-2009</t>
  </si>
  <si>
    <t>Friedl, Peter/0009-0000-9891-6655; Seehaus, Thorsten/0000-0001-5055-8959; Lippl-Seifert, Stefan/0000-0003-0312-0051; Braun, Matthias/0000-0001-5169-1567; Kittel, Christoph/0000-0001-6586-9784</t>
  </si>
  <si>
    <t>Deutsche Forschungsgemeinschaft (DFG) [BR 2105/9-1, BR 2105/13-1]; HGF Alliance  Remote Sensing of Earth System Dynamics; DLR/BMWi grant GEKKO [50EE1544]; 'Balance de masa y dinamica de glaciares en la Peninsula Antartica' from Instituto Antartico Argentino [4032]; DLR TerraSAR-X Background Mission Antarctic Peninsula and Ice Shelves, TSX AO [LAN0013]; TanDEM-X Mission [TDX AO XTI_GLAC0264]; NASA; USGS</t>
  </si>
  <si>
    <t>Deutsche Forschungsgemeinschaft (DFG)(German Research Foundation (DFG)); HGF Alliance  Remote Sensing of Earth System Dynamics; DLR/BMWi grant GEKKO; 'Balance de masa y dinamica de glaciares en la Peninsula Antartica' from Instituto Antartico Argentino; DLR TerraSAR-X Background Mission Antarctic Peninsula and Ice Shelves, TSX AO; TanDEM-X Mission; NASA(National Aeronautics &amp; Space Administration (NASA)); USGS(United States Geological Survey)</t>
  </si>
  <si>
    <t>This study was funded by the Deutsche Forschungsgemeinschaft (DFG) in the framework of the priority programme Antarctic Research with comparative investigations in Arctic ice areas by grants to M.H.B. (BR 2105/9-1 and BR 2105/13-1). We would like to thank the HGF Alliance  Remote Sensing of Earth System Dynamics for additional support. TS was financially supported by the DLR/BMWi grant GEKKO (50EE1544). Costs covered by our Argentinian partner were funded by the project from 'Balance de masa y dinamica de glaciares en la Peninsula Antartica' from Instituto Antartico Argentino. Access to satellite data was kindly provided by various space agencies, e. g., under ESA AO 4032, DLR TerraSAR-X Background Mission Antarctic Peninsula and Ice Shelves, TSX AO LAN0013, TanDEM-X Mission TDX AO XTI_GLAC0264, ASF, and GLIMS as well as NASA and USGS.</t>
  </si>
  <si>
    <t>10.3390/geosciences9090374</t>
  </si>
  <si>
    <t>JA2GF</t>
  </si>
  <si>
    <t>Green Submitted, gold, Green Published</t>
  </si>
  <si>
    <t>WOS:000487634500027</t>
  </si>
  <si>
    <t>Davis, WJ; Taylor, PJ; Davis, WB</t>
  </si>
  <si>
    <t>Davis, W. Jackson; Taylor, Peter J.; Davis, W. Barton</t>
  </si>
  <si>
    <t>The Origin and Propagation of the Antarctic Centennial Oscillation</t>
  </si>
  <si>
    <t>CLIMATE</t>
  </si>
  <si>
    <t>Antarctic Circumpolar Current; Antarctic Circumpolar Vortex; Antarctic drill sites; Antarctic Oscillation; anthropogenic global warming; climate policy; Holocene; ice cores; Last Glacial Maximum; Last Glacial Termination; natural climate cycle; natural global warming; relaxation oscillation; Southern Annular Mode; stable isotope temperature proxies; teleconnection</t>
  </si>
  <si>
    <t>SOUTHERN ANNULAR MODE; MADDEN-JULIAN OSCILLATION; BOTTOM WATER PRODUCTION; LAST GLACIAL MAXIMUM; ATLANTIC DEEP-WATER; NORTH-ATLANTIC; ICE-SHEET; SEA-ICE; ATMOSPHERIC CO2; WEDDELL SEA</t>
  </si>
  <si>
    <t>The Antarctic Centennial Oscillation (ACO) is a paleoclimate temperature cycle that originates in the Southern Hemisphere, is the presumptive evolutionary precursor of the contemporary Antarctic Oscillation (AAO), and teleconnects to the Northern Hemisphere to influence global temperature. In this study we investigate the internal climate dynamics of the ACO over the last 21 millennia using stable water isotopes frozen in ice cores from 11 Antarctic drill sites as temperature proxies. Spectral and time series analyses reveal that ACOs occurred at all 11 sites over all time periods evaluated, suggesting that the ACO encompasses all of Antarctica. From the Last Glacial Maximum through the Last Glacial Termination (LGT), ACO cycles propagated on a multicentennial time scale from the East Antarctic coastline clockwise around Antarctica in the streamline of the Antarctic Circumpolar Current (ACC). The velocity of teleconnection (VT) is correlated with the geophysical characteristics of drill sites, including distance from the ocean and temperature. During the LGT, the VT to coastal sites doubled while the VT to inland sites decreased fourfold, correlated with increasing solar insolation at 65 degrees N. These results implicate two interdependent mechanisms of teleconnection, oceanic and atmospheric, and suggest possible physical mechanisms for each. During the warmer Holocene, ACOs arrived synchronously at all drill sites examined, suggesting that the VT increased with temperature. Backward extrapolation of ACO propagation direction and velocity places its estimated geographic origin in the Southern Ocean east of Antarctica, in the region of the strongest sustained surface wind stress over any body of ocean water on Earth. ACO period is correlated with all major cycle parameters except cycle symmetry, consistent with a forced, undamped oscillation in which the driving energy affects all major cycle metrics. Cycle period and symmetry are not discernibly different for the ACO and AAO over the same time periods, suggesting that they are the same climate cycle. We postulate that the ACO/AAO is generated by relaxation oscillation of Westerly Wind velocity forced by the equator-to-pole temperature gradient and propagated regionally by identified air-sea-ice interactions.</t>
  </si>
  <si>
    <t>[Davis, W. Jackson] Univ Calif Santa Cruz, Div Phys &amp; Biol Sci, Santa Cruz, CA 95064 USA; [Davis, W. Jackson; Taylor, Peter J.; Davis, W. Barton] Environm Studies Inst, Santa Cruz, CA 95062 USA</t>
  </si>
  <si>
    <t>University of California System; University of California Santa Cruz</t>
  </si>
  <si>
    <t>Davis, WJ (corresponding author), Univ Calif Santa Cruz, Div Phys &amp; Biol Sci, Santa Cruz, CA 95064 USA.;Davis, WJ (corresponding author), Environm Studies Inst, Santa Cruz, CA 95062 USA.</t>
  </si>
  <si>
    <t>JacksonDavis@EnvironmentalStudiesInstitute.org</t>
  </si>
  <si>
    <t>Davis, Jackson/0000-0003-2944-8346; Taylor, Peter/0000-0002-1699-2150</t>
  </si>
  <si>
    <t>University of California at Santa Cruz; Environmental Studies Institute in Santa Cruz, CA, USA</t>
  </si>
  <si>
    <t>This research was supported generally by the University of California at Santa Cruz and the Environmental Studies Institute, a non-profit (501)(3)(c) corporation based in Santa Cruz, CA, USA. We thank Jean Jouzel for providing the EPICA Dome B temperature-proxy data used in this analysis and for additional valued assistance. Robert G. Plantz read portions of the manuscript and provided helpful feedback. We are grateful to the thousands of Antarctic scientists and staff for their extensive field and laboratory work performed under difficult circumstances to produce the data on which this study is based, and to the online sources, including particularly the World Data Center for Paleoclimatology (WDCP) of the U.S. National Oceanic and Atmospheric Administration (NOAA), that make these data accessible to the public and without which this research could not have been conducted. Tax-deductible contributions to the research of the Environmental Studies Institute may be made through its website, www.EnvironmentalStudiesInstitute.org.</t>
  </si>
  <si>
    <t>2225-1154</t>
  </si>
  <si>
    <t>Climate</t>
  </si>
  <si>
    <t>10.3390/cli7090112</t>
  </si>
  <si>
    <t>JA7FZ</t>
  </si>
  <si>
    <t>WOS:000488008500006</t>
  </si>
  <si>
    <t>Nunes, S; Latasa, M; Delgado, M; Emelianov, M; Simó, R; Estrada, M</t>
  </si>
  <si>
    <t>Nunes, Sdena; Latasa, Mikel; Delgado, Maximino; Emelianov, Mikhail; Simo, Rafel; Estrada, Marta</t>
  </si>
  <si>
    <t>Phytoplankton community structure in contrasting ecosystems of the Southern Ocean: South Georgia, South Orkneys and western Antarctic Peninsula</t>
  </si>
  <si>
    <t>Southern ocean; Phytoplankton distribution; Microscopy; HPLC; CHEMTAX; Pigments; Dimethylated sulfur</t>
  </si>
  <si>
    <t>ICE-ZONE WEST; LATE SUMMER; DIMETHYLSULFIDE DMS; ATMOSPHERIC SULFUR; CLASS ABUNDANCES; MIXED-LAYER; SEA-ICE; CHLOROPHYLL; WATERS; IRON</t>
  </si>
  <si>
    <t>The relationships between taxonomy and distribution of the phytoplankton and environmental parameters were studied in four contrasting zones (North of the South Orkney Islands = NSO, Southeast of the South Orkney Islands = SSO, Northwest of South Georgia = NSG and West of Anvers = WA) of the Atlantic sector of the Southern Ocean, during the PEGASO cruise of the BIO Hesperides (January-February 2015). The structure of the phytoplankton community was determined by microscopic examination and by pigment analyses using high-performance liquid chromatography (HPLC) followed by application of the CHEMTAX algorithm. Overall, a statistically significant association was found between fluorometric and HPLC determinations of chlorophyll a, and between chemotaxonomic and microscopy-derived estimates of the contribution of diatoms, dinoflagellates and cryptophytes, although cryptophytes appeared to be underestimated by the microscopic observations. The highest average levels of fluorometric chlorophyll a (517 mg m(-2)) were found at NSG, followed by WA (132 mg m-2), NSO (120 mg m-2) and SSO (34 mg m-2). The phytoplankton community at NSG was dominated by diatoms like Eucampia antarctica and Thalassiosira spp. Cryptophytes and diatoms (mainly Corethron pen nation, small Thalassiosira spp. and Fragilariopsis spp.) were the most abundant chemotaxonomic groups at NSO, followed by haptophytes types 6 + 7, Phaeocystis-like (haptophytes type 8) and, especially in the deeper levels of the euphotic zone, pelagophytes. At SSO, the most important groups were haptophytes types 6 + 7, followed by diatoms (with a combination of taxa similar to that of NSO), Phaeocystis-like and pelagophytes. The main CHEMTAX groups at WA were cryptophytes (between surface and about 40 m depth), haptophytes types 6 + 7 and diatoms. The ratio between the photoprotective pigment diadinoxanthin and the sum of the light harvesting pigments of diadinoxanthin-containing phytoplankton (sum of 19'-butanoyloxyfucoxanthin, 19'-hexanoyloxyfucoxanthin, fucoxanthin and peridinin) was highest at SSO, indicating exposure to a high irradiance environment, and presented a significant positive correlation with the euphotic zone depth. The ratios of the algal osmolyte dimethylsulfoniopropionate and the trace gas dimethylsulfide to chlorophyll a showed the same pattern across zones, highlighting the role of light-related ecophysiology in combination with taxonomy in regulating the production of dimethylated sulfur by plankton communities.</t>
  </si>
  <si>
    <t>[Nunes, Sdena; Delgado, Maximino; Emelianov, Mikhail; Simo, Rafel; Estrada, Marta] CSIC, Inst Ciencies Mar, Pg Maritim Barceloneta 37-49, E-08003 Barcelona, Catalunya, Spain; [Latasa, Mikel] Ctr Oceanog Gijon Xixon IEO, Avda Principe Asturias 70bis, Gijon Xixon 33212, Asturias, Spain</t>
  </si>
  <si>
    <t>Consejo Superior de Investigaciones Cientificas (CSIC); CSIC - Centro Mediterraneo de Investigaciones Marinas y Ambientales (CMIMA); CSIC - Instituto de Ciencias del Mar (ICM)</t>
  </si>
  <si>
    <t>Nunes, S; Estrada, M (corresponding author), CSIC, Inst Ciencies Mar, Pg Maritim Barceloneta 37-49, E-08003 Barcelona, Catalunya, Spain.</t>
  </si>
  <si>
    <t>sdena@icm.csic.es; mikel.latasa@ieo.es; mdelgadom9@hotmail.com; mikhail@icm.csic.es; rsimo@icm.csic.es; marta@icm.csic.es</t>
  </si>
  <si>
    <t>Latasa, Mikel/D-2202-2011; Emelianov, Mikhail/M-1400-2014</t>
  </si>
  <si>
    <t>Latasa, Mikel/0000-0002-8202-0923; Simo, Rafel/0000-0003-3276-7663; Emelianov, Mikhail/0000-0002-1459-2911</t>
  </si>
  <si>
    <t>Spanish Ministry of Economy and Competitivity through project PEGASO [CTM2012-37615]; National Council of Technological and Scientific Development (CNPq) of Brazil</t>
  </si>
  <si>
    <t>Spanish Ministry of Economy and Competitivity through project PEGASO; National Council of Technological and Scientific Development (CNPq) of Brazil(Conselho Nacional de Desenvolvimento Cientifico e Tecnologico (CNPQ))</t>
  </si>
  <si>
    <t>The cruise was funded by the Spanish Ministry of Economy and Competitivity through project PEGASO (CTM2012-37615). S. N. was supported with a doctoral fellowship from the National Council of Technological and Scientific Development (CNPq) of Brazil. We thank Marti Gall for providing daily satellite imagery. We are grateful to the captain and crew of the BIO Hesperides, the technicians and researchers that participated in the cruise and the Unidad de Tecnologia Marina (UTM) of the CSIC for their valuable help during the cruise. The authors thank Mara Abad for nutrient analyses and Carmen Cabeza for her great help with HPLC sample processing.</t>
  </si>
  <si>
    <t>10.1016/j.dsr.2019.06.005</t>
  </si>
  <si>
    <t>JA9AD</t>
  </si>
  <si>
    <t>WOS:000488141500003</t>
  </si>
  <si>
    <t>Zuev, VV; Savelieva, E</t>
  </si>
  <si>
    <t>Zuev, Vladimir V.; Savelieva, Ekaterina</t>
  </si>
  <si>
    <t>The cause of the spring strengthening of the Antarctic polar vortex</t>
  </si>
  <si>
    <t>DYNAMICS OF ATMOSPHERES AND OCEANS</t>
  </si>
  <si>
    <t>Springtime ozone depletion; Stratospheric polar vortices; Subtropical stratosphere; Brewer-Dobson circulation</t>
  </si>
  <si>
    <t>OZONE DEPLETION; NORTHERN-HEMISPHERE; CIRCULATION; ERUPTION</t>
  </si>
  <si>
    <t>The stratospheric polar vortex strengthening from late winter to spring plays a crucial role in polar ozone depletion. The Arctic polar vortex reaches its peak intensity in mid-winter, whereas the Antarctic vortex usually strengthens in early spring. As a result, the strong ozone depletion is observed every year over the Antarctic, while over the Arctic short-term ozone loss occasionally occurs in late winter or early spring. However, the cause of such a difference in the life cycles of the Arctic and Antarctic polar vortices is still not completely clear. Based on the ERA-Interim reanalysis data, we show a high agreement between the seasonal variations of temperature in the subtropical lower stratosphere and zonal wind in the subpolar and polar lower stratosphere in the Southern Hemisphere. Thus, the spring strengthening of the Antarctic polar vortex can occur due to the seasonal temperature increase in the subtropical lower stratosphere in this period.</t>
  </si>
  <si>
    <t>[Zuev, Vladimir V.; Savelieva, Ekaterina] Russian Acad Sci, Inst Monitoring Climat &amp; Ecol Syst, Siberian Branch, Tomsk, Russia</t>
  </si>
  <si>
    <t>Institute of Monitoring of Climatic &amp; Ecological Systems of the Siberian Branch of the RAS; Russian Academy of Sciences</t>
  </si>
  <si>
    <t>Savelieva, E (corresponding author), Russian Acad Sci, Inst Monitoring Climat &amp; Ecol Syst, Siberian Branch, Tomsk, Russia.</t>
  </si>
  <si>
    <t>vzuev@list.ru; ekat.savelieva@gmail.com</t>
  </si>
  <si>
    <t>Zuev, Vladimir Vladimirovich/E-5470-2014; Savelieva, Ekaterina S/E-4782-2014; Savelieva, Ekaterina/HCH-5908-2022</t>
  </si>
  <si>
    <t>Savelieva, Ekaterina S/0000-0002-6560-7386;</t>
  </si>
  <si>
    <t>0377-0265</t>
  </si>
  <si>
    <t>1872-6879</t>
  </si>
  <si>
    <t>DYNAM ATMOS OCEANS</t>
  </si>
  <si>
    <t>Dyn. Atmos. Oceans</t>
  </si>
  <si>
    <t>10.1016/j.dynatmoce.2019.101097</t>
  </si>
  <si>
    <t>Geochemistry &amp; Geophysics; Meteorology &amp; Atmospheric Sciences; Oceanography</t>
  </si>
  <si>
    <t>JA8YR</t>
  </si>
  <si>
    <t>WOS:000488137700004</t>
  </si>
  <si>
    <t>Thomas, SAL; Sanchez, A; Kee, Y; Wilson, NG; Baker, BJ</t>
  </si>
  <si>
    <t>Thomas, Santana A. L.; Sanchez, Anthony; Kee, Younghoon; Wilson, Nerida G.; Baker, Bill J.</t>
  </si>
  <si>
    <t>Bathyptilones: Terpenoids from an Antarctic Sea Pen, Anthoptilum grandiflorum (Verrill, 1879)</t>
  </si>
  <si>
    <t>briarane diterpene; cytotoxicity screening; deep sea; pennatulacea; marine natural products</t>
  </si>
  <si>
    <t>SPONGE KIRKPATRICKIA-VARIALOSA; DITERPENOIDS; ALKALOIDS; GENE</t>
  </si>
  <si>
    <t>An Antarctic coral belonging to the order Pennatulacea, collected during the 2013 austral autumn by trawl from 662 to 944 m depth, has yielded three new briarane diterpenes, bathyptilone A-C (1-3) along with a trinorditerpene, enbepeanone A (4), which bears a new carbon skeleton. Structure elucidation was facilitated by one- and two-dimensional NMR spectroscopy, mass spectrometry and confirmed by X-ray crystallography. The three compounds were screened in four cancer cell lines. Bathyptilone A displayed selective nanomolar cytotoxicity against the neurogenic mammalian cell line Ntera-2.</t>
  </si>
  <si>
    <t>[Thomas, Santana A. L.; Baker, Bill J.] Univ S Florida, Dept Chem, Tampa, FL 33620 USA; [Sanchez, Anthony; Kee, Younghoon] Univ S Florida, Dept Cellular Microbiol &amp; Mol Biol, Tampa, FL 33620 USA; [Wilson, Nerida G.] Western Australian Museum, Perth, WA 6106, Australia; [Wilson, Nerida G.] Univ Western Australia, Perth, WA 6106, Australia</t>
  </si>
  <si>
    <t>State University System of Florida; University of South Florida; State University System of Florida; University of South Florida; Western Australian Museum; University of Western Australia</t>
  </si>
  <si>
    <t>Baker, BJ (corresponding author), Univ S Florida, Dept Chem, Tampa, FL 33620 USA.</t>
  </si>
  <si>
    <t>bjbaker@usf.edu</t>
  </si>
  <si>
    <t>Kee, Younghoon/J-4107-2019; Wilson, Nerida G./AAC-1456-2019; Baker, Bill/N-4312-2019; Wilson, Nerida/G-8433-2011</t>
  </si>
  <si>
    <t>Wilson, Nerida/0000-0002-0784-0200; Sanchez, Anthony/0000-0002-9353-6220; Baker, Bill/0000-0003-3033-5779</t>
  </si>
  <si>
    <t>Antarctic Organisms and Ecosystems program of the National Science Foundation [ANT-1043749, ANT-0838776, PLR-1341339]; ACE expedition (ACE Foundation); ACE expedition (Ferring Pharmaceuticals)</t>
  </si>
  <si>
    <t>Antarctic Organisms and Ecosystems program of the National Science Foundation; ACE expedition (ACE Foundation); ACE expedition (Ferring Pharmaceuticals)</t>
  </si>
  <si>
    <t>Funding for this project was provided by grants ANT-1043749 (N.G.W.), ANT-0838776 and PLR-1341339 (to B.J.B.), from the Antarctic Organisms and Ecosystems program of the National Science Foundation, and the ACE expedition (carried out by the Swiss Polar Institute, supported by the ACE Foundation and Ferring Pharmaceuticals).</t>
  </si>
  <si>
    <t>10.3390/md17090513</t>
  </si>
  <si>
    <t>JA6NS</t>
  </si>
  <si>
    <t>WOS:000487959700049</t>
  </si>
  <si>
    <t>Ivanova, E; Murdmaa, I; de Vernal, A; Risebrobakken, B; Peyve, A; Brice, C; Seitkalieva, E; Pisarev, S</t>
  </si>
  <si>
    <t>Ivanova, Elena; Murdmaa, Ivar; de Vernal, Anne; Risebrobakken, Bjorg; Peyve, Alexander; Brice, Camille; Seitkalieva, Elvira; Pisarev, Sergey</t>
  </si>
  <si>
    <t>Postglacial paleoceanography and paleoenvironments in the northwestern Barents Sea</t>
  </si>
  <si>
    <t>diamicton; foraminifers; dinocysts; stable isotopes; diachronous deglaciation; Atlantic Water; iceberg calving</t>
  </si>
  <si>
    <t>HIGH-RESOLUTION RECORD; ICE-SHEET; NORTHERN BARENTS; ATLANTIC WATER; LATE QUATERNARY; ARCTIC-OCEAN; HOLOCENE PALEOCEANOGRAPHY; FRESH-WATER; BENTHIC FORAMINIFERA; CONTINENTAL-SHELF</t>
  </si>
  <si>
    <t>The Barents Sea offers a suitable location for documenting advection of warm and saline Atlantic Water (AW) into the Arctic and its impact on deglaciation and postglacial conditions. We investigate the timing, succession, and mechanisms of the transition from proximal glaciomarine to marine environment in the northwestern Barents Sea. Two studied sediment cores demonstrate diachronous retreat of the grounded ice sheet from the Kvitoya Trough (core S2528) to Erik Eriksen Trough (core S2519). Oxygen isotope records from core S2528 depict a two-step pattern, with lower delta O-18 values prior to the Younger Dryas (YD), and higher values afterward because of advection of the more saline, O-18-enriched AW. At this location, subsurface AW penetration increased during the Allerod and YD/Preboreal transition. In the study area, foraminiferal and dinocyst data from the YD interval suggest cold conditions, extensive sea-ice cover, and brine formation, along with the flow of chilled AW at subsurface and the development of a high-productivity polynya in the Erik Eriksen Trough. Dense winter sea-ice cover with seasonal productivity persisted in the Kvitoya Trough area during the early Holocene, whereas surface warming seems to have occurred during the middle Holocene interval.</t>
  </si>
  <si>
    <t>[Ivanova, Elena; Murdmaa, Ivar; Seitkalieva, Elvira; Pisarev, Sergey] Russian Acad Sci, Shirshov Inst Oceanol, Moscow 117997, Russia; [de Vernal, Anne; Brice, Camille] Univ Quebec Montreal, Geotop, Montreal, PQ H3C 3P8, Canada; [Risebrobakken, Bjorg] Bjerknes Ctr Climate Res, NORCE Norwegian Res Ctr, N-5007 Bergen, Norway; [Peyve, Alexander] Russian Acad Sci, Geol Inst, Moscow 119017, Russia</t>
  </si>
  <si>
    <t>Russian Academy of Sciences; Shirshov Institute of Oceanology; University of Quebec; University of Quebec Montreal; Bjerknes Centre for Climate Research; Norwegian Research Centre (NORCE); Russian Academy of Sciences; Geological Institute, Russian Academy of Sciences</t>
  </si>
  <si>
    <t>Ivanova, E (corresponding author), Russian Acad Sci, Shirshov Inst Oceanol, Moscow 117997, Russia.</t>
  </si>
  <si>
    <t>de Vernal, Anne/D-5602-2013; Pisarev, Sergey/C-8361-2017; Risebrobakken, Bjørg/Y-1551-2018; Ivanova, Elena/AAW-2881-2020</t>
  </si>
  <si>
    <t>Pisarev, Sergey/0000-0001-7445-1507; Ivanova, Elena/0000-0003-3926-0590</t>
  </si>
  <si>
    <t>Russian Federation [0149-2019-0007]; Russian Science Foundation [14-50-00095]; Natural Sciences and Engineering Research Council of Canada; Fonds de recherche du Quebec-Nature et Technologies; Arctic and Antarctic Research Institute, St. Petersburg [OSL 14-09, OSL 15-08]</t>
  </si>
  <si>
    <t>Russian Federation(Russian Federation); Russian Science Foundation(Russian Science Foundation (RSF)); Natural Sciences and Engineering Research Council of Canada(Natural Sciences and Engineering Research Council of Canada (NSERC)CGIAR); Fonds de recherche du Quebec-Nature et Technologies(Fonds de recherche du Quebec (FRQ)Fonds de recherche du Quebec - Nature et technologies (FRQNT)); Arctic and Antarctic Research Institute, St. Petersburg</t>
  </si>
  <si>
    <t>We are thankful to V. Lavrushin and E. Radionova for providing core material to this study; E. Krylova for mollusk identification prior to dating; and U. Ninnemann, C. Hillaire-Marcel, L. Polyak, R. Spielhagen, and M.-A. Sicre for fruitful discussions. E. Ovsepyan and L. R. Bradley are acknowledged for their assistance with Cassidula species identification and performance of the Bayesian modeling, respectively. Y. Ovsepyan, N. Chistyakova, A. Ivanov, E. Platonova, O. Ivanova, and O. Volkova worked hard to pick foraminifers for stable isotope and AMS-14C measurements from mostly terrigenous sediments; V. Kravtsov carried out CaCO3/TOC measurements; E. Kandiano helped with submission of samples to the Leibnitz Laboratory; M. Kornilova assisted with drawing the figures. We are grateful to M. Henry and J.-F. Helie (Geotop) for their help with palynological preparation and isotopic analyses of foraminifers. Special thanks are also extended to J. Studholme for the significant English editing and helpful comments. Four anonymous reviewers, associate editor L. Bradtmiller, and senior editor D. Booth are acknowledged for their critical suggestions that helped to improve the manuscript. This work was partially supported by the Russian Federation state assignment no. 0149-2019-0007 (EI and IM), Russian Science Foundation grant no. 14-50-00095 (funding of the AMS-14C dating at Poznan Laboratory), and by the Natural Sciences and Engineering Research Council of Canada and the Fonds de recherche du Quebec-Nature et Technologies. Some foraminiferal specimens from diamicton were additionally studied under the Olympus camera at Otto Schmidt Laboratory of marine and polar investigations of the Arctic and Antarctic Research Institute, St. Petersburg (grants OSL 14-09 and OSL 15-08).</t>
  </si>
  <si>
    <t>PII S0033589419000188</t>
  </si>
  <si>
    <t>10.1017/qua.2019.18</t>
  </si>
  <si>
    <t>IZ7YM</t>
  </si>
  <si>
    <t>WOS:000487316500012</t>
  </si>
  <si>
    <t>Li, XY; Xu, J; Cheng, TH; Shi, HL; Zhang, XY; Ge, SL; Wang, HM; Zhu, SY; Miao, J; Luo, Q</t>
  </si>
  <si>
    <t>Li, Xiaoying; Xu, Jian; Cheng, Tianhai; Shi, Hailiang; Zhang, Xingying; Ge, Shule; Wang, Hongmei; Zhu, Songyan; Miao, Jing; Luo, Qi</t>
  </si>
  <si>
    <t>Monitoring Trace Gases over the Antarctic Using Atmospheric Infrared Ultraspectral Sounder Onboard GaoFen-5: Algorithm Description and First Retrieval Results of O3, H2O, and HCl</t>
  </si>
  <si>
    <t>AIUS; occultation; retrieval algorithm; microwindows; ozone</t>
  </si>
  <si>
    <t>TROPOSPHERIC EMISSION SPECTROMETER; COLLISION-INDUCED ABSORPTION; REGULARIZATION METHODS; MU-M; MODEL; INSTRUMENT; MIPAS; AURA</t>
  </si>
  <si>
    <t>AIUS (Atmospheric Infrared Ultraspectral Sounder) is an infrared occultation spectrometer onboard the Chinese GaoFen-5 satellite, which covers a spectral range of 2.4-13.3 mu m (750-4100 cm(-1)) with a spectral resolution of about 0.02 cm(-1). AIUS was designed to measure and to study the chemical processes of ozone (O-3) and other trace gases in the upper troposphere and stratosphere over the Antarctic. In this study, the AIUS retrieval methodology is described. A comparison between AIUS measurements and simulated spectra illustrates that AIUS measurements agree well with the simulated spectra. To first evaluate the reliability of the AIUS retrieval algorithm, three retrieval O-3 experiments were performed based on ACE-FTS (Atmospheric Chemistry Experiment-Fourier transform spectrometer) observed spectra. A comparison with the ACE-FTS official products shows that the relative difference of these three retrieval experiments was mostly within 10% between 20 and 70 km. These retrieval experiments demonstrate that the retrieval algorithm described in this study provided reliable results and reliably. Furthermore, O-3, H2O, and HCl profiles were retrieved from 24 orbits of AIUS measurements and compared with the official Aura /MLS (Microwave Limb Sounder) level-2 v4.2 profiles. The relative difference was mostly within 10% (about 0.02-0.4 ppm) between 18 and 58 km for the O-3 retrieval, within 10% (0-0.5 ppm) between 15 and 80 km for the H2O retrieval, and within 10% (about 0.1 ppb) between 30 and 60 km for the HCl retrieval. A good agreement in the retrieved trace gas profiles was reached between AIUS and MLS.</t>
  </si>
  <si>
    <t>[Li, Xiaoying; Cheng, Tianhai; Wang, Hongmei; Zhu, Songyan; Miao, Jing; Luo, Qi] Chinese Acad Sci, State Key Lab Remote Sensing Sci, Inst Remote Sensing &amp; Digital Earth, Beijing 100101, Peoples R China; [Xu, Jian] German Aerosp Ctr DLR, Remote Sensing Technol Inst, D-82234 Oberpfaffenhofen, Germany; [Shi, Hailiang] Chinese Acad Sci, Anhui Inst Opt &amp; Fine Mech, Hefei 230031, Anhui, Peoples R China; [Zhang, Xingying] China Meteorol Adm, Natl Satellite Meteorol Ctr, Beijing 100081, Peoples R China; [Ge, Shule] China Ctr Resources Satellite Data &amp; Applicat, Beijing 100094, Peoples R China</t>
  </si>
  <si>
    <t>Chinese Academy of Sciences; The Institute of Remote Sensing &amp; Digital Earth, CAS; Helmholtz Association; German Aerospace Centre (DLR); Chinese Academy of Sciences; Hefei Institutes of Physical Science, CAS; Anhui Institute of Optics &amp; Fine Mechanics (AIOFM), CAS; China Meteorological Administration</t>
  </si>
  <si>
    <t>Li, XY (corresponding author), Chinese Acad Sci, State Key Lab Remote Sensing Sci, Inst Remote Sensing &amp; Digital Earth, Beijing 100101, Peoples R China.</t>
  </si>
  <si>
    <t>lixy01@radi.ac.cn</t>
  </si>
  <si>
    <t>fang, li/JNS-8415-2023; Cheng, Tianhai/H-1113-2013; Luo, Qiquan/JGD-7418-2023; LUO, QI/GQH-7209-2022; Xu, Jian/AAP-5179-2021</t>
  </si>
  <si>
    <t>Cheng, Tianhai/0000-0001-7889-9579; Luo, Qiquan/0000-0003-1450-2856; Xu, Jian/0000-0003-2348-125X</t>
  </si>
  <si>
    <t>National Natural Science Foundation of China [41571345]; National Key Research and Development Program of China [2016YFB0500705]; Major Projects of High Resolution Earth Observation System [32-Y20A18-9001-15-17-1]</t>
  </si>
  <si>
    <t>National Natural Science Foundation of China(National Natural Science Foundation of China (NSFC)); National Key Research and Development Program of China; Major Projects of High Resolution Earth Observation System</t>
  </si>
  <si>
    <t>This research was funded by National Natural Science Foundation of China under grant 41571345, the National Key Research and Development Program of China under grant 2016YFB0500705, and the Major Projects of High Resolution Earth Observation System under grant 32-Y20A18-9001-15-17-1.</t>
  </si>
  <si>
    <t>10.3390/rs11171991</t>
  </si>
  <si>
    <t>IZ1UU</t>
  </si>
  <si>
    <t>gold, Green Submitted, Green Accepted</t>
  </si>
  <si>
    <t>WOS:000486874300035</t>
  </si>
  <si>
    <t>Ferguson, L</t>
  </si>
  <si>
    <t>Ferguson, Laura</t>
  </si>
  <si>
    <t>Polar policy making: Two ethnographic accounts of Polar field scientists interacting with Polar governance and policy</t>
  </si>
  <si>
    <t>INTERNATIONAL SOCIOLOGY</t>
  </si>
  <si>
    <t>Antarctic; Arctic; environment; ethnography; science</t>
  </si>
  <si>
    <t>This review article discusses the recent publications Studying Arctic Fields by Richard C Powell and The Technocratic Antarctic by Jessica O'Reilly. Both books are ethnographic accounts of scientists working in the Polar Regions that analyse interactions at the science-policy interface. Studying Arctic Fields is a detailed story of Canada's Resolute research station, based on immersive ethnographic observation and communicated through an engaging narrative of colourful stories from Powell's two summers among the scientists and support staff there. The Technocratic Antarctic treads new ground in its examination of Antarctic social science, presenting the findings of a wide-ranging and thorough research project that engages with the themes of territory, security, processes, practice, problems and science communication. Both publications make valuable contributions to Polar social science and will also appeal to many beyond this.</t>
  </si>
  <si>
    <t>[Ferguson, Laura] Queens Univ Belfast, Univ Rd, Belfast BT7 1NN, Antrim, North Ireland</t>
  </si>
  <si>
    <t>Queens University Belfast</t>
  </si>
  <si>
    <t>Ferguson, L (corresponding author), Queens Univ Belfast, Univ Rd, Belfast BT7 1NN, Antrim, North Ireland.</t>
  </si>
  <si>
    <t>l.ferguson@qub.ac.uk</t>
  </si>
  <si>
    <t>Ferguson, Laura/0000-0002-0473-0698</t>
  </si>
  <si>
    <t>0268-5809</t>
  </si>
  <si>
    <t>1461-7242</t>
  </si>
  <si>
    <t>INT SOCIOL</t>
  </si>
  <si>
    <t>Int. Sociol.</t>
  </si>
  <si>
    <t>10.1177/0268580919870455</t>
  </si>
  <si>
    <t>Sociology</t>
  </si>
  <si>
    <t>IZ5OB</t>
  </si>
  <si>
    <t>WOS:000487131900004</t>
  </si>
  <si>
    <t>Frew, RC; Feltham, DL; Holland, PR; Petty, AA</t>
  </si>
  <si>
    <t>Frew, R. C.; Feltham, D. L.; Holland, P. R.; Petty, A. A.</t>
  </si>
  <si>
    <t>Sea Ice-Ocean Feedbacks in the Antarctic Shelf Seas</t>
  </si>
  <si>
    <t>Sea ice; Southern Ocean; Atmosphere-ocean interaction</t>
  </si>
  <si>
    <t>SOUTHERN-OCEAN; WEDDELL SEA; MIXED-LAYER; FRESH-WATER; SNOW-COVER; TRENDS; VARIABILITY; IMPACTS; DRIVEN; EXTENT</t>
  </si>
  <si>
    <t>Observed changes in Antarctic sea ice are poorly understood, in part due to the complexity of its interactions with the atmosphere and ocean. A highly simplified, coupled sea ice-ocean mixed layer model has been developed to investigate the importance of sea ice-ocean feedbacks on the evolution of sea ice and the ocean mixed layer in two contrasting regions of the Antarctic continental shelf ocean: the Amundsen Sea, which has warm shelf waters, and the Weddell Sea, which has cold and saline shelf waters. Modeling studies where we deny the feedback response to surface air temperature perturbations show the importance of feedbacks on the mixed layer and ice cover in the Weddell Sea to be smaller than the sensitivity to surface atmospheric conditions. In the Amundsen Sea the effect of surface air temperature perturbations on the sea ice are opposed by changes in the entrainment of warm deep waters into the mixed layer. The net impact depends on the relative balance between changes in sea ice growth driven by surface perturbations and basal-driven melting. The changes in the entrainment of warm water in the Amundsen Sea were found to have a much larger impact on the ice volume than perturbations in the surface energy budget. This creates a net negative ice albedo feedback in the Amundsen Sea, reversing the sign of this typically positive feedback mechanism.</t>
  </si>
  <si>
    <t>[Frew, R. C.; Feltham, D. L.] Univ Reading, Ctr Polar Observat &amp; Modelling, Dept Meteorol, Reading, Berks, England; [Holland, P. R.] British Antarctic Survey, Cambridge, England; [Petty, A. A.] Univ Maryland, Earth Syst Sci Interdisciplinary Ctr, College Pk, MD 20742 USA</t>
  </si>
  <si>
    <t>University of Reading; UK Research &amp; Innovation (UKRI); Natural Environment Research Council (NERC); NERC British Antarctic Survey; University System of Maryland; University of Maryland College Park</t>
  </si>
  <si>
    <t>Frew, RC (corresponding author), Univ Reading, Ctr Polar Observat &amp; Modelling, Dept Meteorol, Reading, Berks, England.</t>
  </si>
  <si>
    <t>r.frew@pgr.reading.ac.uk</t>
  </si>
  <si>
    <t>Holland, Paul R/G-2796-2012; Petty, Alek/K-1839-2014</t>
  </si>
  <si>
    <t>Feltham, Daniel/0000-0003-2289-014X</t>
  </si>
  <si>
    <t>NERC [NE/I023708/1, cpom30001, NE/R000654/1, NE/I023708/2, bas0100033, NE/T009470/1] Funding Source: UKRI</t>
  </si>
  <si>
    <t>10.1175/JPO-D-18-0229.1</t>
  </si>
  <si>
    <t>IZ4GO</t>
  </si>
  <si>
    <t>WOS:000487042500001</t>
  </si>
  <si>
    <t>García-Cárdenas, FJ; Drewery, J; López-González, PJ</t>
  </si>
  <si>
    <t>Garcia-Cardenas, Francisco J.; Drewery, Jim; Lopez-Gonzalez, Pablo J.</t>
  </si>
  <si>
    <t>Resurrection of the sea pen genus Ptilella Gray, 1870 and description of Ptilella grayi n. sp. from the NE Atlantic (Octocorallia: Pennatulacea)</t>
  </si>
  <si>
    <t>SCIENTIA MARINA</t>
  </si>
  <si>
    <t>NE Atlantic; Pennatulacea; Ptilella grayi; sea pen; new species</t>
  </si>
  <si>
    <t>MITOCHONDRIAL GENOME; WATER CORALS; ANTHOZOA; CNIDARIA; NEWFOUNDLAND; CLAVULARIIDAE; INFERENCE; REGIONS; MRBAYES; AFRICA</t>
  </si>
  <si>
    <t>The order Pennatulacea covers a group of specialized and morphologically distinct octocorals found in all oceans from intertidal areas to more than 6000 m in depth. Sea pens constitute an important structural component in marine soft-bottom communities by increasing the complexity of these environments. Despite being both morphologically distinctive and ecologically important, the taxonomy and systematics of sea pens is still poorly understood. Recent molecular studies have shown the existence of convergent morphological features, making the current familial distribution of genera unstable. The genus Pennatula Linnaeus, 1758 was one of the first described octocoral genera. It is the type genus of its family, Pennatulidae. Colonies of this genus have a characteristic morphology. Recent sampling efforts in the northeastern Atlantic have provided a number of colonies initially attributable to the genus Pennatula. Both morphological and molecular (mtMutS, Cox1 and 28S genes) study of this material supports the polyphyletic nature of this genus and the need to resurrect the genus Ptilella Gray, 1870 to accommodate these and other species. A new species, Ptilella grayi n. sp., is described and illustrated. The species Pennatula bayeri is proposed to be a junior synonym of Pennatula bellissima (here also considered in the genus Ptilella).</t>
  </si>
  <si>
    <t>[Garcia-Cardenas, Francisco J.; Lopez-Gonzalez, Pablo J.] Univ Seville, Biodivers &amp; Ecol Acuat, Dept Zool, Fac Biol, Reina Mercedes 6, E-41012 Seville, Spain; [Drewery, Jim] Marine Scotland Sci, Marine Lab, 375 Victoria Rd, Aberdeen AB11 9DB, Scotland</t>
  </si>
  <si>
    <t>University of Sevilla; Marine Scotland Science (MSS)</t>
  </si>
  <si>
    <t>García-Cárdenas, FJ (corresponding author), Univ Seville, Biodivers &amp; Ecol Acuat, Dept Zool, Fac Biol, Reina Mercedes 6, E-41012 Seville, Spain.</t>
  </si>
  <si>
    <t>frangarca@us.es; pjlopez@us.es; jim.drewery@gov.scot</t>
  </si>
  <si>
    <t>Lopez-González, Pablo J./Y-6440-2018</t>
  </si>
  <si>
    <t>Lopez-González, Pablo J./0000-0002-7348-6270; Garcia Cardenas, Francisco Jose/0000-0002-1503-9552; Drewery, Jim/0000-0003-4308-1798</t>
  </si>
  <si>
    <t>EC; Spanish Ministry of Economy, Industry and Competitiveness [CTM2017-83920-P]; VI Plan Propio de Investigacion de la Universidad de Sevilla, Vicerrectorado de Investigacion [VIPPIT-2017-1.5]</t>
  </si>
  <si>
    <t>EC(European Union (EU)European Commission Joint Research Centre); Spanish Ministry of Economy, Industry and Competitiveness; VI Plan Propio de Investigacion de la Universidad de Sevilla, Vicerrectorado de Investigacion</t>
  </si>
  <si>
    <t>The authors would like to express their gratitude to Miranda Lowe (British Museum of Natural History) for the loan of the holotype of Pennatula bellissima. Many thanks to the colleagues and crew of the MRV Scotia over the many cruises involved and particularly to several who dedicatedly examined the net a great many times for specimens: Matthew Kinghorn, Hubert Wozniak, Peter Brown and Christopher Boagey. Our thanks are also addressed to the officers and crew and to many colleagues for facilitating access to the collections or for their help on board during the cruises Polarstern ANT XXIII/8 (Antarctic Peninsula and eastern Weddell Sea), BIOROSS Tangaroa 0402 (Ross Sea, Antarctica), BENGUELA VIII (Namibia, southeastern Atlantic), INDEMARES Chica (Gulf of Cadiz, NE Atlantic), and INDEMARES Alboran (Mediterranean), where part of the comparative materials used in morphological and molecular comparisons were collected. Part of the material of Pt. grandis consulted in this paper was provided by the BIOICE project. We express our gratitude to Drs Gudmundur Vidir, Gudmundur Gudmundsson and Jorundur Svavarsson, and to the staff of the BIOICE project for allowing us to study the BIOICE octocoral material at the Sandgerdi Marine Centre in Iceland. PJL-G acknowledges financial support for a visit to the Sandgerdi Marine Centre (Iceland) under the EC-funded TMR BIOICE Large-Scale Facility Programme. Antarctic specimens of Pennatula were consulted within the project CTM2017-83920-P (DIVERSICORAL) funded by the Spanish Ministry of Economy, Industry and Competitiveness. The authors are also grateful for the criticisms and suggestions provided by three anonymous referees and the editor of SM. The use of the Scanning Electron Microscopy facilities of the University of Seville were made possible thanks to a grant to PJL-G from VIPPIT-2017-1.5 (VI Plan Propio de Investigacion de la Universidad de Sevilla, Vicerrectorado de Investigacion).</t>
  </si>
  <si>
    <t>CONSEJO SUPERIOR INVESTIGACIONES CIENTIFICAS-CSIC</t>
  </si>
  <si>
    <t>MADRID</t>
  </si>
  <si>
    <t>VITRUVIO 8, 28006 MADRID, SPAIN</t>
  </si>
  <si>
    <t>0214-8358</t>
  </si>
  <si>
    <t>1886-8134</t>
  </si>
  <si>
    <t>SCI MAR</t>
  </si>
  <si>
    <t>Sci. Mar.</t>
  </si>
  <si>
    <t>10.3989/scimar.04845.26A</t>
  </si>
  <si>
    <t>IY8EF</t>
  </si>
  <si>
    <t>WOS:000486626200007</t>
  </si>
  <si>
    <t>Garofalo, F; Santovito, G; Amelio, D</t>
  </si>
  <si>
    <t>Garofalo, F.; Santovito, G.; Amelio, D.</t>
  </si>
  <si>
    <t>Heat stress-dependent morpho-functional changes in the gills of the Antarctic Trematomus bernacchii and Chionodraco hamatus</t>
  </si>
  <si>
    <t>ACTA PHYSIOLOGICA</t>
  </si>
  <si>
    <t>[Garofalo, F.; Amelio, D.] Univ Calabria, Dept Biol Ecol &amp; Earth Sci BEST, Calabria, Italy; [Santovito, G.] Univ Padua, Dept Biol, Padua, Italy</t>
  </si>
  <si>
    <t>University of Calabria; University of Padua</t>
  </si>
  <si>
    <t>Santovito, Gianfranco/ABB-9484-2021</t>
  </si>
  <si>
    <t>Santovito, Gianfranco/0000-0001-8260-7006</t>
  </si>
  <si>
    <t>1748-1708</t>
  </si>
  <si>
    <t>1748-1716</t>
  </si>
  <si>
    <t>ACTA PHYSIOL</t>
  </si>
  <si>
    <t>Acta Physiol.</t>
  </si>
  <si>
    <t>PP.108</t>
  </si>
  <si>
    <t>IW8NX</t>
  </si>
  <si>
    <t>WOS:000485252000258</t>
  </si>
  <si>
    <t>Tolomeo, AM; Carraro, A; Bakiu, R; Toppo, S; Gerdol, M; Irato, P; Bonato, M; Corrà, F; Pellegrino, D; Garofalo, F; Ferro, D; Place, SP; Santovito, G</t>
  </si>
  <si>
    <t>Tolomeo, A. M.; Carraro, A.; Bakiu, R.; Toppo, S.; Gerdol, M.; Irato, P.; Bonato, M.; Corra, F.; Pellegrino, D.; Garofalo, F.; Ferro, D.; Place, S. P.; Santovito, G.</t>
  </si>
  <si>
    <t>Too warm or not too warm ... Is the antioxidant system of Antarctic fish ready to face climate changes?</t>
  </si>
  <si>
    <t>[Tolomeo, A. M.; Carraro, A.] Univ Padua, Dept Womens &amp; Childrens Hlth, Padua, Italy; [Bakiu, R.] Agr Univ Tirana, Dept Aquaculture &amp; Fisheries, Tirana, Albania; [Toppo, S.] Univ Padua, Dept Mol Med, Padua, Italy; [Gerdol, M.] Univ Trieste, Dept Life Sci, Trieste, Italy; [Irato, P.; Bonato, M.; Corra, F.; Santovito, G.] Univ Padua, Dept Biol, Padua, Italy; [Pellegrino, D.; Garofalo, F.] Univ Calabria, Dept Biol Ecol &amp; Earth Sci, Calabria, Italy; [Ferro, D.] Univ Arizona, Dept Mol &amp; Cellular Biol, Tucson, AZ 85721 USA; [Place, S. P.] Sonoma State Univ, Dept Biol, Rohnert Pk, CA USA</t>
  </si>
  <si>
    <t>University of Padua; University of Padua; University of Trieste; University of Padua; University of Calabria; University of Arizona; California State University System; Sonoma State University</t>
  </si>
  <si>
    <t>Pallavicini, Alberto/J-4158-2012; Gerdol, Marco/D-2115-2013; Toppo, Stefano/Z-5479-2019; Bakiu, Rigers/AFC-7827-2022; Tolomeo, Anna Maria/AAA-2275-2022; Santovito, Gianfranco/ABB-9484-2021</t>
  </si>
  <si>
    <t>Gerdol, Marco/0000-0001-6411-0813; Toppo, Stefano/0000-0002-0246-3119; Bakiu, Rigers/0000-0002-9613-4606; Tolomeo, Anna Maria/0000-0001-5077-0845; Santovito, Gianfranco/0000-0001-8260-7006</t>
  </si>
  <si>
    <t>P.N.R.A. grant; M.I.U.R. grant</t>
  </si>
  <si>
    <t>P.N.R.A. grant; M.I.U.R. grant(Ministry of Education, Universities and Research (MIUR))</t>
  </si>
  <si>
    <t>Supported by P.N.R.A. and M.I.U.R. grants.</t>
  </si>
  <si>
    <t>PP.109</t>
  </si>
  <si>
    <t>WOS:000485252000259</t>
  </si>
  <si>
    <t>Zhang, T; Chen, YQ; Ding, M; Shen, ZY; Yang, YD; Guan, QS</t>
  </si>
  <si>
    <t>Zhang, Tao; Chen, Yuqiao; Ding, Min; Shen, Zhongyan; Yang, Yuande; Guan, Qingsheng</t>
  </si>
  <si>
    <t>Air-temperature control on diurnal variations in microseismicity at Laohugou Glacier No. 12, Qilian Mountains</t>
  </si>
  <si>
    <t>cracks; glacier geophysics; mountain glaciers; seismicity</t>
  </si>
  <si>
    <t>ABLATION ZONE; ICE; ICEQUAKES; FRACTURE; SEISMICITY; GORNERGLETSCHER; CREVASSES</t>
  </si>
  <si>
    <t>We conducted a 9-d seismic experiment in October 2015 at Laohugou Glacier No. 12. We identified microseismic signals using the short-term/long-term average trigger algorithm at four stations and classified them as long and short-duration events based on waveform, frequency, duration and magnitude characteristics. Both categories show systematical diurnal trends. The long-duration events are low-frequency tremor-like events that mainly occurred during the daytime with only several events per day. These events lasted tens of seconds to tens of minutes and are likely related to resonance of daytime meltwater. The dominant short-duration events mostly occurred during the night time with a peak occurrence frequency of similar to 360 h(-1). Their short-duration (&lt;0.2 s), high frequency (20-100 Hz) and dominance of Rayleigh waves are typical of events for near-surface crack opening. A strong negative correlation between the hourly event number and temperature change rate suggests that the occurrence of night-time events is controlled by the rate of night-time cooling. We estimated the near-surface tensile stress due to thermal contraction at night to be tens of kilopascals, which is enough to induce opening of surface cracks with pre-existing local stress concentrations, although we cannot exclude the effect of refreezing of meltwater produced during the day.</t>
  </si>
  <si>
    <t>[Zhang, Tao; Chen, Yuqiao; Shen, Zhongyan; Guan, Qingsheng] State Ocean Adm, Key Lab Submarine Geosci, Hangzhou 310012, Zhejiang, Peoples R China; [Zhang, Tao; Chen, Yuqiao; Shen, Zhongyan; Guan, Qingsheng] State Ocean Adm, Inst Oceanog 2, Hangzhou 310012, Zhejiang, Peoples R China; [Ding, Min] Peking Univ, Sch Earth &amp; Space Sci, Beijing 100022, Peoples R China; [Yang, Yuande] Wuhan Univ, Chinese Antarctic Ctr Surveying &amp; Mapping, Wuhan 430079, Hubei, Peoples R China; [Guan, Qingsheng] Nanjing Univ, Sch Geog &amp; Oceanog Sci, Nanjing 210023, Jiangsu, Peoples R China</t>
  </si>
  <si>
    <t>Peking University; Wuhan University; Nanjing University</t>
  </si>
  <si>
    <t>Chen, YQ (corresponding author), State Ocean Adm, Key Lab Submarine Geosci, Hangzhou 310012, Zhejiang, Peoples R China.;Chen, YQ (corresponding author), State Ocean Adm, Inst Oceanog 2, Hangzhou 310012, Zhejiang, Peoples R China.</t>
  </si>
  <si>
    <t>chenyq_my@163.com; dingmin@pku.edu.cn</t>
  </si>
  <si>
    <t>Chen, Yuqiao/0009-0008-9143-4408; Zhang, Tao/0000-0002-1205-989X; Ding, Min/0000-0002-0098-5124</t>
  </si>
  <si>
    <t>National Natural Science Foundation of China [41576065, 41776189, 41806067, 91628301]; Scientific Research Fund of the Second Institute of Oceanography, SOA [QNYC201503]; Chinese Polar Environment Comprehensive Investigation and Assessment Programmes [CHINARE 03-03, 04-03, 01-03]; Key Laboratory of Ocean and Marginal Sea Geology, Chinese Academy of Sciences [OMG18-XX]; Chinese Academy of Sciences [Y4SL021001]</t>
  </si>
  <si>
    <t>National Natural Science Foundation of China(National Natural Science Foundation of China (NSFC)); Scientific Research Fund of the Second Institute of Oceanography, SOA; Chinese Polar Environment Comprehensive Investigation and Assessment Programmes; Key Laboratory of Ocean and Marginal Sea Geology, Chinese Academy of Sciences; Chinese Academy of Sciences(Chinese Academy of Sciences)</t>
  </si>
  <si>
    <t>We thank Qin Xiang at Cold and Arid Regions Environmental and Engineering Research Institute, Chinese Academy of Sciences, Yan Peng at Wuhan university and other colleagues working at Qilian Mountain Station of Glaciology for their support of the seismic experiment. We also thank F. Walter, E. Podolskiy and J. Amundson for their valuable reviews and constructive comments. The project was supported by the National Natural Science Foundation of China (41576065, 41776189, 41806067, 91628301), the Scientific Research Fund of the Second Institute of Oceanography, SOA (QNYC201503), the Chinese Polar Environment Comprehensive Investigation and Assessment Programmes (CHINARE 03-03, 04-03, and 01-03), the Key Laboratory of Ocean and Marginal Sea Geology, Chinese Academy of Sciences (No. OMG18-XX) and the Chinese Academy of Sciences (Y4SL021001).</t>
  </si>
  <si>
    <t>10.1017/aog.2018.34</t>
  </si>
  <si>
    <t>IP8IE</t>
  </si>
  <si>
    <t>WOS:000480289300011</t>
  </si>
  <si>
    <t>Gordine, SA; Fedak, MA; Boehme, L</t>
  </si>
  <si>
    <t>Gordine, Samantha A.; Fedak, Michael A.; Boehme, Lars</t>
  </si>
  <si>
    <t>The importance of Southern Ocean frontal systems for the improvement of body condition in southern elephant seals</t>
  </si>
  <si>
    <t>behaviour; climate change; mammals; ocean</t>
  </si>
  <si>
    <t>ANTARCTIC CIRCUMPOLAR CURRENT; MIROUNGA-LEONINA; MARINE PREDATOR; FORAGING SUCCESS; STABLE-ISOTOPES; CLIMATE-CHANGE; POLAR FRONT; ZONES; TEMPERATURE; CIRCULATION</t>
  </si>
  <si>
    <t>As top predators, it has been suggested that southern elephant seals serve as sentinels of ecosystem status to inform management and conservation. This is because southern elephant seals annually undertake two large-scale foraging migrations for 2-3 and 7-8 months to replenish resources after fasting during breeding and moulting and often rely on dynamic macroscale latitudinal fronts to provide favourable foraging through aggregating prey. Yet it is largely unknown whether southern elephant seals respond to changes in frontal systems over the years, whether their foraging success is associated with specific frontal systems shifts, and how flexible southern elephant seals populations are in behaviourally adapting to changes in frontal systems. This study examines the relationship between frontal systems and the resource acquisition of 64 southern elephant seals during four post-moult and three post-breeding migrations between 2005 and 2010. Satellite-relay-data-loggers provided in situ measurements concurrent with &gt;27,500 dive profiles to define fronts and interfrontal zones between the Subtropical Frontal Zone and the Southern Boundary of the Antarctic Circumpolar Current. For &gt;430,000 in situ measurements water mass properties could be identified. Generally, southern elephant seals associate more frequently with more southerly, higher-latitude fronts/zones. Body condition improvements related to a given frontal system or water mass vary strongly according to year, season, month and sex. The variability in body condition improvements is higher in some frontal systems than in others, probably owing to shifts in the Subantarctic and Polar Front. During a migration, some individuals stay within &lt;= 3 frontal systems, whilst others change between several frontal systems and primarily improve their body condition in upper ocean waters. Southern elephant seals do not trace particular water masses across frontal systems, and both surface and deep foraging strategies are used. This suggests that southern elephant seals do not target particular water masses but adjust foraging and movement strategies to exploit boundary areas at which mixing and prey aggregation is high. The large behavioural plasticity towards the spatio-temporal variability in the different oceanographic regions they encounter could indicate resilience against environmental changes.</t>
  </si>
  <si>
    <t>[Gordine, Samantha A.; Fedak, Michael A.; Boehme, Lars] Univ St Andrews, Scottish Oceans Inst, Sea Mammal Res Unit, St Andrews KY16 8LB, Fife, Scotland</t>
  </si>
  <si>
    <t>Boehme, L (corresponding author), Univ St Andrews, Scottish Oceans Inst, Sea Mammal Res Unit, St Andrews KY16 8LB, Fife, Scotland.</t>
  </si>
  <si>
    <t>lb284@st-andrews.ac.uk</t>
  </si>
  <si>
    <t>Boehme, Lars/B-6567-2009; Fedak, Michael/B-3987-2009</t>
  </si>
  <si>
    <t>Boehme, Lars/0000-0003-3513-6816; Fedak, Michael/0000-0002-9569-1128; Gordine, Samantha Alex/0000-0003-3509-7044</t>
  </si>
  <si>
    <t>Natural Environment Research Council [NE/E018289/1, NE/L501852/1 NER/D/S/2002/00426]; Scottish Funding Council [HR09011]; Natural Environment Research Council [NE/G014833/1, NE/E018289/1] Funding Source: researchfish; NERC [NE/R015007/1, NE/G014833/1, NE/E018289/1] Funding Source: UKRI</t>
  </si>
  <si>
    <t>Natural Environment Research Council(UK Research &amp; Innovation (UKRI)Natural Environment Research Council (NERC)); Scottish Funding Council; Natural Environment Research Council(UK Research &amp; Innovation (UKRI)Natural Environment Research Council (NERC)); NERC(UK Research &amp; Innovation (UKRI)Natural Environment Research Council (NERC))</t>
  </si>
  <si>
    <t>Natural Environment Research Council, Grant/Award Numbers: NE/E018289/1, NE/L501852/1 NER/D/S/2002/00426; Scottish Funding Council, Grant/Award Number: HR09011</t>
  </si>
  <si>
    <t>10.1002/aqc.3183</t>
  </si>
  <si>
    <t>IW5CV</t>
  </si>
  <si>
    <t>WOS:000484997200020</t>
  </si>
  <si>
    <t>Gillard, M; Tugend, J; Müntener, O; Manatschal, G; Karner, GD; Autin, J; Sauter, D; Figueredo, PH; Ulrich, M</t>
  </si>
  <si>
    <t>Gillard, Morgane; Tugend, Julie; Muntener, Othmar; Manatschal, Gianreto; Karner, Garry D.; Autin, Julia; Sauter, Daniel; Figueredo, Patricio H.; Ulrich, Marc</t>
  </si>
  <si>
    <t>The role of serpentinization and magmatism in the formation of decoupling interfaces at magma-poor rifted margins</t>
  </si>
  <si>
    <t>Serpentinization; Magma-poor margins; Decoupling; Seismic interpretation</t>
  </si>
  <si>
    <t>OCEAN-CONTINENT TRANSITION; IBERIA ABYSSAL-PLAIN; SEISMIC-REFRACTION PROFILES; FLEMISH CAP; CRUSTAL STRUCTURE; DEEP-STRUCTURE; UPPER-MANTLE; DETACHMENT FAULTS; TRACE-ELEMENT; WEST IBERIA</t>
  </si>
  <si>
    <t>In spite of recent progress in the understanding of magma-poor rifted margins, the processes leading to the formation and evolution of the exhumed mantle domain and its transition toward steady state oceanic crust remain debated. In particular, the parameters controlling the progressive localization of extensional deformation and magmatic processes leading to the formation of an oceanic spreading center are poorly understood. In this paper, we highlight the occurrence of two major decoupling horizons controlling the structural and magmatic evolution of distal magma-poor rifted margins. They are marked by strong seismic reflectors located at about 1 s TWTT (Upper Reflectors UR) and 2 s TWTT (Lower Reflectors LR) below top basement in domains of exhumed mantle at several magma-poor rifted margins. Both reflection seismic observations and studies on the physical properties of serpentinized mantle suggest that the UR likely results from deformation localized along a rheological interface at about 3 km below top basement, associated with an abrupt change in the mechanical behavior of peridotites once they are serpentinized to similar to 15%. We suggest that this interface played a major role in successive fault re-organizations during formation of the exhumed mantle domain. The comparison of reflection seismic observations with Alpine field analogues suggests that the LR likely results from an interaction between magmatism, deformation and hydration reactions during final rifting. Based on our results, we suggest that during final rifting the strain distribution is controlled first by hydration and then by magmatic processes in the domain of exhumed mantle.</t>
  </si>
  <si>
    <t>[Gillard, Morgane; Tugend, Julie; Manatschal, Gianreto; Autin, Julia; Sauter, Daniel; Ulrich, Marc] Univ Strasbourg, EOST, CNRS, UMR7516,Inst Phys Globe Strasbourg, 1 Rue Blessig, F-67084 Strasbourg, France; [Gillard, Morgane; Tugend, Julie] Sorbonne Univ, CNRS, UMR 7193, INSU,Inst Sci Terre Paris,ISTeP, F-75005 Paris, France; [Tugend, Julie] Total SA, R&amp;D Dept CSTJF, Pau, France; [Muntener, Othmar] Univ Lausanne, Inst Earth Sci, CH-1015 Lausanne, Switzerland; [Karner, Garry D.; Figueredo, Patricio H.] ExxonMobil Upstream Integrated Solut Co, Global Tecton &amp; Struct, 22777 Springwoods Village Pkwy, Spring, TX USA</t>
  </si>
  <si>
    <t>Universites de Strasbourg Etablissements Associes; Universite de Strasbourg; Centre National de la Recherche Scientifique (CNRS); CNRS - National Institute for Earth Sciences &amp; Astronomy (INSU); Sorbonne Universite; Centre National de la Recherche Scientifique (CNRS); CNRS - National Institute for Earth Sciences &amp; Astronomy (INSU); Total SA; University of Lausanne; Exxon Mobil Corporation</t>
  </si>
  <si>
    <t>Gillard, M (corresponding author), Univ Strasbourg, EOST, CNRS, UMR7516,Inst Phys Globe Strasbourg, 1 Rue Blessig, F-67084 Strasbourg, France.;Gillard, M (corresponding author), Sorbonne Univ, CNRS, UMR 7193, INSU,Inst Sci Terre Paris,ISTeP, F-75005 Paris, France.</t>
  </si>
  <si>
    <t>morgane.gillard@upmc.fr</t>
  </si>
  <si>
    <t>sauter, daniel/K-6532-2014; Autin, Julia/GXG-5741-2022; Ulrich, Marc/AAB-2802-2020</t>
  </si>
  <si>
    <t>sauter, daniel/0000-0003-3651-8090; Ulrich, Marc/0000-0002-1052-1817; Autin, Julia/0000-0003-2875-5766; Tugend, Julie/0000-0003-3724-7878</t>
  </si>
  <si>
    <t>Exxon Mobil as part of the CEIBA II project</t>
  </si>
  <si>
    <t>Exxon Mobil as part of the CEIBA II project(Exxon Mobil Corporation)</t>
  </si>
  <si>
    <t>Seismic lines of the Antarctic surveys GA228 and GA229 were provided by Geoscience Australia after personal request and are published with the permission of Geoscience Australia. We also would like to thank I. Thinon and Ifremer for providing us the Norgasis 23 reflection seismic profile presented in this work. We kindly acknowledge Ekeabino Momoh for discussion and for the seismic image of the SWIR. This research was financed by Exxon Mobil as part of the CEIBA II project. We greatly thank Christopher A. Johnson and Anne-Marie Karpoff for useful and often in-depth discussions, as well as constructive comments by Tim Minshull and anonymous reviewers.</t>
  </si>
  <si>
    <t>10.1016/j.earscirev.2019.102882</t>
  </si>
  <si>
    <t>IS6EX</t>
  </si>
  <si>
    <t>WOS:000482246200014</t>
  </si>
  <si>
    <t>Möller, P; Benediktsson, IÖ; Anjar, J; Bennike, O; Bernhardson, M; Funder, S; Håkansson, LM; Lemdahl, G; Licciardi, JM; Murray, AS; Seidenkrantz, MS</t>
  </si>
  <si>
    <t>Moller, Per; Benediktsson, Ivar Orn; Anjar, Johanna; Bennike, Ole; Bernhardson, Martin; Funder, Svend; Hakansson, Lena M.; Lemdahl, Geoffrey; Licciardi, Joseph M.; Murray, Andrew S.; Seidenkrantz, Marit-Solveig</t>
  </si>
  <si>
    <t>Glacial history and palaeo-environmental change of southern Taimyr Peninsula, Arctic Russia, during the Middle and Late Pleistocene</t>
  </si>
  <si>
    <t>Eurasian ice sheet; Taimyr; Glaciation history; Palaeoenvironmental reconstruction; Middle pleistocene; Late pleistocene</t>
  </si>
  <si>
    <t>SEVERNAYA ZEMLYA ARCHIPELAGO; WEICHSELIAN ICE-SHEET; TRANSGRESSION MIS 5; KARA SEA; TAYMYR PENINSULA; PALEOENVIRONMENTAL HISTORY; NORTHERN EURASIA; SHELF SEDIMENTS; CLIMATE-CHANGE; SCORESBY-SUND</t>
  </si>
  <si>
    <t>We here reconstruct a glacial and climate history of arctic NW Siberia for the last similar to 600,000 years, based on the stratigraphy and chronology of 35 studied river sections on the southern Taimyr Peninsula. From this strati graphic mosaic we have identified four glacial events, marked by tills/glaciotectonics, which are intercalated with mainly marine sediments deposited in proglacial settings during transitions from glacial conditions into subsequent interglacials/interstadials. The traces of early shelf-based Kara Sea Ice Sheet (KSIS) glaciations in marine isotope stages (MIS) 12-14 and 8 are sparsely preserved, but these ice advances are suggested to have terminated far south into the central Siberian uplands, as also was the case with the younger Taz glaciation (MIS 6). The inception phase of the latter glaciation was complex, with ice advancing into a proglacial marine basin both from the south (Putorana - Anabar uplands) and the north. The deglaciation leading into the Karginsky interglacial (MIS 5e) was marked by the development of the southerrunost ice-marginal zones (IMZs) on the Taimyr lowlands - the Urdakh and Sampesa IMZs. The most recent (late Pleistocene) glacial cycle is recorded by three successively smaller KSIS advances from the Kara Sea shelf onto Taimyr, of which only the first, during Early Zyryanka (MIS 5d), reached south of the Byrranga Mountains, with its maximum extent marked by the Jangoda - Syntabul - Severokokorsky IMZ. Retreat of the ice margin during MIS 5c-b was accompanied by deposition of glaciomarine sediment in the proglacial basin and deposition of large successions of delta sediments in the foothills of the Byrranga Motmtains, reaching a &gt;= 100 m above present sea level. The region north of the Byrranga Mountains was subjected to two subsequent KSIS glaciations, during MIS 4 and MIS 2, while the area south of the Byrranga Mountains transitioned to a terrestrial environment from the Middle into the Lower Zyryanka, as evidenced by deposition of fluvial, aeolian and ice-complex (Yedoma) sediments.</t>
  </si>
  <si>
    <t>[Moller, Per; Anjar, Johanna; Bernhardson, Martin] Lund Univ, Dept Geol, Quaternary Sci, Solvegatan 12, SE-22362 Lund, Sweden; [Benediktsson, Ivar Orn] Univ Iceland, Inst Earth Sci, Sturlugata 7, IS-101 Reykjavik, Iceland; [Anjar, Johanna] Univ South Eastern Norway, Dept Nat Sci &amp; Environm Hlth, Gullbringvegen 36, N-3800 Bo, Norway; [Bennike, Ole] GEUS, Oster Voldgade 10, DK-1350 Copenhagen K, Denmark; [Funder, Svend] Univ Copenhagen, Geol Museum, Oster Voldgade 5-7, DK-1350 Copenhagen, Denmark; [Hakansson, Lena M.] Univ Ctr Svalbard UNIS, POB 156, N-9171 Longyearbyen, Norway; [Lemdahl, Geoffrey] Linnaeus Univ, Dept Biol &amp; Environm Sci, SE-39182 Kalmar, Sweden; [Licciardi, Joseph M.] Univ New Hampshire, Dept Earth Sci, Durham, NH 03824 USA; [Murray, Andrew S.] Aarhus Univ, Riso Natl Lab, Dept Earth Sci, Nord Lab Luminescence Dating, DK-4000 Roskilde, Denmark; [Seidenkrantz, Marit-Solveig] Aarhus Univ, Arctic Res Ctr, Paleoceanog &amp; Paleoclimate Grp, Hoegh Guldbergs Gade 2, DK-8000 Aarhus, Denmark; [Seidenkrantz, Marit-Solveig] Aarhus Univ, Dept Geosci, Climate Aarhus Univ Interdisciplinary Ctr Climate, Hoegh Guldbergs Gade 2, DK-8000 Aarhus, Denmark</t>
  </si>
  <si>
    <t>Lund University; University of Iceland; Geological Survey Of Denmark &amp; Greenland; University of Copenhagen; University Centre Svalbard (UNIS); Linnaeus University; University System Of New Hampshire; University of New Hampshire; Aarhus University; Technical University of Denmark; Aarhus University; Aarhus University</t>
  </si>
  <si>
    <t>Möller, P (corresponding author), Lund Univ, Dept Geol, Quaternary Sci, Solvegatan 12, SE-22362 Lund, Sweden.</t>
  </si>
  <si>
    <t>per.moller@geol.lu.se</t>
  </si>
  <si>
    <t>Seidenkrantz, Marit-Solveig/A-3451-2012; Murray, Andrew S/A-4388-2012; Möller, Per/AAJ-7963-2020; Bennike, Ole/G-7070-2018</t>
  </si>
  <si>
    <t>Möller, Per/0000-0001-5365-2668; Seidenkrantz, Marit-Solveig/0000-0002-1973-5969; Benediktsson, Ivar Orn/0000-0002-9966-0767; Lund, Martin/0000-0002-1945-514X; Bennike, Ole/0000-0002-5486-9946; Anjar, Johanna/0000-0001-9927-1510; Murray, Andrew/0000-0001-5559-1862</t>
  </si>
  <si>
    <t>Lund University (Sweden) within the European Union [ENV4-CT97-0563]; Arctic and Antarctic Research Institute (AARI, St. Petersburg, Russia) within the European Union [ENV4-CT97-0563]; Swedish Natural Science Research Council (VR) [G-650-199815671/2000, 621-2008-3759]; Swedish Polar Research Secretariat (SPRS); INTAARI (St. Petersburg, Russia); Iceland Research Fund trough a 3-year post-doctoral research grant [100212042]; Independent Research Fund Denmark [7014-00113B/FNU, 12-126709/FNU]</t>
  </si>
  <si>
    <t>Lund University (Sweden) within the European Union; Arctic and Antarctic Research Institute (AARI, St. Petersburg, Russia) within the European Union; Swedish Natural Science Research Council (VR)(Swedish Research Council); Swedish Polar Research Secretariat (SPRS); INTAARI (St. Petersburg, Russia); Iceland Research Fund trough a 3-year post-doctoral research grant; Independent Research Fund Denmark(Det Frie Forskningsrad (DFF))</t>
  </si>
  <si>
    <t>This work has been carried out as a cooperative venture between Lund University (Sweden) and the Arctic and Antarctic Research Institute (AARI, St. Petersburg, Russia) within the European Union financed 'Eurasian ice sheets' project (contract no. ENV4-CT97-0563) under the European Science Foundation's Quaternary Environments of the Eurasian North (QUEEN) progratrune umbrella, later followed by the APEX (Arctic Palaeoenvironments and its Extremes) programme. Specific project funding for research on Taimyr was provided through grants from the Swedish Natural Science Research Council (VR) to P. Moller (contract nos. G-650-199815671/2000 and 621-2008-3759) and logistics were mainly arranged and, to a large extent, funded by the Swedish Polar Research Secretariat (SPRS), and through subcontracts with INTAARI (St. Petersburg, Russia). Special thanks go to Asa Lindgren at SPRS and Dimitry Bolshiyanov at AARI (St. Petersburg) for painstaking work with logistical plaiming, expedition pennits.and handling of all equipment and samples in and out of Russia. I.O. Benediktsson acknowledges support from the Iceland Research Fund trough a 3-year post-doctoral research grant (no. 100212042). Funding for M-S. Seidenkrantz and S. Funder was received from the Independent Research Fund Denmark, project nos. 7014-00113B/FNU (G-Ice) and 12-126709/FNU, respectively, Love Dalen, Kenneth Andersen, Dimitry Bolshiyanov, Grigory Fedorov, Andrei Ivanov and Polina Valchrameeva are thanked for valuable assistance and company during the 2010 and 2012 expeditions. Special thanlcs go to ESR reviewer Valery Astalthov for critical assessments and valuable input into Russian stratigraphic and geographic terminology.</t>
  </si>
  <si>
    <t>10.1016/j.earscirev.2019.04.004</t>
  </si>
  <si>
    <t>WOS:000482246200013</t>
  </si>
  <si>
    <t>Kim, H; Lee, JY; Kim, K</t>
  </si>
  <si>
    <t>Kim, Heejung; Lee, Jin-Yong; Kim, Kitae</t>
  </si>
  <si>
    <t>Estimation of thermal diffusivity of soils in Antarctica using temperature time series data</t>
  </si>
  <si>
    <t>EPISODES</t>
  </si>
  <si>
    <t>MCMURDO DRY VALLEYS; KING GEORGE ISLAND; ACTIVE-LAYER; PERMAFROST SITE; SEJONG STATION; DYNAMICS; WATER</t>
  </si>
  <si>
    <t>Thermal diffusivity is a physical quantity that represents the thermal properties of soil. Amid the climate change known as global warming faced by humanity, Antarctica is one of the regions most affected by such changes. Therefore, in order to counter the effects of climate change, the thermal diffusivity of Antarctic regions is estimated in advance. In this study, the thermal diffusivities of four different locations near the King Sejong Station were estimated using temperature data measured in Antarctic soils, and temperature time series data were simulated using the finite element method. The thermal dynamic of active layer is analyzed in the soil temperature with high temporal resolution and high accuracy. In active layer of Antarctica area, calculation of thermal diffusivity is closely correlated with the freezing of excess water. From the warm and cold period, the pattern of heat production was calculated at the depth of 20 cm. The results showed that the thermal diffusivities of SJL1, SJL2 and SJL4 were 14 x 10(-7), 12 x 10(-7), and 11 x 10(-7) m(2)/s with root-mean-square (RMS) errors of 0.19953, 0.21182, and 0.32168 degrees C, respectively. The shallow geothermal gradient data of study points showed the change from cooling and heating processes except SJL3 point. The calculated thermal diffusivities of the study points range from 11 similar to 14 x 10(-7) m(2)/s, which is consistent with previous reports.</t>
  </si>
  <si>
    <t>[Kim, Heejung] Kangwon Natl Univ, Res Inst Earth Resources, Chunchon 24341, South Korea; [Lee, Jin-Yong] Kangwon Natl Univ, Dept Geol, Chunchon 24341, South Korea; [Lee, Jin-Yong] Kangwon Natl Univ, Crit Zone Frontier Res Lab CFRL, Chunchon 24341, South Korea; [Kim, Kitae] Korea Polar Res Inst, Incheon 21990, South Korea</t>
  </si>
  <si>
    <t>Kangwon National University; Kangwon National University; Kangwon National University; Korea Polar Research Institute (KOPRI)</t>
  </si>
  <si>
    <t>Lee, JY (corresponding author), Kangwon Natl Univ, Dept Geol, Chunchon 24341, South Korea.;Lee, JY (corresponding author), Kangwon Natl Univ, Crit Zone Frontier Res Lab CFRL, Chunchon 24341, South Korea.</t>
  </si>
  <si>
    <t>hydrolee@kangwon.ac.kr</t>
  </si>
  <si>
    <t>Kim, Heejung/AAH-5015-2021; KIM, HEEJUNG/AAV-3443-2021; Lee, Jin-Yong/AFL-8422-2022; Lee, JIn/HTL-6278-2023; lee, wj/JNR-4926-2023</t>
  </si>
  <si>
    <t>Kim, Heejung/0000-0003-2652-3160; Lee, Jin-Yong/0000-0002-5996-7801; Kim, Kitae/0000-0003-0803-3547</t>
  </si>
  <si>
    <t>Korea Polar Research Institute (KOPRI) Project [PE19200]; National Research Foundation of Korea (NRF) - Ministry of Education [2019R1A6A1A03033167]; National Research Foundation of Korea [2019R1A6A1A03033167] Funding Source: Korea Institute of Science &amp; Technology Information (KISTI), National Science &amp; Technology Information Service (NTIS)</t>
  </si>
  <si>
    <t>Korea Polar Research Institute (KOPRI) Project; National Research Foundation of Korea (NRF) - Ministry of Education; National Research Foundation of Korea(National Research Foundation of Korea)</t>
  </si>
  <si>
    <t>This research was financially supported by the Korea Polar Research Institute (KOPRI) Project (PE19200) and Basic Science Research Program through the National Research Foundation of Korea (NRF) funded by the Ministry of Education (No. 2019R1A6A1A03033167). The authors give special thanks to Mr. Chang-Seong Kim for his help in preparation for some figures.</t>
  </si>
  <si>
    <t>GEOLOGICAL SOC KOREA</t>
  </si>
  <si>
    <t>KOREA SCIENCE &amp; TECHNOLOGY CTR, RM 813, 7 GIL 22, TEHERAN- RO, GANGNAM-GUNA, SEOUL, 06130, SOUTH KOREA</t>
  </si>
  <si>
    <t>0705-3797</t>
  </si>
  <si>
    <t>Episodes</t>
  </si>
  <si>
    <t>10.18814/epiiugs/2019/019020</t>
  </si>
  <si>
    <t>IX4QV</t>
  </si>
  <si>
    <t>WOS:000485671600007</t>
  </si>
  <si>
    <t>Kim, JH; Chang, HY</t>
  </si>
  <si>
    <t>Kim, Jung-Hee; Chang, Heon-Young</t>
  </si>
  <si>
    <t>Association between Solar Variability and Teleconnection Index</t>
  </si>
  <si>
    <t>JOURNAL OF ASTRONOMY AND SPACE SCIENCES</t>
  </si>
  <si>
    <t>solar activity; terrestrial climate; data analysis</t>
  </si>
  <si>
    <t>POLAR STRATOSPHERIC AEROSOLS; RAY INTENSITY CHANGES; CYCLE SIGNALS; PACIFIC; TEMPERATURE; DROUGHT; CLIMATE; EVENTS; PRECIPITATION; FLUCTUATIONS</t>
  </si>
  <si>
    <t>In this study, we investigate the associations between the solar variability and teleconnection indices, which influence atmospheric circulation and subsequently, the spatial distribution of the global pressure system. A study of the link between the Sun and a large-scale mode of climate variability, which may indirectly affect the Earth's climate and weather, is crucial because the feedbacks of solar variability to an autogenic or internal process should be considered with due care. We have calculated the normalized cross-correlations of the total sunspot area, the total sunspot number, and the solar North-South asymmetry with teleconnection indices. We have found that the Southern Oscillation Index (SOI) index is anti-correlated with both solar activity and the solar North-South asymmetry, with a similar to 3-year lag. This finding not only agrees with the fact that El Nino episodes are likely to occur around the solar maximum, but also explains why tropical cyclones occurring in the solar maximum periods and in El Nino periods appear similar. Conversely, other teleconnection indices, such as the Arctic Oscillation (AO) index, the Antarctic Oscillation (AAO) index, and the Pacific-North American (PNA) index, are weakly or only slightly correlated with solar activity, which emphasizes that response of terrestrial climate and weather to solar variability are local in space. It is also found that correlations between teleconnection indices and solar activity are as good as correlations resulting from the teleconnection indices themselves.</t>
  </si>
  <si>
    <t>[Kim, Jung-Hee; Chang, Heon-Young] Kyungpook Natl Univ, Dept Astron &amp; Atmospher Sci, Daegu 41566, South Korea; [Chang, Heon-Young] Res &amp; Training Team Future Creat Astrophysicists, Plus Program BK21, Daegu 41566, South Korea</t>
  </si>
  <si>
    <t>Kyungpook National University</t>
  </si>
  <si>
    <t>Chang, HY (corresponding author), Kyungpook Natl Univ, Dept Astron &amp; Atmospher Sci, Daegu 41566, South Korea.;Chang, HY (corresponding author), Res &amp; Training Team Future Creat Astrophysicists, Plus Program BK21, Daegu 41566, South Korea.</t>
  </si>
  <si>
    <t>hyc@knu.ac.kr</t>
  </si>
  <si>
    <t>chang, heon-young/0000-0003-2015-2725</t>
  </si>
  <si>
    <t>KMA/NMSC (Korea Meteorological Administration/National Meteorological Satellite Center)'s R&amp;D Project, Technical Development on Satellite Data Application for Operational Weather Service; BK21 Plus of the National Research Foundation of Korea [22A20130000179]; National Research Foundation of Korea - Korean government [NRF-2018R1D1A3B070421880, 2018R1A6A1A06024970]</t>
  </si>
  <si>
    <t>KMA/NMSC (Korea Meteorological Administration/National Meteorological Satellite Center)'s R&amp;D Project, Technical Development on Satellite Data Application for Operational Weather Service(Korea Meteorological Administration (KMA)); BK21 Plus of the National Research Foundation of Korea(National Research Foundation of Korea); National Research Foundation of Korea - Korean government(National Research Foundation of KoreaKorean Government)</t>
  </si>
  <si>
    <t>The authors thank the anonymous referees for their critical comments and helpful suggestions, which greatly improved the original version of the manuscript. This study was funded by the KMA/NMSC (Korea Meteorological Administration/National Meteorological Satellite Center)'s R&amp;D Project, Technical Development on Satellite Data Application for Operational Weather Service, and by BK21 Plus of the National Research Foundation of Korea (22A20130000179). HYC was supported by a National Research Foundation of Korea grant funded by the Korean government (NRF-2018R1D1A3B070421880 and 2018R1A6A1A06024970).</t>
  </si>
  <si>
    <t>KOREAN SPACE SCIENCE SOC</t>
  </si>
  <si>
    <t>134 SINCHON-DONG, SEODAEMUN-GU, SEOUL, 120-749, SOUTH KOREA</t>
  </si>
  <si>
    <t>2093-5587</t>
  </si>
  <si>
    <t>2093-1409</t>
  </si>
  <si>
    <t>J ASTRON SPACE SCI</t>
  </si>
  <si>
    <t>J. Astron. Space Sci.</t>
  </si>
  <si>
    <t>10.5140/JASS.2019.36.3.149</t>
  </si>
  <si>
    <t>IX6GO</t>
  </si>
  <si>
    <t>WOS:000485781200005</t>
  </si>
  <si>
    <t>Hashimoto, T; Saito, A; Nishimura, K; Tsutsumi, M; Sato, K; Sato, T</t>
  </si>
  <si>
    <t>Hashimoto, Taishi; Saito, Akinori; Nishimura, Koji; Tsutsumi, Masaki; Sato, Kaoru; Sato, Toru</t>
  </si>
  <si>
    <t>First Incoherent Scatter Measurements and Adaptive Suppression of Field-Aligned Irregularities by the PANSY Radar at Syowa Station, Antarctic</t>
  </si>
  <si>
    <t>JOURNAL OF ATMOSPHERIC AND OCEANIC TECHNOLOGY</t>
  </si>
  <si>
    <t>Antarctica; Ionosphere; Algorithms; Radars; Radar observations; Remote sensing; Weather radar signal processing</t>
  </si>
  <si>
    <t>UPPER-ATMOSPHERE RADAR; MIDDLE</t>
  </si>
  <si>
    <t>The Program of the Antarctic Syowa Mesosphere-Stratosphere-Troposphere/Incoherent Scatter (PANSY) radar is a large atmospheric radar located at the Antarctic Syowa Station (69.01 degrees S, 39.59 degrees E). The PANSY radar performed the first incoherent scatter (IS) measurements in the Antarctic region in 2015. Several specific observations were undertaken in 2017 including a 24-h observation of the ionosphere using a peripheral antenna array to suppress interference from the field-aligned irregularities (FAIs). This paper presents the preliminary results derived from the IS measurements using the PANSY radar and the adaptive signal processing techniques to suppress FAIs. The norm-constrained and directionally constrained minimization of power (NC-DCMP) algorithm was applied to the 24-h ionosphere observations by the PANSY radar with a weighting applied to the directional constraint based on the gain differences of the subarrays. When compared with the conventional nonadaptive approach, the number of usable power profiles was increased by about 24% by the gain-weighted NC-DCMP algorithm, suggesting its effectiveness for FAI clutter suppression in ionosphere observations. Furthermore, detection of FAIs using the dedicated antenna array was found valuable in assessing the reliability of estimations of electron density based on VHF-band IS radar data.</t>
  </si>
  <si>
    <t>[Hashimoto, Taishi; Nishimura, Koji; Tsutsumi, Masaki] Natl Inst Polar Res, Tachikawa, Tokyo, Japan; [Saito, Akinori] Kyoto Univ, Div Earth &amp; Planetary Sci, Kyoto, Japan; [Sato, Kaoru] Univ Tokyo, Dept Earth &amp; Planetary Sci, Tokyo, Japan; [Sato, Toru] Kyoto Univ, Inst Liberal Arts &amp; Sci, Kyoto, Japan</t>
  </si>
  <si>
    <t>Research Organization of Information &amp; Systems (ROIS); National Institute of Polar Research (NIPR) - Japan; Kyoto University; University of Tokyo; Kyoto University</t>
  </si>
  <si>
    <t>Hashimoto, T (corresponding author), Natl Inst Polar Res, Tachikawa, Tokyo, Japan.</t>
  </si>
  <si>
    <t>hashimoto.taishi.45z@kyoto-u.jp</t>
  </si>
  <si>
    <t>Sato, Kaoru/E-1693-2012; Sato, Toru/F-3818-2012</t>
  </si>
  <si>
    <t>Hashimoto, Taishi/0000-0002-7082-9530</t>
  </si>
  <si>
    <t>National Institute of Polar Research (NIPR) under MEXT; JST CREST, Japan [JPMJCR1663]</t>
  </si>
  <si>
    <t>National Institute of Polar Research (NIPR) under MEXT; JST CREST, Japan(Core Research for Evolutional Science and Technology (CREST))</t>
  </si>
  <si>
    <t>This study is a part of the Science Program of the Japanese Antarctic Research Expedition. It was supported by the National Institute of Polar Research (NIPR) under MEXT. PANSY is a multiinstitutional project with a core team at both The University of Tokyo and NIPR. The on-site ionosonde data were provided by the National Institute of Information and Communications Technology. This work was supported by JST CREST Grant JPMJCR1663, Japan.</t>
  </si>
  <si>
    <t>0739-0572</t>
  </si>
  <si>
    <t>1520-0426</t>
  </si>
  <si>
    <t>J ATMOS OCEAN TECH</t>
  </si>
  <si>
    <t>J. Atmos. Ocean. Technol.</t>
  </si>
  <si>
    <t>10.1175/JTECH-D-18-0175.1</t>
  </si>
  <si>
    <t>Engineering, Ocean; Meteorology &amp; Atmospheric Sciences</t>
  </si>
  <si>
    <t>Engineering; Meteorology &amp; Atmospheric Sciences</t>
  </si>
  <si>
    <t>IY1MC</t>
  </si>
  <si>
    <t>WOS:000486155400001</t>
  </si>
  <si>
    <t>Escalera, L; Mangoni, O; Bolinesi, F; Saggiomo, M</t>
  </si>
  <si>
    <t>Escalera, Laura; Mangoni, Olga; Bolinesi, Francesco; Saggiomo, Maria</t>
  </si>
  <si>
    <t>Austral Summer Bloom of Loricate Choanoflagellates in the Central Ross Sea Polynya</t>
  </si>
  <si>
    <t>JOURNAL OF EUKARYOTIC MICROBIOLOGY</t>
  </si>
  <si>
    <t>Acanthoecidae; Antarctica; colonies; food web</t>
  </si>
  <si>
    <t>WEDDELL SEA; ACANTHOECIDAE; ANTARCTICA; ABUNDANCE</t>
  </si>
  <si>
    <t>A bloom of loricate choanoflagellates was recorded for the first time in the Ross Sea polynya during the austral summer 2017. Both individual cells and uncommon large-size colonies (200 mu m length) represent the 42-55% of the total plankton community (i.e. specimens from 5 to 150 mu m length). Choanoflagellates serve as a link between low and mid trophic levels since they prey on bacteria and in turn are ingested by zooplankton. This twofold role and the unusual abundance recorded in the Antarctic ecosystem may have relevant but still unknown effects on food web structure and dynamics in that area.</t>
  </si>
  <si>
    <t>[Escalera, Laura; Bolinesi, Francesco; Saggiomo, Maria] Stn Zool Anton Dohrn, Res Infrastruct Marine Biol Resources, I-80121 Naples, Italy; [Mangoni, Olga; Bolinesi, Francesco] Univ Napoli Federico II, Dept Biol, Complesso Univ Monte St Angelo, I-80126 Naples, Italy; [Mangoni, Olga] CoNISMa, Piazzale Flaminio 9, I-00196 Rome, Italy</t>
  </si>
  <si>
    <t>Stazione Zoologica Anton Dohrn di Napoli; University of Naples Federico II; CoNISMa</t>
  </si>
  <si>
    <t>Escalera, L (corresponding author), Stn Zool Anton Dohrn, Res Infrastruct Marine Biol Resources, I-80121 Villa Comunale Naples, Italy.</t>
  </si>
  <si>
    <t>laura.escalera@szn.it</t>
  </si>
  <si>
    <t>Escalera, Laura/S-2836-2018</t>
  </si>
  <si>
    <t>Escalera, Laura/0000-0003-0938-4250; Saggiomo, Maria/0000-0001-5794-0050</t>
  </si>
  <si>
    <t>Italian National Program for Antarctic Research (P-ROSE Project, PNRA) [2016/A3.06]</t>
  </si>
  <si>
    <t>Italian National Program for Antarctic Research (P-ROSE Project, PNRA)</t>
  </si>
  <si>
    <t>This study was carried out in the framework of the activities of the Italian National Program for Antarctic Research (P-ROSE Project, PNRA, 2016/A3.06) which provided logistic support. We thank the officers, crew and technical personnel on board the R/V Italica, G. Zazo for his help during the cruise and F. Iamunno for technical support. Our special thanks to V. Saggiomo for his valuable criticism of this work.</t>
  </si>
  <si>
    <t>1066-5234</t>
  </si>
  <si>
    <t>1550-7408</t>
  </si>
  <si>
    <t>J EUKARYOT MICROBIOL</t>
  </si>
  <si>
    <t>J. Eukaryot. Microbiol.</t>
  </si>
  <si>
    <t>10.1111/jeu.12720</t>
  </si>
  <si>
    <t>IW4ZT</t>
  </si>
  <si>
    <t>WOS:000484989100014</t>
  </si>
  <si>
    <t>Jago, JB; Bentley, CJ; Cooper, RA</t>
  </si>
  <si>
    <t>Jago, James B.; Bentley, Christopher J.; Cooper, Roger A.</t>
  </si>
  <si>
    <t>Cambrian biostratigraphy of the Bowers back-arc basin, Northern Victoria Land, Antarctica - A review</t>
  </si>
  <si>
    <t>PALAEOWORLD</t>
  </si>
  <si>
    <t>Cambrian; Biostratigraphy; Northern Victoria Land; Antarctica; Agnostoids; Polymerid trilobites</t>
  </si>
  <si>
    <t>LOWER PALEOZOIC ROCKS; GONDWANA MARGIN; TRILOBITE FAUNA; REILLY RIDGE; ROSS OROGEN; EVOLUTION; GEOLOGY; SERIES; SUPERGROUP; SEQUENCE</t>
  </si>
  <si>
    <t>The Bowers Mountains in Northern Victoria Land contain the richest Cambrian Series 3 (Miaolingian, middle Cambrian) and Cambrian Series 4 (Furongian, late Cambrian) fossiliferous successions in Antarctica. Almost all the fossils are found within the Bowers Supergroup, which outcrops within the Bowers Terrane, a fault-bounded northwest-southeast oriented strip in Northern Victoria Land. The fossils provide the main age control on the history and evolution of the Bowers volcanic arc and back-arc basin. The great bulk of the fossils occur within the Spurs Formation. The fossil assemblages are dominated by agnostoids and polymerid trilobites with most ranging in age from Drumian to Paibian, although one fauna is of Jiangshanian age. Over 40 agnostoid taxa and over 100 polymerid trilobite taxa have been recorded from the rocks of the Bowers Supergroup. The youngest fauna occurs within the adjacent Robertson Bay Terrane, where a limited fauna of polymerid trilobites and conodonts from within a limestone olistolith have a very late Cambrian or early Ordovician age. Faunal affinities are mainly with Australia, New Zealand, North and South China and the Himalaya with lesser ties to Iran, Kazakhstan, Siberia and Laurentia. (C) 2018 Elsevier Ireland Ltd Elsevier B.V. and Nanjing Institute of Geology and Palaeontology, CAS. Published by Elsevier B.V. All rights reserved.</t>
  </si>
  <si>
    <t>[Jago, James B.] Univ South Australia, Sch Nat &amp; Built Environm, Mawson Lakes, SA 5095, Australia; [Bentley, Christopher J.] 30 Albert St, Clare, SA 5453, Australia; [Cooper, Roger A.] Inst Geol &amp; Nucl Sci, POB 30368, Lower Hutt, New Zealand</t>
  </si>
  <si>
    <t>University of South Australia; GNS Science - New Zealand</t>
  </si>
  <si>
    <t>Jago, JB (corresponding author), Univ South Australia, Sch Nat &amp; Built Environm, Mawson Lakes, SA 5095, Australia.</t>
  </si>
  <si>
    <t>jim.jago@unisa.edu.au</t>
  </si>
  <si>
    <t>Jago, James/0000-0002-3059-1572</t>
  </si>
  <si>
    <t>GNS Science; Australian Research Council (ARC); Australian Antarctic Science Advisory Committee; University of South Australia; ARC</t>
  </si>
  <si>
    <t>GNS Science; Australian Research Council (ARC)(Australian Research Council); Australian Antarctic Science Advisory Committee; University of South Australia; ARC(Australian Research Council)</t>
  </si>
  <si>
    <t>The fossils were collected during the summers of 1974/75 and 1981/82 during expeditions of the New Zealand Antarctic Research Programme (NZARP). Logistic support was provided by NZARP, ANARE and VXE-6 squadron. RAC was supported by GNS Science (formerly New Zealand Geological Survey). JBJ has been supported by the Australian Research Council (ARC), the Australian Antarctic Science Advisory Committee and the University of South Australia. CJB has been supported by the ARC and the University of South Australia. The fossils were collected with the aid of Peter Braddock, John Simes, Bert Rowell and Dave McKinnon. We thank Shan-Chi Peng and John Laurie for constructive reviews of the paper.</t>
  </si>
  <si>
    <t>1871-174X</t>
  </si>
  <si>
    <t>1875-5887</t>
  </si>
  <si>
    <t>Palaeoworld</t>
  </si>
  <si>
    <t>10.1016/j.palwor.2018.12.002</t>
  </si>
  <si>
    <t>IT0UM</t>
  </si>
  <si>
    <t>WOS:000482562600004</t>
  </si>
  <si>
    <t>Shetye, SS; Mohan, R; Patil, S; Jawak, S; Nair, A; Warrier, AK; Badnal, M; Shirodkar, R</t>
  </si>
  <si>
    <t>Shetye, Suhas S.; Mohan, Rahul; Patil, Shramik; Jawak, Shridhar; Nair, Abhilash; Warrier, Anish Kumar; Badnal, Mahesh; Shirodkar, Riddhima</t>
  </si>
  <si>
    <t>Hidden biogeochemical anonymities under Antarctic fast ice</t>
  </si>
  <si>
    <t>Sea ice; pCO(2); Chlorophyll; Biogeochemistry; Antarctica</t>
  </si>
  <si>
    <t>PHOTOSYNTHESIS-IRRADIANCE RELATIONSHIPS; HIGH O-2 CONCENTRATIONS; SEA-ICE; PRIMARY PRODUCTIVITY; OCEAN ACIDIFICATION; SOUTHERN-OCEAN; MCMURDO SOUND; PACK ICE; DIATOM; ALGAE</t>
  </si>
  <si>
    <t>Climate change is negatively affecting the extent of summer sea ice and the global oceanic oxygen concentrations, it is therefore imperative to decipher the life processes under the Antarctic fast ice. The biogeochemical parameters like dissolved oxygen, inorganic carbon, macronutrients, phytoplankton, and chlorophyll a (Chl a) were studied under the fast ice (by drilling similar to 1.8 m thick ice) around Larsemann Hills, East Antarctica during India's Scientific Expedition to Antarctica (31-ISEA-2011/12 and 33-ISEA-2013/14). The waters under ice cover were characterized by hyperoxia (up to 10.6 ml/L). Macronutrient concentrations under sea ice were depleted (&lt;0.1 mu M NO3, PO4 and &lt;2 mu M SiO4); this could be ascribed to the nutrient demand from under ice algae. The water under the ice cover exhibited higher algal biomass (Chl a up to 6.1 mg/m(3)) and CO2 under saturation (pCO(2) &lt;10 mu atm). This is reflected through the Spearman rank correlation indicating a negative correlation between Chl a and pCO(2) (r = -0.41). The strong negative correlation between dissolved oxygen and pCO(2) (r = -0.67) suggests that photosynthesis regulates the concentrations of both these climatically important gases. The waters under the sea ice cover had brownish mucilaginous aggregates comprised of tube-forming diatoms Berkeleya adelienses and Nitzschia lecointei. These unusual biogeochemical changes were seen only at the ice water interface, and not at deeper depths. This study suggests that with global warming and sea ice melting, Antarctica might witness phytoplankton community shifts. (C) 2019 Elsevier B.V. All rights reserved.</t>
  </si>
  <si>
    <t>[Shetye, Suhas S.; Shirodkar, Riddhima] CSIR, Natl Inst Oceanog, Donapaula 403004, Goa, India; [Mohan, Rahul; Patil, Shramik; Jawak, Shridhar; Nair, Abhilash; Badnal, Mahesh] Natl Ctr Polar &amp; Ocean Res, Headland Sada 403804, Goa, India; [Jawak, Shridhar] Svalbard Integrated Arctic Earth Observing Syst S, SIOS Knowledge Ctr, Svalbard Sci Ctr, POB 156, N-9171 Longyearbyen, Svalbard, Norway; [Warrier, Anish Kumar] Manipal Acad Higher Educ, Dept Civil Engn MIT, Ctr Climate Studies, Manipal 576104, Karnataka, India</t>
  </si>
  <si>
    <t>Council of Scientific &amp; Industrial Research (CSIR) - India; CSIR - National Institute of Oceanography (NIO); Ministry of Earth Sciences (MoES) - India; National Centre for Polar and Ocean Research (NCPOR); Manipal Academy of Higher Education (MAHE)</t>
  </si>
  <si>
    <t>Shetye, SS (corresponding author), CSIR, Natl Inst Oceanog, Donapaula 403004, Goa, India.</t>
  </si>
  <si>
    <t>suhassht@gmail.com</t>
  </si>
  <si>
    <t>Jawak, Shridhar/G-9678-2012; Warrier, Anish Kumar/AAW-8890-2020</t>
  </si>
  <si>
    <t>Jawak, Shridhar/0000-0002-0648-3109; Warrier, Anish Kumar/0000-0003-0044-6224; Patil, Shramik/0000-0001-8937-1403</t>
  </si>
  <si>
    <t>Ministry of Earth Sciences, India; DST Inspire [DST/INSPIRE/04/2015/001969]</t>
  </si>
  <si>
    <t>Ministry of Earth Sciences, India; DST Inspire(Department of Science &amp; Technology (India))</t>
  </si>
  <si>
    <t>The authors would like to thank the Ministry of Earth Sciences, India for funding the Indian Antarctic Expeditions. We wish to thank Dr. Rajesh Asthana, leader of the Indian Antarctic Expedition (31-ISEA) and numerous personnel on Indian Antarctic Research Base - Bharati and the Logistic team at NCPOR for the support at Antarctica. The lead author would like to thank Director National Institute of Oceanography (NIO) for encouraging this work and allowing S. S to write this manuscript. RM would like to thank The Director, National Centre for Polar and Ocean Research (NCPOR) for encouraging this study, as part of Past Climate and Oceanic variability Group. SP would like to thank DST Inspire for providing funding (DST/INSPIRE/04/2015/001969). This is NIO contribution No: 6439 and NCPOR Contribution No: J-22/2019-20.</t>
  </si>
  <si>
    <t>10.1016/j.rsma.2019.100789</t>
  </si>
  <si>
    <t>IX4KI</t>
  </si>
  <si>
    <t>WOS:000485654700026</t>
  </si>
  <si>
    <t>Earl, N; Simmonds, I</t>
  </si>
  <si>
    <t>Earl, Nick; Simmonds, Ian</t>
  </si>
  <si>
    <t>Sub synoptic scale features of the South Australia Storm of September 2016-Part II: analysis of mechanisms driving the gusts</t>
  </si>
  <si>
    <t>WEATHER</t>
  </si>
  <si>
    <t>EXTREME SURFACE GUSTS; BOW ECHOES; CLIMATOLOGY; EVOLUTION; RADAR; WINDS; TAIL; END</t>
  </si>
  <si>
    <t>An extreme extratropical cyclone (ETC) struck South Australia on 28 September 2016, causing state-wide blackouts and damage. In the second part of this two-part study, we examine the extreme surface wind producing mechanisms within the ETC. ETCs have been extensively studied in the Northern Hemisphere (particularly in western Europe), highlighting the gust-producing mesoscale features within. Before now, no Southern Hemisphere ETC has been examined in this way. There were a number of extreme gust-producing features within the ETC, comparable to those observed in storms over western Europe. One such feature was a convective line, which caused many of the most extreme gusts and knocked out the state power grid. However, dry slot convection also contributed to the extremes, and this feature rarely causes extreme gusts in ETCs over the UK. Thus, further analysis is warranted to examine whether this is a common extreme-gust-producing ETC feature over Southern Australia. The strongest winds recorded throughout the event occurred on 29 September, and these were associated with the cold conveyor belt which spiralled around the low-pressure centre.</t>
  </si>
  <si>
    <t>[Earl, Nick; Simmonds, Ian] Univ Melbourne, Sch Earth Sci, Melbourne, Vic, Australia; [Earl, Nick] Univ Tasmania, Inst Marine &amp; Antarctic Studies, Hobart, Tas, Australia</t>
  </si>
  <si>
    <t>University of Melbourne; Melbourne Bioinformatics; University of Tasmania</t>
  </si>
  <si>
    <t>Earl, N (corresponding author), Univ Melbourne, Sch Earth Sci, Melbourne, Vic, Australia.;Earl, N (corresponding author), Univ Tasmania, Inst Marine &amp; Antarctic Studies, Hobart, Tas, Australia.</t>
  </si>
  <si>
    <t>nearl@unimelb.edu.au</t>
  </si>
  <si>
    <t>Simmonds, Ian/0000-0002-4479-3255</t>
  </si>
  <si>
    <t>Australian Research Council (ARC) [DP16010997]; ARC [CE110001028]</t>
  </si>
  <si>
    <t>Australian Research Council (ARC)(Australian Research Council); ARC(Australian Research Council)</t>
  </si>
  <si>
    <t>Parts of this research were made possible by funding from the Australian Research Council (ARC) Grant DP16010997. Nick Earl was also supported by the ARC (CE110001028).</t>
  </si>
  <si>
    <t>0043-1656</t>
  </si>
  <si>
    <t>1477-8696</t>
  </si>
  <si>
    <t>Weather</t>
  </si>
  <si>
    <t>10.1002/wea.3384</t>
  </si>
  <si>
    <t>IW5AW</t>
  </si>
  <si>
    <t>WOS:000484992000003</t>
  </si>
  <si>
    <t>Sáez, M; Ruiz, S; Ide, S; Sugioka, H</t>
  </si>
  <si>
    <t>Saez, Miguel; Ruiz, Sergio; Ide, Satoshi; Sugioka, Hiroko</t>
  </si>
  <si>
    <t>Shallow Nonvolcanic Tremor Activity and Potential Repeating Earthquakes in the Chile Triple Junction: Seismic Evidence of the Subduction of the Active Nazca Antarctic Spreading Center</t>
  </si>
  <si>
    <t>SEISMOLOGICAL RESEARCH LETTERS</t>
  </si>
  <si>
    <t>SLOW-SLIP EVENTS; 2014 IQUIQUE; PENINSULA; ZONE</t>
  </si>
  <si>
    <t>In southern Chile, at similar to 46.2 degrees S and similar to 75.2 degrees W, the active spreading center between the Nazca and Antarctic plates is colliding with the South American plate, forming the Chile triple junction (CTJ). For 1 yr, from March 2009 to February 2010, five ocean-bottom seismometers (OBSs) were deployed over the CTJ. We used a portion of the OBS data to study the seismic signatures of the subduction of the active Nazca-Antarctic spreading center. Using the envelope technique, we detected long episodes of shallow nonvolcanic tremor (NVT) activity. To improve the identified location of the NVT activity, we cross-correlated the vertical and horizontal components of all located NVTs. In different months, we measured the local maximum of the lag-time correlation near 2 s, which is associated with the lag between the S and P waves (S - P-time). Furthermore, we observed that in the days with intense tremor activity, the maxima corresponding to S - P-time emerged in windows without observable NVTs. We suggest that days with intense tremor activity correspond to an almost continuous slow slip, which may accelerate and decelerates nearly randomly, with spatial and temporal heterogeneity. In addition, we detected some potential repeating earthquakes with an S - P-time near 2 s, as well as NVTs. The detected NVT activity and potential repeating earthquakes suggest the existence of a shallow region close to the CTJ that is able to generate brittle (earth-quakes) and brittle-ductile (potential repeating earthquakes and NVTs) ruptures.</t>
  </si>
  <si>
    <t>[Saez, Miguel; Ruiz, Sergio] Univ Chile, Dept Geophys, Ave Blanco Encalada 2002, Santiago, Chile; [Ide, Satoshi] Univ Tokyo, Dept Earth &amp; Planetary Sci, Bunkyo Ku, Hongo 7-3-1, Tokyo 1130033, Japan; [Sugioka, Hiroko] Kobe Univ, Dept Planetol, Nada Ku, Rokkodai Cho, Kobe, Hyogo 6578501, Japan</t>
  </si>
  <si>
    <t>Universidad de Chile; University of Tokyo; Kobe University</t>
  </si>
  <si>
    <t>Sáez, M (corresponding author), Univ Chile, Dept Geophys, Ave Blanco Encalada 2002, Santiago, Chile.</t>
  </si>
  <si>
    <t>msaez@dgf.uchile.cl</t>
  </si>
  <si>
    <t>IDE, SATOSHI/G-4887-2014; Ruiz, Sergio/D-6688-2013; Sugioka, Hiroko/N-5368-2015</t>
  </si>
  <si>
    <t>Ruiz, Sergio/0000-0003-1758-0788; Sugioka, Hiroko/0000-0003-1883-4049; Saez Arias, Miguel/0000-0003-2185-2272</t>
  </si>
  <si>
    <t>Comision Nacional de Investigacion Cientifica y Tecnologica (CONICYT) [2017-21171480]; Chilean Fondo Nacional de Desarrollo Cientifico y Tecnologico (FONDECYT) [1170430]; CONICYT Programa de Investigacion Asociativa (PIA)/Anillo de Investigacion en Ciencia y Tecnologia [ACT172002]; JSPS [16H02219]; Ministry of Education, Culture, Sports, Science and Technology (MEXT) KAKENHI [16H06477]; Grants-in-Aid for Scientific Research [16H02219] Funding Source: KAKEN</t>
  </si>
  <si>
    <t>Comision Nacional de Investigacion Cientifica y Tecnologica (CONICYT)(Comision Nacional de Investigacion Cientifica y Tecnologica (CONICYT)); Chilean Fondo Nacional de Desarrollo Cientifico y Tecnologico (FONDECYT)(Comision Nacional de Investigacion Cientifica y Tecnologica (CONICYT)CONICYT FONDECYT); CONICYT Programa de Investigacion Asociativa (PIA)/Anillo de Investigacion en Ciencia y Tecnologia; JSPS(Ministry of Education, Culture, Sports, Science and Technology, Japan (MEXT)Japan Society for the Promotion of Science); Ministry of Education, Culture, Sports, Science and Technology (MEXT)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</si>
  <si>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Miguel Saez thanks the scholarship PCHA/Doctorado Nacional/2017-21171480, granted by Comision Nacional de Investigacion Cientifica y Tecnologica (CONICYT). S. R. thanks the support of Chilean Fondo Nacional de Desarrollo Cientifico y Tecnologico (FONDECYT), Grant Number 1170430, and CONICYT Programa de Investigacion Asociativa (PIA)/Anillo de Investigacion en Ciencia y Tecnologia ACT172002. Authors thank Japan Society for the Promotion of Science (JSPS) Inter-University Exchange Project (Sciece and Engineering Exchange program with Latin America [SEELA]), JSPS Grants-in-Aid for Scientific Research (KAKENHI) (16H02219), and the Ministry of Education, Culture, Sports, Science and Technology (MEXT) KAKENHI (16H06477).</t>
  </si>
  <si>
    <t>SEISMOLOGICAL SOC AMER</t>
  </si>
  <si>
    <t>ALBANY</t>
  </si>
  <si>
    <t>400 EVELYN AVE, SUITE 201, ALBANY, CA 94706-1375 USA</t>
  </si>
  <si>
    <t>0895-0695</t>
  </si>
  <si>
    <t>1938-2057</t>
  </si>
  <si>
    <t>SEISMOL RES LETT</t>
  </si>
  <si>
    <t>Seismol. Res. Lett.</t>
  </si>
  <si>
    <t>10.1785/0220180394</t>
  </si>
  <si>
    <t>IV9FP</t>
  </si>
  <si>
    <t>WOS:000484569600006</t>
  </si>
  <si>
    <t>Guo, XH; Wang, N; Yuan, XX; Zhang, XY; Chen, XL; Zhang, YZ; Song, XY</t>
  </si>
  <si>
    <t>Guo, Xiao-Han; Wang, Ning; Yuan, Xiao-Xue; Zhang, Xi-Ying; Chen, Xiu-Lan; Zhang, Yu-Zhong; Song, Xiao-Yan</t>
  </si>
  <si>
    <t>Poseidonibacter antarcticus sp. nov., isolated from Antarctic intertidal sediment</t>
  </si>
  <si>
    <t>the genus Poseidonibacter; sp. nov.; Antarctic intertidal sediment</t>
  </si>
  <si>
    <t>MULTIPLE SEQUENCE ALIGNMENT; GENES; DNA</t>
  </si>
  <si>
    <t>A Gram-reaction-negative, aerobic, flagellated and coccoid-shaped bacterial strain, designated SM1702Y(T), was isolated from Antarctic intertidal sediment collected off Ardely Island, West Antarctica. The strain grew at 0-30 degrees C and with 0.5-5.0% (w/v) NaCl. Phylogenetic analysis based on 16S rRNA gene sequences and single-copy orthologous clusters both showed that strain SM1702(T), together with Poseidonibacter lekithochrous, occupied an independent phylogenetic branch, sharing the highest 16S rRNA gene sequence similarity with type strain of the latter (95.6 %). The major fatty acids were summed feature 3 (C-16:1 omega 7c and/or C-16:1 omega 6c), summed feature 8 (C-18:1 omega 7c and/or C-18:1 omega 6c), C-16:0, and summed feature 2 (C-14:0 3-OH and/or iso-C-16:1 l). Polar lipids were phosphatidylethanolamine and phosphatidylglycerol. The genomic DNA G+C content of strain SM1702(T) was 27.1 mol%. Based on the results of the polyphasic characterisation for strain SM1702(T), it is identified as the representative of a novel species of Poseidonibacter, for which the name Poseidonibacter antarcticus sp. nov. is proposed. The type strain of Poseidonibacter antarcticus is SM1702(T) (=MCCC 1K03471(T) = KCTC 62796(T)).</t>
  </si>
  <si>
    <t>[Guo, Xiao-Han; Wang, Ning; Yuan, Xiao-Xue; Zhang, Xi-Ying; Chen, Xiu-Lan; Zhang, Yu-Zhong; Song, Xiao-Yan] Shandong Univ, State Key Lab Microbial Technol, Qingdao 266237, Shandong, Peoples R China; [Guo, Xiao-Han; Wang, Ning; Yuan, Xiao-Xue; Zhang, Xi-Ying; Chen, Xiu-Lan; Zhang, Yu-Zhong; Song, Xiao-Yan] Shandong Univ, Marine Biotechnol Res Ctr, Qingdao 266237, Shandong, Peoples R China; [Zhang, Yu-Zhong] Qingdao Natl Lab Marine Sci &amp; Technol, Lab Marine Biol &amp; Biotechnol, Qingdao 266237, Shandong, Peoples R China</t>
  </si>
  <si>
    <t>Shandong University; Shandong University; Laoshan Laboratory</t>
  </si>
  <si>
    <t>Song, XY (corresponding author), Shandong Univ, State Key Lab Microbial Technol, Qingdao 266237, Shandong, Peoples R China.;Song, XY (corresponding author), Shandong Univ, Marine Biotechnol Res Ctr, Qingdao 266237, Shandong, Peoples R China.</t>
  </si>
  <si>
    <t>songxy@sdu.edu.cn</t>
  </si>
  <si>
    <t>Zhang, Xi/HJH-1211-2023</t>
  </si>
  <si>
    <t>National Key R and D Program of China [2018YFC1406703, 2018YFC1406704, 2018YFC1406500]; AoShan Talents Cultivation Program - Qingdao National Laboratory for Marine Science and Technology [2017ASTCP-OS14]; National Science Foundation of China [31670063, 31570042, 31870052]; Chinese Arctic and Antarctic Administration, State Oceanic Administration, PR China [2012GW04004, 2014GW07007, 2013YR03003, 2014YR01011, 15/16YR07, 2016YR07007]; Taishan Scholars Program of Shandong Province [2009TS079]; Science and Technology Basic Resources Investigation Program of China [2017FY100804]; key laboratory of global change and marine-atmospheric chemistry of the State Oceanic Administration, PR China [2018GCMAC16]</t>
  </si>
  <si>
    <t>National Key R and D Program of China; AoShan Talents Cultivation Program - Qingdao National Laboratory for Marine Science and Technology; National Science Foundation of China(National Natural Science Foundation of China (NSFC)); Chinese Arctic and Antarctic Administration, State Oceanic Administration, PR China; Taishan Scholars Program of Shandong Province; Science and Technology Basic Resources Investigation Program of China; key laboratory of global change and marine-atmospheric chemistry of the State Oceanic Administration, PR China</t>
  </si>
  <si>
    <t>The work was supported by National Key R and D Program of China (2018YFC1406703, 2018YFC1406704 and 2018YFC1406500, awarded to Yu-Zhong Zhang and Xi-Ying Zhang and Xiao-Yan Song, respectively), AoShan Talents Cultivation Program Supported by Qingdao National Laboratory for Marine Science and Technology (2017ASTCP-OS14, awarded to Yu-Zhong Zhang), the National Science Foundation of China (grants 31670063, 31570042 and 31870052, awarded to XiYing Zhang, Xiao-Yan Song and Xiu-Lan Chen, respectively), Chinese Arctic and Antarctic Administration, State Oceanic Administration, PR China (2012GW04004, 2014GW07007, 2013YR03003, 2014YR01011, 15/16YR07 and 2016YR07007, all awarded to Yu-Zhong Zhang), Taishan Scholars Program of Shandong Province (2009TS079, awarded to Yu-Zhong Zhang), the Science and Technology Basic Resources Investigation Program of China (2017FY100804, awarded to Xi-Ying Zhang) and the funding from key laboratory of global change and marine-atmospheric chemistry of the State Oceanic Administration, PR China (2018GCMAC16, awarded to Xi-Ying Zhang). Persons employed by the funders had no role in the study or in the preparation of the article or decision to publish.</t>
  </si>
  <si>
    <t>10.1099/ijsem.0.003539</t>
  </si>
  <si>
    <t>IV6FY</t>
  </si>
  <si>
    <t>WOS:000484365500013</t>
  </si>
  <si>
    <t>Kämpfer, P; Irgang, R; Poblete-Morales, M; Fernández-Negrete, G; Glaeser, SP; Fuentes-Messina, D; Avendaño-Herrera, R</t>
  </si>
  <si>
    <t>Kaempfer, Peter; Irgang, Rute; Poblete-Morales, Matias; Fernandez-Negrete, Guillermo; Glaeser, Stefanie P.; Fuentes-Messina, Derie; Avendano-Herrera, Ruben</t>
  </si>
  <si>
    <t>Paracoccus nototheniae sp. nov., isolated from a black rock cod fish (Notothenia coriiceps) from the Chilean Antarctic</t>
  </si>
  <si>
    <t>Paracoccus; nototheniae; taxonomy</t>
  </si>
  <si>
    <t>RIBOSOMAL-RNA GENE; BACTERIUM; SEQUENCE; SOIL; SEA</t>
  </si>
  <si>
    <t>An orange-pigmented, oxidase-positive bacterial strain (I-41R45(T)), isolated from the kidney of a black rock cod fish sampled in the Chilean Antarctic was studied in a polyphasic taxonomic investigation. Cells of the isolate were coccoid and stained Gram-negative. A comparison of the 16S rRNA gene sequence of strain I-41R45(T) with sequences of type strains of most closely related Paracoccus species showed highest sequence similarities to Paracoccus hibiscisoli (98.4 %), Paracoccus marcusii (98.3%), Paracoccus haeundaensis and Paracoccus carotinifaciens (both 98.2%). 16S rRNA gene sequence similarities to all other Paracoccus species were below 97%. The draft genome of strain I-41R45(T) had a size of 4.59 Mb with a DNA G+C content of 65.26 mol% and included the prediction and annotation of 4426 coding genes, 1973 protein-coding genes and 46 tRNAs. The fatty acid profile of strain I-41R45(T) consisted mainly of the major fatty acids C-18 : 1 omega 7c/omega 9t/omega 12t and C-18: 0, typical of the genus Paracoccus. DNA-DNA hybridizations between I-41R45(T) and type strains of P. hibiscisoli, P. marcusii and P. haeundaensis resulted in similarity values of 45% (reciprocal 26 %), 66% (reciprocal 61 %), and 29% (reciprocal 36 %), respectively. DNA-DNA hybridization results, together with the differentiating biochemical and chemotaxonomic properties, showed that strain I-41R45(T) represents a novel Paracoccus species, for which the name Paracoccus nototheniae sp. nov. (type strain I-41R45(T)=CCM 8875(T)=CIP 111632(T)), is proposed.</t>
  </si>
  <si>
    <t>[Kaempfer, Peter; Glaeser, Stefanie P.] Univ Giessen, Inst Angew Mikrobiol, Giessen, Germany; [Irgang, Rute; Poblete-Morales, Matias; Avendano-Herrera, Ruben] Univ Andres Bello, Lab Patol Organismos Acuat &amp; Biotecnol Acuicola, Fac Ciencias Vida, Vina Del Mar, Chile; [Irgang, Rute; Poblete-Morales, Matias; Avendano-Herrera, Ruben] Ctr FONDAP, Interdisciplinary Ctr Aquaculture Res INCAR, Vina Del Mar, Chile; [Fernandez-Negrete, Guillermo; Fuentes-Messina, Derie] Fraunhofer Chile Res Fdn, Ctr Syst Biotechnol, Santiago, Chile; [Avendano-Herrera, Ruben] Univ Andres Bello, Ctr Invest Marina Quintay CIMARQ, Quintay, Chile</t>
  </si>
  <si>
    <t>Justus Liebig University Giessen; Universidad Andres Bello; Universidad Andres Bello</t>
  </si>
  <si>
    <t>Kämpfer, P (corresponding author), Univ Giessen, Inst Angew Mikrobiol, Giessen, Germany.;Avendaño-Herrera, R (corresponding author), Univ Andres Bello, Lab Patol Organismos Acuat &amp; Biotecnol Acuicola, Fac Ciencias Vida, Vina Del Mar, Chile.;Avendaño-Herrera, R (corresponding author), Ctr FONDAP, Interdisciplinary Ctr Aquaculture Res INCAR, Vina Del Mar, Chile.;Avendaño-Herrera, R (corresponding author), Univ Andres Bello, Ctr Invest Marina Quintay CIMARQ, Quintay, Chile.</t>
  </si>
  <si>
    <t>Poblete-Morales, Matías/AAS-1973-2020; Kampfer, Peter/P-7643-2019; Irgang, Rute/H-2399-2015; Fuentes, Derie/GLS-8773-2022; Glaeser, Stefanie/ABI-5518-2020</t>
  </si>
  <si>
    <t>Instituto Antartico Chileno (INACH) [RT_08_13]; FONDAP - Comision Nacional de Investigacion Cientifica y Tecnologica (CONICYT, Chile) [15110027, FONDECYT 1190283]</t>
  </si>
  <si>
    <t>Instituto Antartico Chileno (INACH); FONDAP - Comision Nacional de Investigacion Cientifica y Tecnologica (CONICYT, Chile)</t>
  </si>
  <si>
    <t>We thank Gundula Will, Maria Sowinsky, Katja Grebing and Jan Rodrigues-Fonseca for excellent technical assistance and Professor Aharon Oren for his advice on the specific epithet. R. A.-H. also acknowledges support received by the Grants FONDAP nos. 15110027 and FONDECYT 1190283, awarded by the Comision Nacional de Investigacion Cientifica y Tecnologica (CONICYT, Chile) and Grant RT_08_13 entitled 'Study of viral and bacterial diversity in seawater and Antarctic fish species: Finding of natural reservoir of salmonid pathogens' by the Instituto Antartico Chileno (INACH). We thank Dr Marcelo Cortez-San Martin for his help in taking the sample.</t>
  </si>
  <si>
    <t>10.1099/ijsem.0.003557</t>
  </si>
  <si>
    <t>WOS:000484365500025</t>
  </si>
  <si>
    <t>Schmidt-Rhaesa, A; Freese, M</t>
  </si>
  <si>
    <t>Schmidt-Rhaesa, Andreas; Freese, Maria</t>
  </si>
  <si>
    <t>Microscopic priapulid larvae from Antarctica</t>
  </si>
  <si>
    <t>ZOOLOGISCHER ANZEIGER</t>
  </si>
  <si>
    <t>5th International Scalidophora Workshop</t>
  </si>
  <si>
    <t>JAN 28-FEB 01, 2019</t>
  </si>
  <si>
    <t>Fed Univ Parana, Ctr Marine Studies, Parana, BRAZIL</t>
  </si>
  <si>
    <t>Fed Univ Parana, Ctr Marine Studies</t>
  </si>
  <si>
    <t>Priapulida; Larva; Antarctica; Lorica; SEM</t>
  </si>
  <si>
    <t>TUBILUCHUS PRIAPULIDA; MORPHOLOGY</t>
  </si>
  <si>
    <t>We report 24 larvae of macroscopic priapulids from north of the Antarctic Peninsula and from Potter Bay, King George Island. We assign the larvae to four groups according to their lorica pattern, which consists of platelets created by ridges. In larvae of the first group the platelets in the middle region of the lorica interdigitate in a zig-zag way, this has been described only for Priapulopsis australis. Larvae of groups 2 and 3 have more rectangular platelets and differ in the presence and abundance of paired versus unpaired platelets. The position of the larval tubuli corresponds to reported larvae of Priapulus tuberculatospinosus, but the lorica pattern has not been described in detail for this species. It is assumed to resemble the one in Priapulus caudatus, from which our larvae differ. Therefore the assignment to P. tuberculatospinosus is a bit vague. Larvae of group 4 are small and have little lorica structure. They may represent very young larval stages, probably of the co-occurring P. australis. (C) 2019 Elsevier GmbH. All rights reserved.</t>
  </si>
  <si>
    <t>[Schmidt-Rhaesa, Andreas; Freese, Maria] Univ Hamburg, Ctr Nat Kunde, Martin Luther King Pl 3, D-0146 Hamburg, Germany</t>
  </si>
  <si>
    <t>University of Hamburg</t>
  </si>
  <si>
    <t>Schmidt-Rhaesa, A (corresponding author), Univ Hamburg, Ctr Nat Kunde, Martin Luther King Pl 3, D-0146 Hamburg, Germany.</t>
  </si>
  <si>
    <t>andreas.schmidt-rhaesa@uni-hamburg.de</t>
  </si>
  <si>
    <t>0044-5231</t>
  </si>
  <si>
    <t>ZOOL ANZ</t>
  </si>
  <si>
    <t>Zool. Anz.</t>
  </si>
  <si>
    <t>10.1016/j.jcz.2019.06.001</t>
  </si>
  <si>
    <t>IV9JJ</t>
  </si>
  <si>
    <t>WOS:000484579900002</t>
  </si>
  <si>
    <t>Baird, HP; Janion-Scheepers, C; Stevens, MI; Leihy, RI; Chown, SL</t>
  </si>
  <si>
    <t>Baird, Helena P.; Janion-Scheepers, Charlene; Stevens, Mark I.; Leihy, Rachel I.; Chown, Steven L.</t>
  </si>
  <si>
    <t>The ecological biogeography of indigenous and introduced Antarctic springtails</t>
  </si>
  <si>
    <t>alien species; endemicity; island biogeography; richness; soil biota; turnover</t>
  </si>
  <si>
    <t>SOUTHERN-OCEAN ISLANDS; SPECIES RICHNESS; MACROECOLOGICAL PATTERNS; PROPAGULE PRESSURE; PLANT INVASIONS; ZETA DIVERSITY; HUMAN IMPACTS; BIODIVERSITY; TERRESTRIAL; COLLEMBOLA</t>
  </si>
  <si>
    <t>Aim We investigated turnover and richness in Antarctic springtails to understand large-scale patterns in soil faunal diversity and how these are altered by biological invasions. Location Antarctica and the Southern Ocean Islands. Taxon Collembola (springtails). Methods We developed a database of all springtail species recorded from the Antarctic region. The relationship of species richness and turnover to high-resolution environmental data was explored using generalized linear models and generalized dissimilarity models, and compared among indigenous and introduced species. Endemicity and species turnover were assessed using beta-diversity and multi-site zeta diversity metrics to explore whether introduced species have homogenized assemblages across the region. Results Indigenous, endemic and introduced species richness covaried positively with temperature. Endemic richness was further related to thermal heterogeneity, and introduced species richness to human occupancy. Indigenous and introduced species richness covaried positively. Species turnover across the region was high, and the introduction of non-indigenous species further differentiated assemblages. Species similarity between sites was not related to distance, nor was geographic isolation correlated with species richness. Assemblage turnover was influenced by the area and temperature range of islands. Main conclusions Energy availability appears to be the primary covariate of species richness, with human presence additionally influencing introduced species richness, in agreement with other soil-dwelling taxa. Dispersal limitation surprisingly does not seem to be important in structuring these assemblages, nor does island age appear to affect richness; this may in part reflect the severe glacial history of the region. The differentiating effect of introduced species on assemblages suggests that anthropogenic introductions originate from distinct source pools, challenging common assumptions for the Antarctic. Positive covariance between indigenous and introduced species richness accords with the rich get richer hypothesis. Thus, the most biotically diverse terrestrial areas of Antarctica may be the most prone to future biological invasion.</t>
  </si>
  <si>
    <t>[Baird, Helena P.; Leihy, Rachel I.; Chown, Steven L.] Monash Univ, Sch Biol Sci, Melbourne, Vic 3800, Australia; [Janion-Scheepers, Charlene] South African Museum, Iziko Museums, Cape Town, South Africa; [Janion-Scheepers, Charlene] Univ Free State, Dept Zool &amp; Entomol, Bloemfontein, South Africa; [Stevens, Mark I.] South Australian Museum, Adelaide, SA, Australia; [Stevens, Mark I.] Univ South Australia, Sch Pharm &amp; Med Sci, Adelaide, SA, Australia</t>
  </si>
  <si>
    <t>Monash University; University of the Free State; South Australian Museum; University of South Australia</t>
  </si>
  <si>
    <t>Baird, HP (corresponding author), Monash Univ, Sch Biol Sci, Melbourne, Vic 3800, Australia.</t>
  </si>
  <si>
    <t>Helena.Baird@monash.edu</t>
  </si>
  <si>
    <t>Chown, Steven/ABD-7646-2021; Chown, Steven/H-3347-2011</t>
  </si>
  <si>
    <t>Chown, Steven/0000-0001-6069-5105; Leihy, Rachel/0000-0001-9672-625X; Janion-Scheepers, Charlene/0000-0001-5942-7912; Baird, Helena/0000-0002-7560-8331</t>
  </si>
  <si>
    <t>10.1111/jbi.13639</t>
  </si>
  <si>
    <t>IU5CC</t>
  </si>
  <si>
    <t>WOS:000483602900006</t>
  </si>
  <si>
    <t>Curbelo, J; Mechoso, CR; Mancho, AM; Wiggins, S</t>
  </si>
  <si>
    <t>Curbelo, Jezabel; Mechoso, Carlos R.; Mancho, Ana M.; Wiggins, Stephen</t>
  </si>
  <si>
    <t>Lagrangian study of the final warming in the southern stratosphere during 2002: Part I. The vortex splitting at upper levels</t>
  </si>
  <si>
    <t>Stratospheric sudden warming; Vortex boundary; Kinematic models; Filamentation; Vortex split</t>
  </si>
  <si>
    <t>ANTARCTIC POLAR VORTEX; PLANETARY-WAVES; OZONE HOLE; WINTER; HEMISPHERE; TRANSPORT; CLIMATOLOGY; BREAKDOWN; DYNAMICS; BREAKING</t>
  </si>
  <si>
    <t>The present two-part paper provides a Lagrangian perspective of the final southern warming in 2002, during which the stratospheric polar vortex (SPV) experienced a unique splitting. Part I focuses on the understanding of fundamental processes for filamentation and ultimately for vortex splitting on a selected isentropic surface in the middle stratosphere. Part II discusses the three-dimensional evolution of the selected sudden warming event. We approach the subject from a dynamical systems viewpoint and search for Lagrangian coherent structures using a Lagrangian descriptor as a tool. In this Part I we work in the idealized framework of a kinematic model that allows for an understanding of the contributing elements of the flow in late September during the splitting. We introduce a definition of kinematic SPV boundary based on a criterion for binning parcels inside and outside the vortex according to their values of the Lagrangian descriptor and associated PDF. This definition is justified by using arguments that go beyond heuristic considerations based on the potential vorticity. Next, we turn to the filamentation processes along this kinematic boundary, and the role of Lagrangian structures in the SPV splitting. We determine a criterion for splitting based on the structure of the evolving unstable and unstable manifolds.</t>
  </si>
  <si>
    <t>[Curbelo, Jezabel] Univ Autonoma Madrid, Fac Ciencias, Dept Matemat, E-28049 Madrid, Spain; [Curbelo, Jezabel; Mancho, Ana M.] UAM, CSIC, UC3M, UCM,Inst Ciencias Matemat, C Nicolas Cabrera 15,Campus Cantoblanco UAM, Madrid 28049, Spain; [Mechoso, Carlos R.] Univ Calif Los Angeles, Dept Atmospher &amp; Ocean Sci, Los Angeles, CA USA; [Wiggins, Stephen] Univ Bristol, Sch Math, Bristol BS8 1TW, Avon, England</t>
  </si>
  <si>
    <t>Autonomous University of Madrid; Autonomous University of Madrid; Consejo Superior de Investigaciones Cientificas (CSIC); CSIC - Instituto de Ciencias Matematicas (ICMAT); Universidad Carlos III de Madrid; CSIC - Instituto de Ciencia de Materiales de Madrid (ICMM); Complutense University of Madrid; University of California System; University of California Los Angeles; University of Bristol</t>
  </si>
  <si>
    <t>Curbelo, J (corresponding author), Univ Autonoma Madrid, Fac Ciencias, Dept Matemat, E-28049 Madrid, Spain.;Curbelo, J (corresponding author), UAM, CSIC, UC3M, UCM,Inst Ciencias Matemat, C Nicolas Cabrera 15,Campus Cantoblanco UAM, Madrid 28049, Spain.</t>
  </si>
  <si>
    <t>jezabel.curbelo@uam.es</t>
  </si>
  <si>
    <t>Mancho, Ana Maria/K-5194-2014; Curbelo, Jezabel/F-8394-2019; Curbelo, Jezabel/AAA-8806-2021</t>
  </si>
  <si>
    <t>Mancho, Ana Maria/0000-0002-8385-7098; Curbelo, Jezabel/0000-0002-7276-0127; Wiggins, Stephen/0000-0002-0780-0911</t>
  </si>
  <si>
    <t>MINECO [MTM2014-56392-R]; ONR [N00014-17-1-3003, N00014-01-1-0769]; U.S. NSF [AGS-1245069]; European Union's Horizon 2020 research and innovation programme under the Marie Sklodowska-Curie Grant [777822]</t>
  </si>
  <si>
    <t>MINECO(Spanish Government); ONR(Office of Naval Research); U.S. NSF(National Science Foundation (NSF)); European Union's Horizon 2020 research and innovation programme under the Marie Sklodowska-Curie Grant(Marie Curie Actions)</t>
  </si>
  <si>
    <t>J. Curbelo and A. M. Mancho were supported by MINECO Grant MTM2014-56392-R. A. M. Mancho and J. Curbelo are supported by ONR. Grant No. N00014-17-1-3003. C. R. Mechoso was supported by the U.S. NSF Grant AGS-1245069. The research of S. Wiggins is supported by ONR Grant No. N00014-01-1-0769. This paper has also received funding from the European Union's Horizon 2020 research and innovation programme under the Marie Sklodowska-Curie Grant Agreement No. 777822.</t>
  </si>
  <si>
    <t>10.1007/s00382-019-04832-y</t>
  </si>
  <si>
    <t>IU5KU</t>
  </si>
  <si>
    <t>WOS:000483626900018</t>
  </si>
  <si>
    <t>Koushik, N; Kumar, KK; Subrahmanyam, KV; Ramkumar, G; Girach, IA; Santosh, M; Nalini, K; Nazeer, M; Shreedevi, PR</t>
  </si>
  <si>
    <t>Koushik, N.; Kumar, Karanam Kishore; Subrahmanyam, K., V; Ramkumar, Geetha; Girach, I. A.; Santosh, M.; Nalini, K.; Nazeer, M.; Shreedevi, P. R.</t>
  </si>
  <si>
    <t>Characterization of inertia gravity waves and associated dynamics in the lower stratosphere over the Indian Antarctic station, Bharati (69.4°S, 76.2°E) during austral summers</t>
  </si>
  <si>
    <t>Middle atmosphere dynamics; Inertia gravity waves; Lower stratosphere; Wavelet analysis</t>
  </si>
  <si>
    <t>MOMENTUM FLUX; GENERAL-CIRCULATION; RADAR OBSERVATIONS; LOWER ATMOSPHERE; PARAMETERIZATIONS; SOUNDINGS</t>
  </si>
  <si>
    <t>Atmospheric gravity waves over the Polar Regions are found to have myriad effects on the dynamics and chemistry of the middle atmosphere. Data collected from high vertical resolution radiosonde measurements carried out in campaign mode from the Indian research base in Antarctica, Bharati (69.4 degrees S, 76.2 degrees E) during the austral summer seasons of 2014-2015, 2015-2016 and 2016-2017 were used to characterize inertia gravity waves (IGWs). Wavelet analysis technique is employed to identify and isolate individual IGW packets. IGWs in the lower stratosphere region are characterized in terms of their vertical and horizontal wavelengths, intrinsic frequencies, directions of propagation, momentum fluxes, energy densities and ground based phase speeds. The observed gravity waves have short vertical wavelengths (similar to 2 km) and low intrinsic frequencies (1f-2f). Zonal and meridional components of momentum fluxes are found to have comparable magnitudes. From the direction of propagation estimates, it is observed that the IGWs have a marginal predisposition towards eastward propagation during austral summers. It is found that the lower stratospheric region over Bharati during summertime is dominated by IGWs from non-orographic sources. Evidences for generation of IGWs from an upper tropospheric jet streak observed over Bharati station are provided. The jet streak is found to be associated with the intrusion of low potential vorticity air from middle latitudes and the accompanied development of an anti-cyclonic circulation. The observations suggest that low potential vorticity intrusion happened as a result of breaking of poleward propagating Rossby wave. Spontaneous adjustment of the unstable jet could be responsible for the IGW generation. The significance of the present results lie in characterizing the summer time IGW over the Bharati station for the first time using wavelet based approach and identifying the possible source mechanism.</t>
  </si>
  <si>
    <t>[Koushik, N.; Kumar, Karanam Kishore; Subrahmanyam, K., V; Ramkumar, Geetha; Girach, I. A.; Santosh, M.; Nalini, K.; Nazeer, M.; Shreedevi, P. R.] Vikram Sarabhai Space Ctr, Space Phys Lab, Thiruvananthapuram 695022, Kerala, India</t>
  </si>
  <si>
    <t>Department of Space (DoS), Government of India; Indian Space Research Organisation (ISRO); Vikram Sarabhai Space Center (VSSC)</t>
  </si>
  <si>
    <t>Koushik, N (corresponding author), Vikram Sarabhai Space Ctr, Space Phys Lab, Thiruvananthapuram 695022, Kerala, India.</t>
  </si>
  <si>
    <t>koushiknk@gmail.com</t>
  </si>
  <si>
    <t>Girach, Imran/AHD-4916-2022; N, Koushik/R-4848-2019; Santosh, M/B-2563-2012; Kumar, Karanam Kishore/IUP-2733-2023</t>
  </si>
  <si>
    <t>Girach, Imran/0000-0002-8354-1173; N, Koushik/0000-0002-6770-0349; Santosh, M/0000-0002-1073-8477; Krishnankutty, Nalini/0000-0003-4553-5781; , Santosh/0000-0002-9131-0420</t>
  </si>
  <si>
    <t>Indian Space Research Organization (ISRO)</t>
  </si>
  <si>
    <t>N. Koushik gratefully acknowledges the financial support and research opportunity provided by Indian Space Research Organization (ISRO) for his research work. The authors thank the India Meteorological Department (IMD) for providing hydrogen gas cylinders for balloon ascents. Thanks to the National Centre for Polar and Ocean Research (NCPOR) and all the expedition members for providing necessary logistic support for the conduct of experiments during the Indian Scientific Expeditions to Antarctica. The authors wish to express their gratitude towards Director, SPL for the constant support and encouragement. We gratefully thank two anonymous reviewers for their insightful comments.</t>
  </si>
  <si>
    <t>10.1007/s00382-019-04665-9</t>
  </si>
  <si>
    <t>WOS:000483626900024</t>
  </si>
  <si>
    <t>Koppel, DJ; Adams, MS; King, CK; Jolley, DF</t>
  </si>
  <si>
    <t>Koppel, Darren J.; Adams, Merrin S.; King, Catherine K.; Jolley, Dianne F.</t>
  </si>
  <si>
    <t>Preliminary study of cellular metal accumulation in two Antarctic marine microalgae - implications for mixture interactivity and dietary risk</t>
  </si>
  <si>
    <t>BIOTIC LIGAND MODEL; FREE-ION ACTIVITY; REPRODUCTIVE TOXICITY; GREEN-ALGA; COPPER; ZINC; CADMIUM; BIOAVAILABILITY; PHAEOCYSTIS; NICKEL</t>
  </si>
  <si>
    <t>Localised sites in Antarctica are contaminated with mixtures of metals, yet the risk this contamination poses to the marine ecosystem is not well characterised. Recent research showed that two Antarctic marine microalgae have antagonistic responses to a mixture of five common metals (Koppel et al., 2018a). However, the metal accumulating potential and risk to secondary consumers through dietary exposure are still unknown. This study investigates cellular accumulation following exposure to a mixture of cadmium, copper, nickel, lead, and zinc for the Antarctic marine microalgae, Phaeocystis antarctica and Cryothecomonas armigera. In both microalgae, cellular cadmium, copper, and lead concentrations increased with increasing exposures while cellular nickel and zinc did not. For both microalgae, copper in the metal mixture drives inhibition of growth rate with R-2 values &gt; -0.84 for all cellular fractions in both species and the observed antagonism was likely caused by zinc competition, having significantly positive partial regressions. Metal accumulation to P. antarctica and C. armigera is likely to be toxic to consumer organisms, with low exposure concentrations resulting in cellular concentrations of 500 and 1400 x 10(-18) mol Zn cell(-1) and 160 and 320 x 10(-18) mol Cu cell(-1), respectively. Crown Copyright (C) 2019 Published by Elsevier Ltd. All rights reserved.</t>
  </si>
  <si>
    <t>[Koppel, Darren J.; Jolley, Dianne F.] Univ Technol Sydney, Fac Sci, Ultimo, NSW, Australia; [Koppel, Darren J.] Univ Wollongong, Sch Chem, Wollongong, NSW, Australia; [Koppel, Darren J.; Adams, Merrin S.] CSIRO Land &amp; Water, Lucas Heights, NSW, Australia; [King, Catherine K.] Australian Antarctic Div, Kingston, Tas, Australia</t>
  </si>
  <si>
    <t>University of Technology Sydney; University of Wollongong; Commonwealth Scientific &amp; Industrial Research Organisation (CSIRO); Australian Antarctic Division</t>
  </si>
  <si>
    <t>Koppel, DJ (corresponding author), Univ Technol Sydney, Fac Sci, Ultimo, NSW, Australia.</t>
  </si>
  <si>
    <t>darren.koppel@uts.edu.au; merrin.adams@csiro.au; cath.king@aad.gov.au; dianne.jolley@uts.edu.au</t>
  </si>
  <si>
    <t>Koppel, Darren J/AAY-6884-2020; King, Catherine/G-7059-2017; Adams, Merrin/F-3513-2011; Jolley, Dianne/D-1597-2009</t>
  </si>
  <si>
    <t>Koppel, Darren J/0000-0001-7534-237X; King, Catherine/0000-0003-3356-0381; Adams, Merrin/0000-0003-2849-9096; Jolley, Dianne/0000-0003-1028-1603</t>
  </si>
  <si>
    <t>Australian government through an Australian Antarctic Division grant [AAS 4326]; Australian Government Research Training Program Scholarship; CSIRO Land and Water</t>
  </si>
  <si>
    <t>Australian government through an Australian Antarctic Division grant; Australian Government Research Training Program Scholarship(Australian GovernmentDepartment of Industry, Innovation and Science); CSIRO Land and Water(Commonwealth Scientific &amp; Industrial Research Organisation (CSIRO))</t>
  </si>
  <si>
    <t>Funding and support for the present study was provided by the Australian government through an Australian Antarctic Division grant (AAS 4326), an Australian Government Research Training Program Scholarship for DK, and support from CSIRO Land and Water.</t>
  </si>
  <si>
    <t>10.1016/j.envpol.2019.06.003</t>
  </si>
  <si>
    <t>IU2JF</t>
  </si>
  <si>
    <t>WOS:000483405400069</t>
  </si>
  <si>
    <t>Jia, YD; Jing, QQ; Zhai, JM; Guan, CT; Huang, B</t>
  </si>
  <si>
    <t>Jia, Yudong; Jing, Qiqi; Zhai, Jieming; Guan, Changtao; Huang, Bin</t>
  </si>
  <si>
    <t>Alternations in oxidative stress, apoptosis, and innate-immune gene expression at mRNA levels in subadult tiger puffer (Takifugu rubripes) under two different rearing systems</t>
  </si>
  <si>
    <t>FISH &amp; SHELLFISH IMMUNOLOGY</t>
  </si>
  <si>
    <t>Antioxidative stress; Apoptosis; Innate immunity; Recirculating aquaculture system; Offshore sea cage aquaculture system; Tiger puffer</t>
  </si>
  <si>
    <t>CARP CTENOPHARYNGODON-IDELLUS; HIGH-TEMPERATURE; GROWTH-PERFORMANCE; CULTURE-SYSTEMS; ANTARCTIC FISH; ANTIOXIDANT; PARAMETERS; RESPONSES; HSP90; HSP70</t>
  </si>
  <si>
    <t>Tiger puffer (Takifugu rubripes) is one of the major aquaculture fish species in China due to its high economic value. In this study, the transcriptions of hepatic antioxidant enzyme, stress, apoptosis, and immune-related genes of sub-adult tiger puffers (Takifugu rubripes) were evaluated under two different rearing systems [offshore sea cage aquaculture system (OSCS) and recirculating aquacultufe system (RAS)]. Results showed that the mRNA expression levels of the antioxidant enzyme (mn-sod, cu/zn-sod, gpx, and gr) and stress-related (hsp70 and hsp90) genes of male tiger puffers reared in the OSCS were significantly higher than female fish reared in the OSCS and fish reared in the RAS. The anti-apoptotic gene bcl2 exhibited the similar results. By contrast, the mFtNAs of the pro-apoptotic genes (p53, caspase8, caspase9, and caspase3) of male tiger puffers reared in the OSCS were significantly lower than female fish reared in the OSCS and fish reared in the RAS. Male tiger puffers reared in the OSCS displayed significantly higher complement components (c3 and inflammatory cytokine (il-6) mRNAs, whereas B-cell activating factor (baf) and tumor necrosis factor alpha (tnf-alpha) mRNAs remained unchanged. Meanwhile, the mRNA levels of pro-apoptotic (bcoc, caspase8) and immunity-related (c3, il-6 and 11-7) genes of female tiger puffers reared in the OSCS were significantly lower and higher than female fish reared in the RAS, respectively. In conclusion, the hepatic antioxidant, anti-apoptosis, and innate immunity of tiger puffers reared in the OSCS were better than fish in the RAS, male tiger puffer obtained the best values. These results expand the knowledge on the combined RAS and OSCS alternative aquaculture model for tiger puffers and aid in their management in captive.</t>
  </si>
  <si>
    <t>[Jia, Yudong; Jing, Qiqi; Guan, Changtao; Huang, Bin] Chinese Acad Fishery Sci, Yellow Sea Fisheries Res Inst, Qingdao Key Lab Marine Fish Breeding &amp; Biotechnol, Qingdao 266071, Shandong, Peoples R China; [Jia, Yudong] Qingdao Natl Lab Marine Sci &amp; Technol, Lab Marine Fisheries Sci &amp; Food Prod Proc, Qingdao 266237, Shandong, Peoples R China; [Zhai, Jieming] Ming Bo Aquat Co Ltd, Laizhou 261400, Peoples R China</t>
  </si>
  <si>
    <t>Chinese Academy of Fishery Sciences; Yellow Sea Fisheries Research Institute, CAFS; Laoshan Laboratory</t>
  </si>
  <si>
    <t>Huang, B (corresponding author), Chinese Acad Fishery Sci, Yellow Sea Fisheries Res Inst, Qingdao Key Lab Marine Fish Breeding &amp; Biotechnol, Qingdao 266071, Shandong, Peoples R China.;Jia, YD (corresponding author), Chinese Acad Fishery Sci, Yellow Sea Fisheries Res Inst, 106 Nanjing Rd, Qingdao 266071, Shandong, Peoples R China.</t>
  </si>
  <si>
    <t>jiayd@ysfri.ac.cn</t>
  </si>
  <si>
    <t>Shandong Major Science and Technology Innovation Projects [2018SDKJ0303-4, 2018YFJH0703]; Central Public -interest Scientific Institution Basal Research Fund, CAFS [2017HY-ZD0608]; China Agricultural Research System [CARS 49]</t>
  </si>
  <si>
    <t>Shandong Major Science and Technology Innovation Projects; Central Public -interest Scientific Institution Basal Research Fund, CAFS; China Agricultural Research System</t>
  </si>
  <si>
    <t>This research was supported by Shandong Major Science and Technology Innovation Projects (2018SDKJ0303-4, 2018YFJH0703), Central Public -interest Scientific Institution Basal Research Fund. CAFS (NO. 2017HY-ZD0608) and China Agricultural Research System (CARS 49).</t>
  </si>
  <si>
    <t>1050-4648</t>
  </si>
  <si>
    <t>1095-9947</t>
  </si>
  <si>
    <t>FISH SHELLFISH IMMUN</t>
  </si>
  <si>
    <t>Fish Shellfish Immunol.</t>
  </si>
  <si>
    <t>10.1016/j.fsi.2019.07.016</t>
  </si>
  <si>
    <t>Fisheries; Immunology; Marine &amp; Freshwater Biology; Veterinary Sciences</t>
  </si>
  <si>
    <t>IU5NL</t>
  </si>
  <si>
    <t>WOS:000483634300082</t>
  </si>
  <si>
    <t>Gray, PC; Bierlich, KC; Mantell, SA; Friedlaender, AS; Goldboge, JA; Johnston, DW</t>
  </si>
  <si>
    <t>Gray, Patrick C.; Bierlich, Kevin C.; Mantell, Sydney A.; Friedlaender, Ari S.; Goldboge, Jeremy A.; Johnston, David W.</t>
  </si>
  <si>
    <t>Drones and convolutional neural networks facilitate automated and accurate cetacean species identification and photogrammetry</t>
  </si>
  <si>
    <t>cetaceans; convolutional neural network; deep learning; drones; photogrammetry; population assessments; species identification; unoccupied aerial systems</t>
  </si>
  <si>
    <t>BODY-SIZE; WHALES; BLUE</t>
  </si>
  <si>
    <t>The flourishing application of drones within marine science provides more opportunity to conduct photogrammetric studies on large and varied populations of many different species. While these new platforms are increasing the size and availability of imagery datasets, established photogrammetry methods require considerable manual input, allowing individual bias in techniques to influence measurements, increasing error and magnifying the time required to apply these techniques. Here, we introduce the next generation of photogrammetry methods utilizing a convolutional neural network to demonstrate the potential of a deep learning-based photogrammetry system for automatic species identification and measurement. We then present the same data analysed using conventional techniques to validate our automatic methods. Our results compare favorably across both techniques, correctly predicting whale species with 98% accuracy (57/58) for humpback whales, minke whales, and blue whales. Ninety percent of automated length measurements were within 5% of manual measurements, providing sufficient resolution to inform morphometric studies and establish size classes of whales automatically. The results of this study indicate that deep learning techniques applied to survey programs that collect large archives of imagery may help researchers and managers move quickly past analytical bottlenecks and provide more time for abundance estimation, distributional research, and ecological assessments.</t>
  </si>
  <si>
    <t>[Gray, Patrick C.; Bierlich, Kevin C.; Johnston, David W.] Duke Univ, Marine Lab, Div Marine Sci &amp; Conservat, Nicholas Sch Environm, Beaufort, NC 28516 USA; [Mantell, Sydney A.] Univ North Carolina Chapel Hill, Dept Biol, Chapel Hill, NC USA; [Friedlaender, Ari S.] Univ Calif Santa Cruz, Inst Marine Sci, Dept Ecol &amp; Evolutionary Biol, Santa Cruz, CA 95064 USA; [Goldboge, Jeremy A.] Stanford Univ, Dept Biol, Hopkins Marine Stn, Monterey, CA USA</t>
  </si>
  <si>
    <t>Duke University; University of North Carolina School of Medicine; University of North Carolina; University of North Carolina Chapel Hill; University of California System; University of California Santa Cruz; Stanford University</t>
  </si>
  <si>
    <t>Gray, PC (corresponding author), Duke Univ, Marine Lab, Div Marine Sci &amp; Conservat, Nicholas Sch Environm, Beaufort, NC 28516 USA.</t>
  </si>
  <si>
    <t>patrick.c.gray@duke.edu</t>
  </si>
  <si>
    <t>Johnston, David/AAJ-5013-2020; Mantell, Sydney/GSN-2993-2022</t>
  </si>
  <si>
    <t>Johnston, David/0000-0003-2424-036X; Gray, Patrick/0000-0002-8997-5255; Bierlich, KC/0000-0001-9724-6055</t>
  </si>
  <si>
    <t>Division of Integrative Organismal Systems [1656676]; Division of Antarctic Sciences [0823101, 1440435]; Office of Polar Programs [1644209]; North Carolina Space Grant [1440435]; Stanford University; Microsoft; Direct For Biological Sciences; Division Of Integrative Organismal Systems [1656676] Funding Source: National Science Foundation; Office of Polar Programs (OPP); Directorate For Geosciences [1644209] Funding Source: National Science Foundation</t>
  </si>
  <si>
    <t>Division of Integrative Organismal Systems(National Science Foundation (NSF)NSF - Directorate for Biological Sciences (BIO)NSF - Division of Integrative Organismal Systems (IOS)); Division of Antarctic Sciences; Office of Polar Programs(National Science Foundation (NSF)NSF - Directorate for Geosciences (GEO)); North Carolina Space Grant; Stanford University(Stanford University); Microsoft(Microsoft); Direct For Biological Sciences; Division Of Integrative Organismal Systems(National Science Foundation (NSF)NSF - Directorate for Biological Sciences (BIO)NSF - Division of Integrative Organismal Systems (IOS)); Office of Polar Programs (OPP); Directorate For Geosciences(National Science Foundation (NSF)NSF - Directorate for Geosciences (GEO))</t>
  </si>
  <si>
    <t>Division of Integrative Organismal Systems, Grant/Award Number: 1656676; Division of Antarctic Sciences, Grant/Award Number: 0823101 and 1440435; Office of Polar Programs, Grant/Award Number: 1644209; North Carolina Space Grant, Grant/Award Number: 1440435,; Stanford University; Microsoft</t>
  </si>
  <si>
    <t>10.1111/2041-210X.13246</t>
  </si>
  <si>
    <t>IU6ME</t>
  </si>
  <si>
    <t>WOS:000483699600010</t>
  </si>
  <si>
    <t>Soutschek, L; Nickelsen, K</t>
  </si>
  <si>
    <t>Soutschek, Liza; Nickelsen, Kaerin</t>
  </si>
  <si>
    <t>A Cooperative and Competitive Endeavour The Story of Germany's Early Twentieth-Century Exploration of the Antarctic</t>
  </si>
  <si>
    <t>NTM</t>
  </si>
  <si>
    <t>German</t>
  </si>
  <si>
    <t>Cooperation; Competition; Expeditions; Antarctic Exploration; German Empire</t>
  </si>
  <si>
    <t>SCIENCE; WORLD</t>
  </si>
  <si>
    <t>Around 1900, one of the last major challenges in the exploration of the Earth was to map the largely untouched continent of Antarctica. Many nations participated in this endeavour, including the German Empire, which launched two expeditions before World War One: Erich von Drygalski led the first German expedition to Antarctica between 1901 and 1903 and Wilhelm Filchner led the second in 1911 through 1912. Recent literature has, for the most part, described the relationship between the expeditions of the different nations as having been focused on either cooperation or rivalry. This paper argues, however, that a strained simultaneity of international cooperation and rivalry characterized the German Antarctic expeditions. From the outset of their expeditions, the historical actors employed both modes of interaction. In their rhetoric, they referred to them as argumentative resources, and they chose their course of action following the logic of cooperation or competition, depending on the particular circumstances. The actors took pains, however, to keep a balance between the two modes of interaction in order to be able to benefit from advantages arising both from competition and cooperation. They also ensured that the rules of competition were loosely enough defined to allow them some leeway. When it came to a retrospective evaluation of the expeditions by the German public, it became clear, though, that their strategy had not been successful: neither the actors' praise for the cooperation between nations, nor the emphasis they placed on their scientific achievements was able to change the public's perception in imperial Germany that these two expeditions had been failures in the struggle to reach latitudes as southern as possible.</t>
  </si>
  <si>
    <t>[Soutschek, Liza] Inst Zeitgeschichte Munchen Berlin, Leonrodstr 46b, D-80636 Munich, Germany; [Nickelsen, Kaerin] LMU Munchen, Abt Wissensch Geschichte, Hist Seminar, Geschwister Scholl Pl 1, D-80539 Munich, Germany</t>
  </si>
  <si>
    <t>Institute for Contemporary History (IFZ); University of Munich</t>
  </si>
  <si>
    <t>Soutschek, L (corresponding author), Inst Zeitgeschichte Munchen Berlin, Leonrodstr 46b, D-80636 Munich, Germany.</t>
  </si>
  <si>
    <t>soutschek@ifz-muenchen.de; K.Nickelsen@lmu.de</t>
  </si>
  <si>
    <t>SPRINGER INT PUBL AG</t>
  </si>
  <si>
    <t>0036-6978</t>
  </si>
  <si>
    <t>1420-9144</t>
  </si>
  <si>
    <t>NTM-J HIST SCI TECHN</t>
  </si>
  <si>
    <t>10.1007/s00048-019-00215-w</t>
  </si>
  <si>
    <t>History &amp; Philosophy Of Science</t>
  </si>
  <si>
    <t>History &amp; Philosophy of Science</t>
  </si>
  <si>
    <t>IU7SU</t>
  </si>
  <si>
    <t>WOS:000483784400001</t>
  </si>
  <si>
    <t>Lei, RB; Gui, DW; Hutchings, JK; Wang, J; Pang, XP</t>
  </si>
  <si>
    <t>Lei, Ruibo; Gui, Dawei; Hutchings, Jennifer K.; Wang, Jia; Pang, Xiaoping</t>
  </si>
  <si>
    <t>Backward and forward drift trajectories of sea ice in the northwestern Arctic Ocean in response to changing atmospheric circulation</t>
  </si>
  <si>
    <t>Arctic; atmospheric circulation pattern; climate change; drifting trajectory; motion; sea ice</t>
  </si>
  <si>
    <t>CLIMATE-CHANGE; MASS-BALANCE; MELT; THICKNESS; MANIFEST; COLLAPSE; DECLINE; ALBEDO; COVER</t>
  </si>
  <si>
    <t>To track sea ice motion, four ice-tethered buoys were deployed at 84.6 degrees N and 144.3 degrees W, 87.3 degrees N and 172.3 degrees W, 81.1 degrees N and 157.4 degrees W, and 82.8 degrees N and 166.5 degrees W in summers of 2008, 2010, 2014, and 2016, respectively. In addition, the remote sensed ice motion product provided by National Snow and Ice Data Center was used to reconstruct backward and forward ice drifting trajectories from the buoy deployment sites during 1979-2016. Sea ice in the central Arctic Ocean in late summer is trending to have travelled from lower latitudes, and to be advected to the region more involved in the Transpolar Drift Stream (TDS) during 1979-2016. The strengthened TDS has played a crucial role in Arctic sea ice loss from a dynamic perspective. The trajectory of ice is found to be significantly related to atmosphere circulation indices. The Central Arctic Index (CAI), defined as the difference in sea level pressure between 84 degrees N, 90 degrees W and 84 degrees N, 90 degrees E, can explain 34-40% of the meridional displacement along the backward trajectories, and it can explain 27-40% of the zonal displacement along the forward trajectories. The winter Beaufort High (BH) anomaly can explain 18-27% of the zonal displacement. Under high positive CAI values or high negative winter BH anomalies, floes from the central Arctic tended to be advected out of the Arctic Ocean through Fram Strait or other marginal gateways. Conversely, under high negative CAI values or high positive winter BH anomalies, ice tended to become trapped within a region close to the North Pole or it drifted into the Beaufort Gyre region. The long-term trend and spatial change in Arctic surface air temperature were more remarkable during the freezing season than the melt season because most energy from the lower troposphere is used to melt sea ice and warm the upper ocean during summer.</t>
  </si>
  <si>
    <t>[Lei, Ruibo; Gui, Dawei] Polar Res Inst China, SOA Key Lab Polar Sci, 451 Jinqiao Rd, Shanghai 200136, Peoples R China; [Gui, Dawei; Pang, Xiaoping] Wuhan Univ, Chinese Antarctic Ctr Surveying &amp; Mapping, Wuhan, Hubei, Peoples R China; [Hutchings, Jennifer K.] Oregon State Univ, Coll Earth Ocean &amp; Atmospher Sci, Corvallis, OR 97331 USA; [Wang, Jia] NOAA, Great Lakes Environm Res Lab, Dept Integrated Phys &amp; Ecol Modeling &amp; Forecastin, 2205 Commonwealth Blvd, Ann Arbor, MI 48105 USA</t>
  </si>
  <si>
    <t>Polar Research Institute of China; Wuhan University; Oregon State University; National Oceanic Atmospheric Admin (NOAA) - USA</t>
  </si>
  <si>
    <t>Lei, RB (corresponding author), Polar Res Inst China, SOA Key Lab Polar Sci, 451 Jinqiao Rd, Shanghai 200136, Peoples R China.</t>
  </si>
  <si>
    <t>leiruibo@pric.org.cn</t>
  </si>
  <si>
    <t>Hutchings, Jennifer K/P-6356-2017</t>
  </si>
  <si>
    <t>Gui, Dawei/0000-0002-9176-8415</t>
  </si>
  <si>
    <t>National Key R&amp;D Program of China [2018YFA0605903, 2016YFC14003]; National Natural Science Foundation of China [41722605]; U.S.A. National Science Foundation [OPP1722729, OPP1740768]; NOAA CPO Office of Arctic Research</t>
  </si>
  <si>
    <t>National Key R&amp;D Program of China; National Natural Science Foundation of China(National Natural Science Foundation of China (NSFC)); U.S.A. National Science Foundation(National Science Foundation (NSF)); NOAA CPO Office of Arctic Research(National Oceanic Atmospheric Admin (NOAA) - USA)</t>
  </si>
  <si>
    <t>This work was supported by the National Key R&amp;D Program of China (2018YFA0605903 &amp; 2016YFC14003) and the National Natural Science Foundation of China (41722605). J.H. was supported by the U.S.A. National Science Foundation grants OPP1722729 and OPP1740768. J.W. was supported by NOAA CPO Office of Arctic Research. Three anonymous reviewers are greatly thanked for their constructive reviews.</t>
  </si>
  <si>
    <t>10.1002/joc.6080</t>
  </si>
  <si>
    <t>IU6NV</t>
  </si>
  <si>
    <t>WOS:000483703900013</t>
  </si>
  <si>
    <t>Schloesser, F; Friedrich, T; Timmermann, A; DeConto, RM; Pollard, D</t>
  </si>
  <si>
    <t>Schloesser, Fabian; Friedrich, Tobias; Timmermann, Axel; DeConto, Robert M.; Pollard, David</t>
  </si>
  <si>
    <t>Antarctic iceberg impacts on future Southern Hemisphere climate</t>
  </si>
  <si>
    <t>SHEET RETREAT DRIVEN; OCEAN CIRCULATION; ICE; WATER; CONSEQUENCES; MODEL; PARAMETERIZATION; THERMODYNAMICS; SENSITIVITY; DYNAMICS</t>
  </si>
  <si>
    <t>Future iceberg and meltwater discharge from the Antarctic ice sheet (AIS) could substantially exceed present levels, with strong implications for future climate and sea levels. Recent climate model simulations on the impact of a rapid disintegration of the AIS on climate have applied idealized freshwater forcing scenarios(1,2) rather than the more realistic iceberg forcing. Here we use a coupled climate-iceberg model to determine the climatic effects of combined iceberg latent heat of fusion and freshwater forcing. The iceberg forcing is derived from an ensemble of future simulations conducted using the Penn State ice-sheet model(3). In agreement with previous studies, the simulated AIS meltwater forcing causes a substantial delay in greenhouse warming in the Southern Hemisphere and activates a transient positive feedback between surface freshening, subsurface warming and ice-sheet/shelf melting, which can last for about 100 years and may contribute to an accelerated ice loss around Antarctica. However, accounting further for the oceanic heat loss due to iceberg melting considerably increases the surface cooling effect and reduces the subsurface temperature feedback amplitude. Our findings document the importance of considering realistic climate-ice sheet-iceberg coupling for future climate and sea-level projections.</t>
  </si>
  <si>
    <t>[Schloesser, Fabian; Friedrich, Tobias] Univ Hawaii Manoa, Int Pacific Res Ctr, Honolulu, HI 96822 USA; [Schloesser, Fabian; Friedrich, Tobias] Univ Hawaii Manoa, Dept Oceanog, Honolulu, HI 96822 USA; [Timmermann, Axel] Ctr Climate Phys, Inst Basic Sci, Busan, South Korea; [Timmermann, Axel] Pusan Natl Univ, Busan, South Korea; [DeConto, Robert M.] Univ Massachusetts, Dept Geosci, Amherst, MA 01003 USA; [Pollard, David] Penn State Univ, Earth &amp; Environm Syst Inst, University Pk, PA 16802 USA</t>
  </si>
  <si>
    <t>University of Hawaii System; University of Hawaii Manoa; University of Hawaii System; University of Hawaii Manoa; Institute for Basic Science - Korea (IBS); Pusan National University; University of Massachusetts System; University of Massachusetts Amherst; Pennsylvania Commonwealth System of Higher Education (PCSHE); Pennsylvania State University; Pennsylvania State University - University Park</t>
  </si>
  <si>
    <t>Timmermann, A (corresponding author), Ctr Climate Phys, Inst Basic Sci, Busan, South Korea.;Timmermann, A (corresponding author), Pusan Natl Univ, Busan, South Korea.</t>
  </si>
  <si>
    <t>timmermann@pusan.ac.kr</t>
  </si>
  <si>
    <t>Timmermann, Axel/0000-0003-0657-2969; Schloesser, Fabian/0000-0003-0042-2724; Friedrich, Tobias/0000-0001-7324-4100</t>
  </si>
  <si>
    <t>National Science Foundation [1341394]; Institute for Basic Science, South Korea [IBS-R028-D1]</t>
  </si>
  <si>
    <t>National Science Foundation(National Science Foundation (NSF)); Institute for Basic Science, South Korea</t>
  </si>
  <si>
    <t>This research was supported by the National Science Foundation under award No. 1341394. A.T. is supported by the Institute for Basic Science, South Korea (Grant No. IBS-R028-D1).</t>
  </si>
  <si>
    <t>10.1038/s41558-019-0546-1</t>
  </si>
  <si>
    <t>IU4IW</t>
  </si>
  <si>
    <t>WOS:000483551700017</t>
  </si>
  <si>
    <t>Brown, MS; Munro, DR; Feehan, CJ; Sweeney, C; Ducklow, HW; Schofield, OM</t>
  </si>
  <si>
    <t>Brown, Michael S.; Munro, David R.; Feehan, Colette J.; Sweeney, Colm; Ducklow, Hugh W.; Schofield, Oscar M.</t>
  </si>
  <si>
    <t>Enhanced oceanic CO2 uptake along the rapidly changing West Antarctic Peninsula</t>
  </si>
  <si>
    <t>DISSOLVED INORGANIC CARBON; NET COMMUNITY PRODUCTION; SURFACE OCEAN; SEA-ICE; PCO(2) VARIABILITY; CLIMATE-CHANGE; MIXED-LAYER; TRENDS; DISTRIBUTIONS; ALKALINITY</t>
  </si>
  <si>
    <t>The global ocean is an important sink for anthropogenic CO2 (ref. (1)). Nearly half of the oceanic CO2 uptake occurs in the Southern Ocean(2). Although the role of the Southern Ocean CO 2 sink in the global carbon cycle is recognized, there are uncertainties regarding its contemporary trend(3,4), with a need for improved mechanistic understanding, especially in productive Antarctic coastal regions experiencing substantial changes in temperature and sea ice(5). Here, we demonstrate strong coupling between summer upper ocean stability, phytoplankton dynamics and oceanic CO2 uptake along the rapidly changing West Antarctic Peninsula using a 25-year dataset (1993-2017). Greater upper ocean stability drives enhanced biological production and biological dissolved inorganic carbon drawdown, resulting in greater oceanic CO2 uptake. Diatoms achieve higher biomass, oceanic CO2 uptake and uptake efficiency than other phytoplankton. Over the past 25 years, changes in sea ice dynamics have driven an increase in upper ocean stability, phytoplankton biomass and biological dissolved inorganic carbon drawdown, resulting in a nearly fivefold increase in summer oceanic CO2 uptake. We hypothesize that continued warming and declines in sea ice will lead to a decrease in biological dissolved inorganic carbon drawdown, negatively impacting summer oceanic CO2 uptake. These results from the West Antarctic Peninsula provide a framework to understand how oceanic CO2 uptake in other Antarctic coastal regions may be altered due to climate change.</t>
  </si>
  <si>
    <t>[Brown, Michael S.; Schofield, Oscar M.] Rutgers State Univ, Dept Marine &amp; Coastal Sci, Ctr Ocean Observing Leadership, New Brunswick, NJ 08854 USA; [Munro, David R.] Univ Colorado, Dept Atmospher &amp; Ocean Sci, Boulder, CO 80309 USA; [Munro, David R.] Univ Colorado, Inst Arctic &amp; Alpine Res, Boulder, CO 80309 USA; [Feehan, Colette J.] Montclair State Univ, Dept Biol, Montclair, NJ USA; [Munro, David R.; Sweeney, Colm] NOAA, Earth Syst Res Lab, Global Monitoring Div, Boulder, CO USA; [Ducklow, Hugh W.] Columbia Univ, Lamont Doherty Earth Observ, Palisades, NY USA; [Munro, David R.] Univ Colorado, Cooperat Inst Res Environm Sci, Boulder, CO 80309 USA</t>
  </si>
  <si>
    <t>Rutgers University System; Rutgers University New Brunswick; University of Colorado System; University of Colorado Boulder; University of Colorado System; University of Colorado Boulder; Montclair State University; National Oceanic Atmospheric Admin (NOAA) - USA; Columbia University; University of Colorado System; University of Colorado Boulder</t>
  </si>
  <si>
    <t>Brown, MS (corresponding author), Rutgers State Univ, Dept Marine &amp; Coastal Sci, Ctr Ocean Observing Leadership, New Brunswick, NJ 08854 USA.</t>
  </si>
  <si>
    <t>mbrown@marine.rutgers.edu</t>
  </si>
  <si>
    <t>Munro, David/ABA-2074-2020; Sweeney, Colm/AAE-9291-2019; Feehan, Colette/ABE-8981-2020</t>
  </si>
  <si>
    <t>MUNRO, DAVID/0000-0002-1373-7402; Brown, Michael/0000-0002-0046-7917; Feehan, Colette/0000-0001-7849-4053; Sweeney, Colm/0000-0002-4517-0797</t>
  </si>
  <si>
    <t>NSF Office of Polar Programs Integrated Systems Science Program [1440435]; NSF Office of Polar Programs [1501997, 1543457]; Office of Polar Programs (OPP); Directorate For Geosciences [1501997, 1440435] Funding Source: National Science Foundation; Office of Polar Programs (OPP); Directorate For Geosciences [1543457] Funding Source: National Science Foundation</t>
  </si>
  <si>
    <t>NSF Office of Polar Programs Integrated Systems Science Program; NSF Office of Polar Programs(National Science Foundation (NSF)); Office of Polar Programs (OPP); Directorate For Geosciences(National Science Foundation (NSF)NSF - Directorate for Geosciences (GEO)); Office of Polar Programs (OPP); Directorate For Geosciences(National Science Foundation (NSF)NSF - Directorate for Geosciences (GEO))</t>
  </si>
  <si>
    <t>We thank all past and present members of the Palmer LTER for their dedication in the field and laboratory. Additionally, we thank all past and present support crew for their assistance. This paper benefitted from comments provided by R. Sherrell, S. Stammerjohn and T. Takahashi. This research was supported by NSF Office of Polar Programs Integrated Systems Science Program Award No. 1440435 to H.W.D. and O.M.S. for the Palmer LTER, NSF Office of Polar Programs Award No. 1543457 to D.R.M. and C.S. for the DPT and NSF Office of Polar Programs Award No. 1501997 to C.S. for additional support. This is Palmer LTER Contribution No. 622.</t>
  </si>
  <si>
    <t>10.1038/s41558-019-0552-3</t>
  </si>
  <si>
    <t>WOS:000483551700018</t>
  </si>
  <si>
    <t>Hernández-Guerra, A; Talley, LD; Pelegrí, JL; Vélez-Belchí, P; Baringer, MO; Macdonald, AM; McDonagh, EL</t>
  </si>
  <si>
    <t>Hernandez-Guerra, Alonso; Talley, Lynne D.; Luis Pelegri, Jose; Velez-Belchi, Pedro; Baringer, Molly O.; Macdonald, Alison M.; McDonagh, Elaine L.</t>
  </si>
  <si>
    <t>The upper, deep, abyssal and overturning circulation in the Atlantic Ocean at 30°S in 2003 and 2011</t>
  </si>
  <si>
    <t>WESTERN BOUNDARY CURRENT; TOTAL GEOSTROPHIC CIRCULATION; ANTARCTIC BOTTOM WATER; SOUTH-ATLANTIC; FLOW PATTERNS; INTERMEDIATE WATER; TEMPORAL VARIABILITY; GENERAL-CIRCULATION; TRANSPORT VARIABILITY; AGULHAS EDDIES</t>
  </si>
  <si>
    <t>Mass transports for the thermocline, intermediate, deep and abyssal layers in the Atlantic Ocean, at 30 degrees S and for 2003 and 2011, have been estimated using data from GO-SHIP hydrographic transoceanic sections and applying three inverse models with different constraints. The uppermost layers comprise South Atlantic Central Water (SACW) and Antarctic Intermediate Water (AAIW), with a net northward transport in the range of 12.1-14.7 Sv in 2003 and 11.7-17.7 Sv in 2011, which can be considered as the northward returning limb of the Meridional Overturning Circulation (MOC). The western boundary Brazil Current transports twice as much SACW in 2003 (-20.2 +/- 0.7 Sv) than in 2011 (-9.7 +/- 0.7 Sv). A poleward current consisting of AAIW and Upper Circumpolar Deep Water (UCDW) flows beneath the Brazil Current. The eastern boundary Benguela Current, characterized by a high mesoscale eddy activity, transports 15.6 +/- 0.9 Sv in 2003 and 11.2 +/- 0.8 Sv in 2011, east of the Walvis Ridge. In the ocean interior, the northward flow is mainly located east of the Mid Atlantic Ridge (MAR) where Agulhas Rings (ARs), observed in both 2003 and 2011, transport warm and salty water from the Indian to the Atlantic Ocean. For the deep layers, the southward transport of North Atlantic Deep Water (NADW) occurs as the Deep Western Boundary Current and also in the eastern basin. The western and eastern basins transport similar amounts of NADW to the south during both years, although the eastern pathway changes substantially between both years. The total NADW transport, which is also considered the MOC, is in the range 16.3-24.5 Sv in 2003 and 17.1-29.6 Sv in 2011, hence with no significant change.</t>
  </si>
  <si>
    <t>[Hernandez-Guerra, Alonso] ULPGC, CSIC, Unidad Oceano &amp; Clima,IOCAG, Inst Oceanog &amp; Cambio Global,Unidad Asociada, Canary Isl, Spain; [Talley, Lynne D.] Univ Calif San Diego, Scripps Inst Oceanog, La Jolla, CA 92093 USA; [Luis Pelegri, Jose] CSIC, Inst Ciencias Mar, Passeig Maritim Barceloneta 37-49, E-08003 Barcelona, Spain; [Velez-Belchi, Pedro] Inst Espanol Oceanog, Ctr Oceanog Canarias, Santa Cruz De Tenerife, Canary Islands, Spain; [Baringer, Molly O.] NOAA, Atlantic Oceanog &amp; Meteorol Lab, Miami, FL 33149 USA; [Macdonald, Alison M.] Woods Hole Oceanog Inst, Woods Hole, MA 02543 USA; [McDonagh, Elaine L.] Natl Oceanog Ctr, European Way, Southampton, Hants, England</t>
  </si>
  <si>
    <t>Consejo Superior de Investigaciones Cientificas (CSIC); Universidad de Las Palmas de Gran Canaria; University of California System; University of California San Diego; Scripps Institution of Oceanography; Consejo Superior de Investigaciones Cientificas (CSIC); CSIC - Centro Mediterraneo de Investigaciones Marinas y Ambientales (CMIMA); CSIC - Instituto de Ciencias del Mar (ICM); Spanish Institute of Oceanography; National Oceanic Atmospheric Admin (NOAA) - USA; Atlantic Oceanographic &amp; Meteorological Laboratory (AOML); Woods Hole Oceanographic Institution; University of Southampton; NERC National Oceanography Centre</t>
  </si>
  <si>
    <t>Hernández-Guerra, A (corresponding author), ULPGC, CSIC, Unidad Oceano &amp; Clima,IOCAG, Inst Oceanog &amp; Cambio Global,Unidad Asociada, Canary Isl, Spain.</t>
  </si>
  <si>
    <t>alonso.hernandez@ulpgc.es</t>
  </si>
  <si>
    <t>Baringer, Molly O/D-2277-2012; Pelegrí, Josep L/L-5815-2014; Hernandez-Guerra, Alonso/A-4747-2008</t>
  </si>
  <si>
    <t>Pelegrí, Josep L/0000-0003-0661-2190; Hernandez-Guerra, Alonso/0000-0002-4883-8123; Talley, Lynne/0000-0003-1574-729X; Macdonald, Alison/0000-0003-4688-6137</t>
  </si>
  <si>
    <t>US National Oceanic and Atmospheric Administration (NOAA) Climate Program Office; National Science Foundation Geoscience Division, BOUNDARY by RIS-3 [2017010083]; PO Feder Canarias; VA-DE-RETRO by Spanish Government [CTM2014-56987-P]; SAGA by Spanish Government [RTI2018-100844-B-C31]; NERC through ORCHESTRA project [NE/N018095/1]; NERC through CLASS project [NE/R015953/1]; NERC [NE/N018095/1, NE/M005046/2] Funding Source: UKRI</t>
  </si>
  <si>
    <t>US National Oceanic and Atmospheric Administration (NOAA) Climate Program Office(National Oceanic Atmospheric Admin (NOAA) - USA); National Science Foundation Geoscience Division, BOUNDARY by RIS-3; PO Feder Canarias; VA-DE-RETRO by Spanish Government; SAGA by Spanish Government; NERC through ORCHESTRA project; NERC through CLASS project; NERC(UK Research &amp; Innovation (UKRI)Natural Environment Research Council (NERC))</t>
  </si>
  <si>
    <t>This study has been performed as part of projects: US CLIVAR Repeat Hydrography Program, which is now part of the International GO-SHIP project, with US funding from the US National Oceanic and Atmospheric Administration (NOAA) Climate Program Office, and National Science Foundation Geoscience Division, BOUNDARY (ProID2017010083) funded by RIS-3, PO Feder Canarias, VA-DE-RETRO (CTM2014-56987-P) and SAGA (RTI2018-100844-B-C31) funded by the Spanish Government. This article is a publication of the Unidad Ocean y Clima of the Universidad de Las Palmas de Gran Canaria, a R&amp;D&amp;i CSIC-associate unit. EM was supported by NERC national capability funding through the ORCHESTRA (NE/N018095/1) and CLASS (NE/R015953/1) projects. The wind data were collected from NCEP Reanalysis Derived data (http://www.esrl.noaa.gov/psd/). Hydrographic data were collected from the CCHDO website (https://cchdo.ucsd.edu/). We thank to the chief scientists and teams from Japan and USA that collected these transect data: Y. Yoshikawa, M. Baringer (co-author) and A. Macdonald (co-author). The LADCP data were collected from Clivar/CO2 Repeat Hydrography Shipboard ADCP data program (http://currents.soest.hawaii.edu/clivar/ladcp). We also gratefully acknowledge M. Mazloff for the Southern Ocean State Estimate transports, and the late J.L. Reid for the historical Atlantic Ocean velocity analyses.</t>
  </si>
  <si>
    <t>10.1016/j.pocean.2019.102136</t>
  </si>
  <si>
    <t>IU2LL</t>
  </si>
  <si>
    <t>Green Submitted, hybrid, Green Accepted</t>
  </si>
  <si>
    <t>WOS:000483411800026</t>
  </si>
  <si>
    <t>Utevsky, S; Kovalchuk, A; Kovalchuk, N; Utevsky, A; Chemyshev, AV</t>
  </si>
  <si>
    <t>Utevsky, Serge; Kovalchuk, Anastasiia; Kovalchuk, Nataliia; Utevsky, Andriy; Chemyshev, Alexei V.</t>
  </si>
  <si>
    <t>A new species of the genus Johanssonia Selensky, 1914 (Hirudinea: Piscicolidae) collected in the Kuril-Kamchatka Trench at the greatest depth ever recorded for fish leeches</t>
  </si>
  <si>
    <t>Johanssonia extrema; Annelida; Marine leeches; Cytochrome c oxidase subunit I; Parasites; Taxonomy; Phylogeny</t>
  </si>
  <si>
    <t>SEA; PHYLOGENY; CLITELLATA; SEQUENCES; ANNELIDA; NORTH; N.</t>
  </si>
  <si>
    <t>Johanssonia extrema n. sp. was described from a depth of 8728.8 m in the Kuril-Kamchatka Trench. The leech is elongate, up to 58 mm total length. Body is smooth, lacking papillae, tubercles, pigmentation, eyes and ocelli. Suckers are well-developed, eccentrically attached. Lateral pulsatile vesicles are present. Posterior crop caeca are fused. The male reproductive system is characterised by six pairs of testisacs, elongate, tubular atrial cornua and ejaculatory ducts, and coiled seminal reservoirs. The female reproductive system has ovisacs with oviducts looping back anteriorly and a well-developed conductive tissue mass. A possible fish host is the Pacific grenadier Coryphaenoides acrolepis (T. H. Bean, 1884). The molecular phylogenetic analysis revealed sister relationships between the new species and the boreal-arctic fish leech Johanssonia arctica (Johansson, 1898).</t>
  </si>
  <si>
    <t>[Utevsky, Serge; Kovalchuk, Anastasiia; Kovalchuk, Nataliia; Utevsky, Andriy] Kharkov Natl Univ, Dept Zool &amp; Anim Ecol, Maidan Svobody 4, UA-61022 Kharkov, Ukraine; [Chemyshev, Alexei V.] Russian Acad Sci, Far East Branch, AV Zhinrumsky Natl Sci Ctr Marine Biol, Palchevskogo St 17, Vladivostok 690041, Russia; [Chemyshev, Alexei V.] Far Eastern Fed Univ, Vladivostok 690600, Russia</t>
  </si>
  <si>
    <t>Ministry of Education &amp; Science of Ukraine; VN Karazin Kharkiv National University; Russian Academy of Sciences; National Scientific Center of Marine Biology, Far East Branch of the Russian Academy of Sciences; Far Eastern Federal University</t>
  </si>
  <si>
    <t>Utevsky, S (corresponding author), Kharkov Natl Univ, Dept Zool &amp; Anim Ecol, Maidan Svobody 4, UA-61022 Kharkov, Ukraine.</t>
  </si>
  <si>
    <t>serge.utevsky@karazin.ua</t>
  </si>
  <si>
    <t>Utevsky, Serge/HJA-1084-2022; Chernyshev, Alexei/A-7195-2014</t>
  </si>
  <si>
    <t>Chernyshev, Alexei/0000-0002-2203-3001; Utevsky, Andriy/0000-0002-8336-1105</t>
  </si>
  <si>
    <t>National Antarctic Scientific Center of Ukraine; Ministry of Education and Science of Ukraine [0117U004836]</t>
  </si>
  <si>
    <t>National Antarctic Scientific Center of Ukraine; Ministry of Education and Science of Ukraine</t>
  </si>
  <si>
    <t>Our sincere thanks go to Eugene Burreson for his valuable suggestions on a possible systematic position of the new species, Michael Tessler for his critical comments on the previous version of the paper, Anastassya S. Maiorova for the picture of a live leech and George Utevsky for his technical assistance. The DNA sequence of the new species was obtained using facilities and equipment of the Department of Biology, University of Ljubljana, courtesy of Professor Peter Trontelj. This research was supported in part by the National Antarctic Scientific Center of Ukraine and the Ministry of Education and Science of Ukraine (grant 0117U004836). This is KuramBio II publication #46.</t>
  </si>
  <si>
    <t>10.1016/j.pocean.2019.102133</t>
  </si>
  <si>
    <t>WOS:000483411800019</t>
  </si>
  <si>
    <t>Yoo, H; Tanaka, H; Lee, W; Brandao, SN; Karanovic, I</t>
  </si>
  <si>
    <t>Yoo, Hyunsu; Tanaka, Hayato; Lee, Wonchoel; Brandao, Simone Nunes; Karanovic, Ivana</t>
  </si>
  <si>
    <t>Six new Krithe from the Kuril-Kamchatka Trench, with the first insight into phylogeography of deep-sea ostracods</t>
  </si>
  <si>
    <t>Crustacea; Cytheroidea; Hadal; Molecular clock; Population genetics; Taxonomy</t>
  </si>
  <si>
    <t>POPULATION-GENETICS; MITOCHONDRIAL-DNA; SEQUENCE ALIGNMENT; STATISTICAL TESTS; CRUSTACEA; DIVERGENCE; QUATERNARY; ATLANTIC; PATTERNS; MODELS</t>
  </si>
  <si>
    <t>Hadal depths are one of the least explored ecosystems on the planet, with little data on biodiversity and even less on phylogegraphy of its inhabitants, especially of meiofaunal groups. Ostracods are an important component of meiofaunal communities, but with less than a dozen species described from the world's ocean trenches. Therefore, six species we describe from the Kuril-Kamchatka Trench greatly contribute to our knowledge of the hadal ostracod fauna. The new species belong to the genus Krithe Brady, Crosskey a Robertson, 1874, one of the most common ostracod genera from the continental slopes to abyss. Most of the 150 named species are fossil or subrecent, and described from shells only. Our discovery brings the list of species with known soft parts to 11, and provides further insights into morphology of these small ostracods. Our analysis shows that sexual dimorphism in the sixth leg should be excluded from the generic diagnosis. A relatively high abundance and wide distribution of the new species allowed us to study phylogeny (including estimation of the divergence time), genetic diversity, and phylogeography, providing the first such data for ostracods and one of the rare ones for all meiofaunal hadal (but also general deep-sea) groups. We use three genetic markers: mitochondrial cytochrome oxidase I (COI), internal transcribed spaces (ITS), and 18S rRNA; COI and ITS contained enough variability for the molecular phylogeny, and the former one for the population genetics and phylogeography analyses. Molecular clock analysis suggests that the most recent common ancestor (MRCA) of the six species lived 13 million years ago, supporting previously published estimates that the hadal fauna is relatively young. A high haplotype diversity coupled with a low nucleotide diversity are indicative of a rapid population expansion from a small effective population size. This is also supported with negative, statistically significant, values of Tajima's D and Fu's tests. Bayesian Skyline Plot places the time of expansion in the last interglacial period (120,000 years ago) and corresponds to the influx of cold, nutrient rich waters of the Oyashio current. The isolation by distance model is rejected, and almost non-existent population structuring is supported by a combination of low Fst values, and often a higher number of mutational changes between haplotypes sampled at the same locality than between those from different localities.</t>
  </si>
  <si>
    <t>[Yoo, Hyunsu; Lee, Wonchoel; Karanovic, Ivana] Hanyang Univ, Dept Life Sci, Nat Sci, Seoul, South Korea; [Tanaka, Hayato] Tokyo Sea Life Pk, Edogawa Ku, 6-2-3 Rinkai Cho, Tokyo, Japan; [Brandao, Simone Nunes] Univ Fed Rural Serni Arido, Progroma Posgrad Ecol &amp; Conservacao, Ctr Ciencias Biol, Av Francisco Mota 572, BR-59625900 Mossoro, RN, Brazil; [Karanovic, Ivana] Univ Tasmania, Inst Marine &amp; Antarctic Studies, Private Bag 49, Hobart, Tas 7001, Australia</t>
  </si>
  <si>
    <t>Karanovic, I (corresponding author), Hanyang Univ, Coll Nat Sci, Dept Life Sci, Seoul, South Korea.</t>
  </si>
  <si>
    <t>YOO, HYUNSU/ADI-9139-2022; Brandao, Simone/C-9416-2013</t>
  </si>
  <si>
    <t>Brandao, Simone/0000-0002-3487-6129</t>
  </si>
  <si>
    <t>National Research Foundation of Korea (NRF) [2016R1D1A1B01009806]; National Institute of Biological Resources (NIBR) [NIBR201839201]</t>
  </si>
  <si>
    <t>National Research Foundation of Korea (NRF)(National Research Foundation of Korea); National Institute of Biological Resources (NIBR)</t>
  </si>
  <si>
    <t>This is KuramBio publication #42. Special thanks to Prof. Angelika Brandt (Senckenberg Natural History Museum) and all crew members aboard the RV, SONNE250. Also, thanks to Ms Pham Thi Minh Huyen (Hanyang University) for helping us design the primers. This study was supported by two grants: National Research Foundation of Korea (NRF) grant (2016R1D1A1B01009806), and National Institute of Biological Resources (NIBR) (NIBR201839201). We would like to thank Carlos A. Alvarez Zarikian (IODP, USA) for interesting discussion on deep-sea palaeoceanography.</t>
  </si>
  <si>
    <t>1873-4472</t>
  </si>
  <si>
    <t>10.1016/j.pocean.2019.102128</t>
  </si>
  <si>
    <t>WOS:000483411800015</t>
  </si>
  <si>
    <t>Patterson, TA; Pillans, RD</t>
  </si>
  <si>
    <t>Patterson, Toby A.; Pillans, Richard D.</t>
  </si>
  <si>
    <t>Designing acoustic arrays for estimation of mortality rates in riverine and estuarine systems</t>
  </si>
  <si>
    <t>CANADIAN JOURNAL OF FISHERIES AND AQUATIC SCIENCES</t>
  </si>
  <si>
    <t>TELEMETRY; CONSERVATION; MOVEMENTS; MIGRATION; SURVIVAL; MODELS; SHARKS</t>
  </si>
  <si>
    <t>Motivated by monitoring populations of threatened tropical euryhaline elasmobranchs, this study examines aspects of acoustic telemetry array design for estimating survival rates in riverine populations. Simulation models incorporating movement and survival were constructed whose outputs were input into an observation model mimicking an acoustic telemetry array and into a simplified survival model. Precision of mortality rate and observation probability parameter estimates were examined as a function of the study design. Coefficients of variation on survival rate and observation probability parameters indicated that the volume of detections was more strongly related to the number of receiver locations than the probability of detecting tagged individuals at each location. Observation probabilities approaching one had only minor effect on reducing uncertainty and also for characterizing the persistence of individuals in the system. Uncertainty in survival probability estimates was more strongly tied to number of tagged individuals. Conversely, uncertainty in observation probability was most strongly related to number of receivers. This approach provides guidelines for robust estimation of movement and mortality from studies utilizing acoustic telemetry on euryhaline elasmobranchs.</t>
  </si>
  <si>
    <t>[Patterson, Toby A.] CSIRO Oceans &amp; Atmosphere, Hobart, Tas 7000, Australia; [Pillans, Richard D.] CSIRO Oceans &amp; Atmosphere, 306 Carmody Rd, St Lucia, Qld 4067, Australia</t>
  </si>
  <si>
    <t>Commonwealth Scientific &amp; Industrial Research Organisation (CSIRO); Commonwealth Scientific &amp; Industrial Research Organisation (CSIRO)</t>
  </si>
  <si>
    <t>Patterson, TA (corresponding author), CSIRO Oceans &amp; Atmosphere, Hobart, Tas 7000, Australia.</t>
  </si>
  <si>
    <t>Toby.Patterson@csiro.au</t>
  </si>
  <si>
    <t>Pillans, Richard D/F-2458-2012; Patterson, Toby A/B-3836-2011</t>
  </si>
  <si>
    <t>Australian Government's National Environmental Science Programme (NESP)</t>
  </si>
  <si>
    <t>Australian Government's National Environmental Science Programme (NESP)(Australian Government)</t>
  </si>
  <si>
    <t>We acknowledge comments from Richard Hillary, which greatly improved this manuscript. This work was undertaken for the Marine Biodiversity Hub, a collaborative partnership supported through funding from the Australian Government's National Environmental Science Programme (NESP). NESP Marine Biodiversity Hub partners include the Institute for Marine and Antarctic Studies (University of Tasmania), CSIRO, Geoscience Australia, Australian Institute of Marine Science, Museum Victoria, Charles Darwin University, University of Western Australia, NSW Office of Environment and Heritage, NSW Department of Primary Industries, and the Integrated Marine Observing System.</t>
  </si>
  <si>
    <t>CANADIAN SCIENCE PUBLISHING, NRC RESEARCH PRESS</t>
  </si>
  <si>
    <t>OTTAWA</t>
  </si>
  <si>
    <t>65 AURIGA DR, SUITE 203, OTTAWA, ON K2E 7W6, CANADA</t>
  </si>
  <si>
    <t>0706-652X</t>
  </si>
  <si>
    <t>1205-7533</t>
  </si>
  <si>
    <t>CAN J FISH AQUAT SCI</t>
  </si>
  <si>
    <t>Can. J. Fish. Aquat. Sci.</t>
  </si>
  <si>
    <t>10.1139/cjfas-2018-0090</t>
  </si>
  <si>
    <t>IT1PL</t>
  </si>
  <si>
    <t>WOS:000482618200001</t>
  </si>
  <si>
    <t>Vargas-Chacoff, L; Muñoz, JLP; Ocampo, D; Paschke, K; Navarro, JM</t>
  </si>
  <si>
    <t>Vargas-Chacoff, L.; Munoz, J. L. P.; Ocampo, D.; Paschke, Kurt; Navarro, Jorge M.</t>
  </si>
  <si>
    <t>The effect of alterations in salinity and temperature on neuroendocrine responses of the Antarctic fish Harpagifer antarcticus</t>
  </si>
  <si>
    <t>COMPARATIVE BIOCHEMISTRY AND PHYSIOLOGY A-MOLECULAR &amp; INTEGRATIVE PHYSIOLOGY</t>
  </si>
  <si>
    <t>Serotonin; 5HT; 5HIAA; Dopamine; Harpagifer antarcticus</t>
  </si>
  <si>
    <t>BRAIN MONOAMINERGIC ACTIVITY; HEAT-SHOCK RESPONSE; SALMON SALMO-SALAR; RAINBOW-TROUT; BETA-NAPHTHOFLAVONE; CLIMATE-CHANGE; STRESS; SEROTONIN; PITUITARY; GROWTH</t>
  </si>
  <si>
    <t>Increased levels of tissue monoaminergic neurotransmitters, as well as circulating catecholamines, appear to play a role in the regulation of the physiological responses of teleost fish. Harpagifer antarcticus is a stenothermic, Antarctic notothenioid fish. The aim of this study was to determine the effect of increased seawater temperature and decreased salinity on the levels of 5-HT, 5-HIAA, DA, and Noradrenaline in the brain, stomach, and gut of H. antarcticus. Wild-gathered fish were acclimatized to habitat conditions (2 degrees C, 33 PSU) prior to placement in aquaria with 4 temperatures (2, 5, 8 and 11 degrees C) and 3 salinities (23, 28 and 33 PSU) for 10 days. Fish exposed to 11 degrees C had higher levels of the brain neurotransmitters than those at 2 degrees C. Concomitant exposure to low salinity exacerbated the effect of exposure to 11 degrees C. At lower temperatures, concomitant alterations in salinity induced differential effects on brain neurotransmitters. When fish were exposed to 28 PSU, 5-HIAA, DA, and Noradrenaline levels at 5 and 8 degrees C presented no significant differences with those at 2 degrees C. In contrast, only 5HT and 5-HIAA levels in fish at 33 PSU were elevated at 5 and 8 degrees C respectively. Fish at 28 and 33 PSU had lower Gut 5HT levels at the 3 elevated temperatures, meanwhile fish at 23 PSU showed a biphasic effect when exposed to elevated temperatures. 5-HIAA levels decreased at 5 and 8 degrees C at 33 PSU. Stomach 5HT levels also showed a differential response at the 3 salinity levels when exposed to increased temperatures. At 11 degrees C, 5HT levels were markedly higher than those at 2 degrees C for fish at 33 PSU, moderately elevated for fish at 28 PSU, and lower for fish at 23 PSU, meanwhile 5-HIAA levels only increased with temperature at 33 PSU. These findings indicate that rapid exposure to alterations in temperate with or without concomitant changes in salinity is associated with differential responses in tissue monoaminergic neurotransmitter levels. The relatively high changes in neurotransmitter levels in fish exposed to moderate salinity and high temperature changes may indicate the physiological plasticity of H. antarcticus to possible changes in ocean temperature and salinity.</t>
  </si>
  <si>
    <t>[Vargas-Chacoff, L.; Navarro, Jorge M.] Univ Austral Chile, Inst Ciencias Marinas &amp; Limnol, Valdivia, Chile; [Vargas-Chacoff, L.; Paschke, Kurt; Navarro, Jorge M.] Univ Austral Chile, Ctr FONDAP Invest Altas Latitudes FONDAP IDEAL, Valdivia, Chile; [Munoz, J. L. P.; Ocampo, D.] Univ los Lagos, Ctr Invest &amp; Desarrollo I Mar, Casilla 557, Puerto Montt, Chile; [Paschke, Kurt] Univ Austral Chile, Inst Acuicultura, Puerto Montt, Chile</t>
  </si>
  <si>
    <t>Universidad Austral de Chile; Universidad Austral de Chile; Universidad de Los Lagos; Universidad Austral de Chile</t>
  </si>
  <si>
    <t>Vargas-Chacoff, L (corresponding author), Univ Austral Chile, Inst Ciencias Marinas &amp; Limnol, Valdivia, Chile.;Muñoz, JLP (corresponding author), Univ los Lagos, Ctr Invest &amp; Desarrollo I Mar, Casilla 557, Puerto Montt, Chile.</t>
  </si>
  <si>
    <t>luis.vargas@uach.cl; joseluis.munoz@ulagos.cl</t>
  </si>
  <si>
    <t>Vargas-Chacoff, Luis LVCh/A-5855-2012; Perez, Jose Luis JLP munoz Muñoz/D-7774-2013</t>
  </si>
  <si>
    <t>Vargas-Chacoff, Luis/0000-0002-0497-2582; Munoz Perez, Jose Luis/0000-0002-4645-0176</t>
  </si>
  <si>
    <t>FONDAP-IDEAL Grant [15150003]; Instituto Chileno Antartico (INACH); Vicerrectoria de Investigacion y Creacion Artistica, Universidad Austral de Chile</t>
  </si>
  <si>
    <t>FONDAP-IDEAL Grant; Instituto Chileno Antartico (INACH); Vicerrectoria de Investigacion y Creacion Artistica, Universidad Austral de Chile</t>
  </si>
  <si>
    <t>This work was funded by FONDAP-IDEAL Grant No15150003, and supported by the Instituto Chileno Antartico (INACH) and the Vicerrectoria de Investigacion y Creacion Artistica (ex DID), Universidad Austral de Chile.</t>
  </si>
  <si>
    <t>1095-6433</t>
  </si>
  <si>
    <t>1531-4332</t>
  </si>
  <si>
    <t>COMP BIOCHEM PHYS A</t>
  </si>
  <si>
    <t>Comp. Biochem. Physiol. A-Mol. Integr. Physiol.</t>
  </si>
  <si>
    <t>10.1016/j.cbpa.2019.05.029</t>
  </si>
  <si>
    <t>Biochemistry &amp; Molecular Biology; Physiology; Zoology</t>
  </si>
  <si>
    <t>IR6PL</t>
  </si>
  <si>
    <t>WOS:000481561100013</t>
  </si>
  <si>
    <t>Senatore, MX</t>
  </si>
  <si>
    <t>Ximena Senatore, Maria</t>
  </si>
  <si>
    <t>Archaeologies in Antarctica from Nostalgia to Capitalism: A Review</t>
  </si>
  <si>
    <t>INTERNATIONAL JOURNAL OF HISTORICAL ARCHAEOLOGY</t>
  </si>
  <si>
    <t>Antarctica; Conservation heritage; Exploration history; Capitalism</t>
  </si>
  <si>
    <t>LIVINGSTON ISLAND; SOUTH; HERITAGE; SEALERS; SITES</t>
  </si>
  <si>
    <t>Epic accounts of polar explorations have dominated the narratives of Antarctica's past and contributed to a prevailing image of distant wilderness untouched by humans. Archaeological studies have been undertaken from different theoretical and practical perspectives that have helped to either question or reinforce the dominant narratives of Antarctic history. Archaeology began in the late 1970s, focusing on conserving the huts left behind by the expeditions of the Heroic Era of Antarctic Exploration. Since the 1980s archaeological research in the South Shetland Islands region has been focused on diverse topics, including sealing/whaling expeditions. This study presents a historical overview of archaeological work in Antarctica through a chronological approach that describes previous research conducted at the sites of polar expeditions. It also discusses how archaeological practices have contributed to the complex heritage-making process in Antarctica.</t>
  </si>
  <si>
    <t>[Ximena Senatore, Maria] Consejo Nacl Invest Cient &amp; Tecn, INAPL, 3 Febrero 1370, RA-1428 Buenos Aires, DF, Argentina; [Ximena Senatore, Maria] Univ Nacl Patagonia Austral, 3 Febrero 1370, RA-1428 Buenos Aires, DF, Argentina</t>
  </si>
  <si>
    <t>Senatore, MX (corresponding author), Consejo Nacl Invest Cient &amp; Tecn, INAPL, 3 Febrero 1370, RA-1428 Buenos Aires, DF, Argentina.;Senatore, MX (corresponding author), Univ Nacl Patagonia Austral, 3 Febrero 1370, RA-1428 Buenos Aires, DF, Argentina.</t>
  </si>
  <si>
    <t>mxsenatore@conicet.gov.ar</t>
  </si>
  <si>
    <t>Senatore, Maria Ximena/AAX-5863-2021</t>
  </si>
  <si>
    <t>Senatore, Maria Ximena/0000-0002-7509-9020</t>
  </si>
  <si>
    <t>ANPCyT-FONCyT PICT [2016-0237, PI-29/D072]; Universidad Nacional de la Patagonia Austral, Argentina</t>
  </si>
  <si>
    <t>ANPCyT-FONCyT PICT(FONCyT); Universidad Nacional de la Patagonia Austral, Argentina</t>
  </si>
  <si>
    <t>This study was funded by ANPCyT-FONCyT PICT 2016-0237 and PI-29/D072 Universidad Nacional de la Patagonia Austral, Argentina.</t>
  </si>
  <si>
    <t>1092-7697</t>
  </si>
  <si>
    <t>1573-7748</t>
  </si>
  <si>
    <t>INT J HIST ARCHAEOL</t>
  </si>
  <si>
    <t>Int. J. Hist. Archaeol.</t>
  </si>
  <si>
    <t>10.1007/s10761-019-00499-7</t>
  </si>
  <si>
    <t>Archaeology</t>
  </si>
  <si>
    <t>IQ2MU</t>
  </si>
  <si>
    <t>WOS:000480584000010</t>
  </si>
  <si>
    <t>Blanchard-Wrigglesworth, E; Ding, QH</t>
  </si>
  <si>
    <t>Blanchard-Wrigglesworth, Edward; Ding, Qinghua</t>
  </si>
  <si>
    <t>Tropical and Midlatitude Impact on Seasonal Polar Predictability in the Community Earth System Model</t>
  </si>
  <si>
    <t>Atmosphere; Sea ice; Seasonal forecasting; General circulation models</t>
  </si>
  <si>
    <t>ANTARCTIC SEA-ICE; CLIMATE PREDICTABILITY; VARIABILITY; PREDICTION; CANADA</t>
  </si>
  <si>
    <t>The impact on seasonal polar predictability from improved tropical and midlatitude forecasts is explored using a perfect-model experiment and applying a nudging approach in a GCM. We run three sets of 7-month long forecasts: a standard free-running forecast and two nudged forecasts in which atmospheric winds, temperature, and specific humidity (U, V, T, Q) are nudged toward one of the forecast runs from the free ensemble. The two nudged forecasts apply the nudging over different domains: the tropics (30 degrees S-30 degrees N) and the tropics and midlatitudes (55 degrees S-55 degrees N). We find that the tropics have modest impact on forecast skill in the Arctic or Antarctica both for sea ice and the atmosphere that is mainly confined to the North Pacific and Bellingshausen-Amundsen-Ross Seas, whereas the midlatitudes greatly improve Arctic winter and Antarctic year-round forecast skill. Arctic summer forecast skill from May initialization is not strongly improved in the nudged forecasts relative to the free forecast and is thus mostly a local problem. In the atmosphere, forecast skill improvement from midlatitude nudging tends to be largest in the polar stratospheres and decreases toward the surface.</t>
  </si>
  <si>
    <t>[Blanchard-Wrigglesworth, Edward] Univ Washington, Dept Atmospher Sci, Seattle, WA 98195 USA; [Ding, Qinghua] Univ Calif Santa Barbara, Dept Geog, Earth Res Inst, Santa Barbara, CA 93106 USA</t>
  </si>
  <si>
    <t>University of Washington; University of Washington Seattle; University of California System; University of California Santa Barbara</t>
  </si>
  <si>
    <t>Blanchard-Wrigglesworth, E (corresponding author), Univ Washington, Dept Atmospher Sci, Seattle, WA 98195 USA.</t>
  </si>
  <si>
    <t>ed@atmos.washington.edu</t>
  </si>
  <si>
    <t>Office of Naval Research [N000141812175]; NSF's Antarctic Program [PLR1643436]; NSF's Polar Programs [OPP1744598]; U.S. Department of Defense (DOD) [N000141812175] Funding Source: U.S. Department of Defense (DOD)</t>
  </si>
  <si>
    <t>Office of Naval Research(Office of Naval Research); NSF's Antarctic Program; NSF's Polar Programs; U.S. Department of Defense (DOD)(United States Department of Defense)</t>
  </si>
  <si>
    <t>We thank foremost Patrick Callaghan of NCAR who developed the nudging module for CESM and provided crucial assistance in implementing this module, and Jen Kay, Marika Holland, and David Bailey of NCAR's Polar Climate Working Group for assisting with computing resources. We also thank Patrick Kelly, Brian Mapes, and Xiao Yuan for further assistance with the modeling, and Cecilia Bitz, Aaron Donohoe, Ian Eisenman, Mitch Bushuk, and Francisco Doblas-Reyes for thoughtful discussions. EBW was supported by the Office of Naval Research (N000141812175), and NSF's Antarctic Program (PLR1643436), and Ding is supported by NSF's Polar Programs (OPP1744598).</t>
  </si>
  <si>
    <t>10.1175/JCLI-D-19-0088.1</t>
  </si>
  <si>
    <t>IS0FF</t>
  </si>
  <si>
    <t>WOS:000481822600002</t>
  </si>
  <si>
    <t>Lou, J; Holbrook, NJ; O'Kane, TJ</t>
  </si>
  <si>
    <t>Lou, Jiale; Holbrook, Neil J.; O'Kane, Terence J.</t>
  </si>
  <si>
    <t>South Pacific Decadal Climate Variability and Potential Predictability</t>
  </si>
  <si>
    <t>Climate variability; Decadal variability; Interdecadal variability; Oceanic variability; Oscillations; Pacific decadal oscillation</t>
  </si>
  <si>
    <t>SEA-SURFACE TEMPERATURE; SUBTROPICAL COUNTERCURRENT; PART I; OCEAN; ENSO; CIRCULATION; HEMISPHERE; LEVEL; ANOMALIES; MODELS</t>
  </si>
  <si>
    <t>The South Pacific decadal oscillation (SPDO) characterizes the Southern Hemisphere contribution to the Pacific-wide interdecadal Pacific oscillation (IPO) and is analogous to the Pacific decadal oscillation (PDO) centered in the North Pacific. In this study, upper ocean variability and potential predictability of the SPDO is examined in HadISST data and an atmosphere-forced ocean general circulation model. The potential predictability of the IPO-related variability is investigated in terms of both the fractional contribution made by the decadal component in the South, tropical and North Pacific Oceans and in terms of a doubly integrated first-order autoregressive (AR1) model. Despite explaining a smaller fraction of the total variance, we find larger potential predictability of the SPDO relative to the PDO. We identify distinct local drivers in the western subtropical South Pacific, where nonlinear baroclinic Rossby wave-topographic interactions act to low-pass filter decadal variability. In particular, we show that the Kermadec Ridge in the southwest Pacific enhances the decadal signature more prominently than anywhere else in the Pacific basin. Applying the doubly integrated AR1 model, we demonstrate that variability associated with the Pacific-South American pattern is a critically important atmospheric driver of the SPDO via a reddening process analogous to the relationship between the Aleutian low and PDO in the North Pacific-albeit that the relationship in the South Pacific appears to be even stronger. Our results point to the largely unrecognized importance of South Pacific processes as a key source of decadal variability and predictability.</t>
  </si>
  <si>
    <t>[Lou, Jiale; Holbrook, Neil J.] Univ Tasmania, Inst Marine &amp; Antarctic Studies, Hobart, Tas, Australia; [Lou, Jiale] Univ Tasmania, ARC Ctr Excellence Climate Syst Sci, Hobart, Tas, Australia; [Holbrook, Neil J.] Univ Tasmania, ARC Ctr Excellence Climate Extremes, Hobart, Tas, Australia; [O'Kane, Terence J.] CSIRO Oceans &amp; Atmosphere, Hobart, Tas, Australia</t>
  </si>
  <si>
    <t>University of Tasmania; ARC Centre of Excellence for Climate System Science; University of Tasmania; University of Tasmania; Commonwealth Scientific &amp; Industrial Research Organisation (CSIRO)</t>
  </si>
  <si>
    <t>Lou, J (corresponding author), Univ Tasmania, Inst Marine &amp; Antarctic Studies, Hobart, Tas, Australia.;Lou, J (corresponding author), Univ Tasmania, ARC Ctr Excellence Climate Syst Sci, Hobart, Tas, Australia.</t>
  </si>
  <si>
    <t>jiale.lou@utas.edu.au</t>
  </si>
  <si>
    <t>O'Kane, Terence/AAV-1123-2021; O'Kane, Terence J/B-1655-2009; Holbrook, Neil/M-7544-2013</t>
  </si>
  <si>
    <t>O'Kane, Terence/0000-0002-2137-5915; O'Kane, Terence J/0000-0002-2137-5915; Lou, Jiale/0000-0002-4014-5242; Holbrook, Neil/0000-0002-3523-6254</t>
  </si>
  <si>
    <t>ARC Centre of Excellence for Climate System Science [CE110001028]; University of Tasmania; Quantitative Marine Science top-up scholarship [Australian Commonwealth Scientific Research Organisation (CSIRO) Postgraduate scheme]; ARC Centre of Excellence for Climate Extremes [CE17010023]; CSIRO Decadal Forecasting Project; National Environmental Science Project Earth Systems and Climate Change (NESP ESCC) Hub project 2.3; Australian government</t>
  </si>
  <si>
    <t>ARC Centre of Excellence for Climate System Science(Australian Research Council); University of Tasmania; Quantitative Marine Science top-up scholarship [Australian Commonwealth Scientific Research Organisation (CSIRO) Postgraduate scheme]; ARC Centre of Excellence for Climate Extremes; CSIRO Decadal Forecasting Project; National Environmental Science Project Earth Systems and Climate Change (NESP ESCC) Hub project 2.3; Australian government(Australian Government)</t>
  </si>
  <si>
    <t>We thank the four anonymous reviewers whose suggestions led to a substantial improvement of the paper. JL is grateful for a Ph.D. scholarship provided by the ARC Centre of Excellence for Climate System Science (CE110001028), University of Tasmania tuition fee scholarship, and a Quantitative Marine Science top-up scholarship [including support from the Australian Commonwealth Scientific Research Organisation (CSIRO) Postgraduate scheme]. NJH acknowledges funding support from the ARC Centre of Excellence for Climate Extremes (CE17010023). TJO is supported by the CSIRO Decadal Forecasting Project (https://research.csiro.au/dfp) and NJH and TJO acknowledge support from the National Environmental Science Project Earth Systems and Climate Change (NESP ESCC) Hub project 2.3. This research was undertaken with the assistance of resources from the National Computational Infrastructure (NCI), which is supported by the Australian government.</t>
  </si>
  <si>
    <t>10.1175/JCLI-D-18-0249.1</t>
  </si>
  <si>
    <t>WOS:000481822600005</t>
  </si>
  <si>
    <t>Li, Q; Lee, S; England, MH; McClean, JL</t>
  </si>
  <si>
    <t>Li, Qian; Lee, Sukyoung; England, Matthew H.; McClean, Julie L.</t>
  </si>
  <si>
    <t>Seasonal-to-Interannual Response of Southern Ocean Mixed Layer Depth to the Southern Annular Mode from a Global 1/10° Ocean Model</t>
  </si>
  <si>
    <t>Southern Ocean; Atmosphere-ocean interaction; Mixed layer; Climate variability; General circulation models; Interannual variability</t>
  </si>
  <si>
    <t>ANTARCTIC CIRCUMPOLAR WAVE; SEA-SURFACE TEMPERATURE; ANTHROPOGENIC CARBON; VARIABILITY; CIRCULATION; ATMOSPHERE; OSCILLATION; TRENDS; IMPACT; WATER</t>
  </si>
  <si>
    <t>The relationship between the southern annular mode (SAM) and Southern Ocean mixed layer depth (MLD) is investigated using a global 0.1 degrees resolution ocean model. The SAM index is defined as the principal component time series of the leading empirical orthogonal function of extratropical sea level pressure from September to December, when the zonally symmetric SAM feature is most prominent. Following positive phases of the SAM, anomalous deep mixed layers occur in the subsequent fall season, starting in May, particularly in the southeast Pacific. Composite analyses reveal that for positive SAM phases enhanced surface cooling caused by anomalously strong westerlies weakens the stratification of the water column, leading to deeper mixed layers during spring when the SAM signal is at its strongest. During the subsequent summer, the surface warms and the mixed layer shoals. However, beneath the warm surface layer, anomalously weak stratification persists throughout the summer and into fall. When the surface cools again during fall, the mixed layer readily deepens due to this weak interior stratification, a legacy from the previous springtime conditions. Therefore, the spring SAM-fall MLD relationship is interpreted here as a manifestation of reemergence of interior water mass anomalies. The opposite occurs after negative phases of the SAM, with anomalously shallow mixed layers resulting. Additional analyses reveal that for the MLD region in the southeast Pacific, the effects of salinity variations and Ekman heat advection are negligible, although Ekman heat transport may play an important role in other regions where mode water is formed, such as south of Australia and in the Indian Ocean.</t>
  </si>
  <si>
    <t>[Li, Qian; Lee, Sukyoung] Penn State Univ, Dept Meteorol &amp; Atmospher Sci, State Coll, PA 16801 USA; [Li, Qian; England, Matthew H.] Univ New South Wales, Climate Change Res Ctr, Sydney, NSW, Australia; [Li, Qian; England, Matthew H.] Univ New South Wales, ARC Ctr Excellence Climate Syst Sci, Sydney, NSW, Australia; [McClean, Julie L.] Univ Calif San Diego, Scripps Inst Oceanog, La Jolla, CA 92093 USA</t>
  </si>
  <si>
    <t>Pennsylvania Commonwealth System of Higher Education (PCSHE); Pennsylvania State University; University of New South Wales Sydney; University of New South Wales Sydney; ARC Centre of Excellence for Climate System Science; University of California System; University of California San Diego; Scripps Institution of Oceanography</t>
  </si>
  <si>
    <t>Li, Q (corresponding author), Penn State Univ, Dept Meteorol &amp; Atmospher Sci, State Coll, PA 16801 USA.;Li, Q (corresponding author), Univ New South Wales, Climate Change Res Ctr, Sydney, NSW, Australia.;Li, Q (corresponding author), Univ New South Wales, ARC Ctr Excellence Climate Syst Sci, Sydney, NSW, Australia.</t>
  </si>
  <si>
    <t>qian.li5@unsw.edu.au</t>
  </si>
  <si>
    <t>England, Matthew/0000-0001-9696-2930; LI, QIAN/0000-0002-2099-233X</t>
  </si>
  <si>
    <t>National Science Foundation [AGS-1455577]; Australian Research Council (ARC), including the ARC Centre of Excellence for Climate Extremes; Centre for Southern Hemisphere Oceans Research (CSHOR); DOE U.S. Office of Science [DE-SC0014440]; [TG-OCE110013]; U.S. Department of Energy (DOE) [DE-SC0014440] Funding Source: U.S. Department of Energy (DOE)</t>
  </si>
  <si>
    <t>National Science Foundation(National Science Foundation (NSF)); Australian Research Council (ARC), including the ARC Centre of Excellence for Climate Extremes(Australian Research Council); Centre for Southern Hemisphere Oceans Research (CSHOR); DOE U.S. Office of Science; ; U.S. Department of Energy (DOE)(United States Department of Energy (DOE))</t>
  </si>
  <si>
    <t>We thank Lynne Talley for helpful discussions about the relationship between the SAM and mode water formation in the Southern Ocean. QL and SL are supported by the National Science Foundation under Grant AGS-1455577. MHE is supported by the Australian Research Council (ARC), including the ARC Centre of Excellence for Climate Extremes, and the Centre for Southern Hemisphere Oceans Research (CSHOR). JLM was supported by DOE U.S. Office of Science Grant DE-SC0014440 for this study. High-performance computing resource Grant TG-OCE110013 (JLM) was used to run the POP simulation at NSF's Extreme Science and Engineering Discovery Environment (XSEDE), while OCE-0850463 supported Elena Yuleva (UCSD) and JLM to carry out the simulation. The POP output is available from XSEDE.</t>
  </si>
  <si>
    <t>10.1175/JCLI-D-19-0159.1</t>
  </si>
  <si>
    <t>IS8EG</t>
  </si>
  <si>
    <t>WOS:000482381300001</t>
  </si>
  <si>
    <t>Pope, EL; Normandeau, A; Cofaigh, CO; Stokes, CR; Talling, PJ</t>
  </si>
  <si>
    <t>Pope, Ed L.; Normandeau, Alexandre; Cofaigh, Colm O.; Stokes, Chris R.; Talling, Peter J.</t>
  </si>
  <si>
    <t>Controls on the formation of turbidity current channels associated with marine-terminating glaciers and ice sheets</t>
  </si>
  <si>
    <t>Submarine channels; Fjords; Ice sheets; Turbidity currents; Geomorphology; Glacimarine processes</t>
  </si>
  <si>
    <t>GLACIMARINE SEDIMENTARY PROCESSES; RESOLUTION CLIMATE MODEL; FREE-SURFACE FLOW; SUBMARINE LANDFORMS; SUBGLACIAL DRAINAGE; ANTARCTIC PENINSULA; BRITISH-COLUMBIA; EAST GREENLAND; CONTINENTAL-SLOPE; SEASONAL-CHANGES</t>
  </si>
  <si>
    <t>Submarine channels, and the sediment density flows which form them, act as conduits for the transport of sediment, macro-nutrients, fresher water and organic matter from the coast to the deep sea. These systems are therefore significant pathways for global sediment and carbon cycles. However, the conditions that permit or preclude submarine channel formation are poorly understood, especially when in association with marine-terminating glaciers. Here, using swath-bathymetric data from the inner shelf and fjords of northwest and southeast Greenland, we provide the first paper to analyse the controls on the formation of submarine channels offshore of numerous marine-terminating glaciers. These data reveal 37 submarine channels: 11 offshore of northwest Greenland and 26 offshore of southeast Greenland. The presence of channels is nearly always associated with: (1) a stable glacier front, as indicated by the association with either a moraine or grounding-zone wedge; and (2), a consistent seaward sloping gradient. In northwest Greenland, turbidity current channels are also more likely to be associated with larger glacier catchments with higher ice and meltwater fluxes which provide higher volumes of sediment delivery. However, the factors controlling the presence of channels in northwest and southeast Greenland are different, which suggest some complexity about predicting the occurrence of turbidity currents in glacier-influenced settings. Future work on tidewater glacier sediment delivery rates by different subglacial processes, and the role of grain size and catchment/regional geology is required to address uncertainties regarding the controls on channel formation.</t>
  </si>
  <si>
    <t>[Pope, Ed L.; Cofaigh, Colm O.; Stokes, Chris R.] Univ Durham, Sci Labs, Dept Geog, South Rd, Durham DH1 3LE, England; [Normandeau, Alexandre] Bedford Inst Oceanog, Geol Survey Canada Atlantic, Dartmouth, NS B2Y 4A2, Canada; [Talling, Peter J.] Univ Durham, Sci Labs, Dept Earth Sci &amp; Geog, South Rd, Durham DH1 3LE, England</t>
  </si>
  <si>
    <t>Durham University; Natural Resources Canada; Lands &amp; Minerals Sector - Natural Resources Canada; Geological Survey of Canada; Bedford Institute of Oceanography; Durham University</t>
  </si>
  <si>
    <t>Pope, EL (corresponding author), Univ Durham, Sci Labs, Dept Geog, South Rd, Durham DH1 3LE, England.</t>
  </si>
  <si>
    <t>edward.pope@durham.ac.uk</t>
  </si>
  <si>
    <t>Stokes, Chris R/A-1957-2011; Pope, Ed/H-9409-2017</t>
  </si>
  <si>
    <t>Pope, Ed/0000-0002-2090-2971; Normandeau, Alexandre/0000-0001-7900-7763; Talling, Peter/0000-0001-5234-0398</t>
  </si>
  <si>
    <t>Leverhulme Trust Early Career Fellowship [ECF-2018-267]; NERC [NE/K011480/1]; Natural Environmental Research Council [NE/D001951/1]; NERC [NE/D001951/1] Funding Source: UKRI</t>
  </si>
  <si>
    <t>Leverhulme Trust Early Career Fellowship(Leverhulme Trust); NERC(UK Research &amp; Innovation (UKRI)Natural Environment Research Council (NERC)); Natural Environmental Research Council(UK Research &amp; Innovation (UKRI)Natural Environment Research Council (NERC)); NERC(UK Research &amp; Innovation (UKRI)Natural Environment Research Council (NERC))</t>
  </si>
  <si>
    <t>We thank NASA's Oceans Melting Greenland (OMG) project for access to the bathymetric data from northwest and southeast Greenland. Brice Noel is thanked for processing the RAMCO2.3 model and providing the runoff data. We are grateful to the US Geological Survey Earth Resources Observation Science Centre for providing Landsat imagery free of charge and the National Oceanic and Atmospheric Administration for making bathymetry from offshore of Alaska freely available. We thank Kelly Hogan for processing the JR175 data. E. Pope was supported by a Leverhulme Trust Early Career Fellowship (ECF-2018-267) and NERC grant NE/K011480/1. The bathymetric data that was collected during JR175 of the RRS James Clark Ross to West Greenland in 2009 was funded by Natural Environmental Research Council grant NE/D001951/1 to C. O Cofaigh. We would like to thank the editor Michele Rebesco, David Amblas, and an anonymous reviewer for their in depth reviews that improved this manuscript.</t>
  </si>
  <si>
    <t>10.1016/j.margeo.2019.05.010</t>
  </si>
  <si>
    <t>IR8WZ</t>
  </si>
  <si>
    <t>WOS:000481723500001</t>
  </si>
  <si>
    <t>Li, JP; Zheng, F; Sun, C; Feng, J; Wang, J</t>
  </si>
  <si>
    <t>Li, Jianping; Zheng, Fei; Sun, Cheng; Feng, Juan; Wang, Jing</t>
  </si>
  <si>
    <t>Pathways of Influence of the Northern Hemisphere Mid-high Latitudes on East Asian Climate: A Review</t>
  </si>
  <si>
    <t>27th General Assembly of the International-Union-of-Geodesy-and-Geophysics (IUGG)</t>
  </si>
  <si>
    <t>JUL 08-18, 2019</t>
  </si>
  <si>
    <t>Montreal, CANADA</t>
  </si>
  <si>
    <t>East Asian climate; Northern Hemisphere mid-high latitudes; coupled oceanic-land-sea-ice-atmospheric bridge; chain coupled bridge; pathway; synergistic effect</t>
  </si>
  <si>
    <t>SEASONAL FOOTPRINTING MECHANISM; SOUTHERN ANNULAR MODE; ATLANTIC OSCILLATION; ATMOSPHERIC BRIDGE; ENSO TELECONNECTIONS; WINTER PRECIPITATION; SNOW COVER; MULTIDECADAL VARIABILITY; ANTARCTIC OSCILLATION; SPRING PRECIPITATION</t>
  </si>
  <si>
    <t>This paper reviews recent progress made by Chinese scientists on the pathways of influence of the Northern Hemisphere mid-high latitudes on East Asian climate within the framework of a coupled oceanic-atmospheric (land-atmospheric or sea-ice-atmospheric) bridge and chain coupled bridge. Four major categories of pathways are concentrated upon, as follows: Pathway A-from North Atlantic to East Asia; Pathway B-from the North Pacific to East Asia; Pathway C-from the Arctic to East Asia; and Pathway D-the synergistic effects of the mid-high latitudes and tropics. In addition, definitions of the terms combined effect, synergistic effect and antagonistic effect of two or more factors of influence or processes and their criteria are introduced, so as to objectively investigate those effects in future research.</t>
  </si>
  <si>
    <t>[Li, Jianping] Ocean Univ China, Inst Adv Ocean Studies, Key Lab Phys Oceanog, Qingdao 266003, Peoples R China; [Li, Jianping] Qingdao Natl Lab Marine Sci &amp; Technol, Qingdao 266003, Peoples R China; [Li, Jianping; Sun, Cheng; Feng, Juan; Wang, Jing] Beijing Normal Univ, Coll Global Change &amp; Earth Syst Sci, Beijing 100875, Peoples R China; [Zheng, Fei] Chinese Acad Sci, Inst Atmospher Phys, State Key Lab Numer Modeling Atmospher Sci &amp; Geop, Beijing 100029, Peoples R China</t>
  </si>
  <si>
    <t>Ocean University of China; Laoshan Laboratory; Beijing Normal University; Chinese Academy of Sciences; Institute of Atmospheric Physics, CAS</t>
  </si>
  <si>
    <t>Li, JP (corresponding author), Ocean Univ China, Inst Adv Ocean Studies, Key Lab Phys Oceanog, Qingdao 266003, Peoples R China.;Li, JP (corresponding author), Qingdao Natl Lab Marine Sci &amp; Technol, Qingdao 266003, Peoples R China.;Li, JP (corresponding author), Beijing Normal Univ, Coll Global Change &amp; Earth Syst Sci, Beijing 100875, Peoples R China.</t>
  </si>
  <si>
    <t>ljp@bnu.edu.cn</t>
  </si>
  <si>
    <t>Zheng, Fei/AAQ-4559-2020; Sun, Cheng/O-7918-2015; Zheng, Fei/AAV-7512-2021; Li, Jianping/I-2661-2012</t>
  </si>
  <si>
    <t>Zheng, Fei/0000-0001-6135-6148; Sun, Cheng/0000-0003-0474-7593; Zheng, Fei/0000-0001-6135-6148; Li, Jianping/0000-0003-0625-1575</t>
  </si>
  <si>
    <t>National Natural Science Foundation of China [41790474]; State Oceanic Administration International Cooperation Program on Global Change and Air-Sea Interactions [GASI-IPOVAI-03]</t>
  </si>
  <si>
    <t>National Natural Science Foundation of China(National Natural Science Foundation of China (NSFC)); State Oceanic Administration International Cooperation Program on Global Change and Air-Sea Interactions</t>
  </si>
  <si>
    <t>This work was supported by the National Natural Science Foundation of China (41790474) and the State Oceanic Administration International Cooperation Program on Global Change and Air-Sea Interactions (GASI-IPOVAI-03).</t>
  </si>
  <si>
    <t>10.1007/s00376-019-8236-5</t>
  </si>
  <si>
    <t>IH2TY</t>
  </si>
  <si>
    <t>WOS:000474348600003</t>
  </si>
  <si>
    <t>Balog, I; Spinelli, F; Grigioni, P; Caputo, G; Napoli, G; De Silvestri, L</t>
  </si>
  <si>
    <t>Balog, Irena; Spinelli, Francesco; Grigioni, Paolo; Caputo, Giampaolo; Napoli, Giuseppe; De Silvestri, Lorenzo</t>
  </si>
  <si>
    <t>Estimation of Direct Normal Irradiance at Antarctica for Concentrated Solar Technology</t>
  </si>
  <si>
    <t>APPLIED SYSTEM INNOVATION</t>
  </si>
  <si>
    <t>Antarctica; solar radiation observations; direct normal irradiance; global horizontal irradiance; diffraction model; concentrating solar technology</t>
  </si>
  <si>
    <t>The estimation of the average daily, monthly and annual direct normal solar irradiation (DNI) was done in the region hosting the Mario Zucchelli Station, in the bay of Terra Nova (Antarctica). Estimates are based on measurements of direct normal (DNI), horizontal global (GHI) and horizontal diffuse (Diff.HI) irradiations, observed by a solar-metric acquisition station installed during the XXVIII scientific expedition carried out in the austral summer 2012/2013 as part of the National Plan of Research in Antarctica (PNRA). The contemporary observations of all three irradiations allowed the setting up of the model for the estimation of the DNI starting from the values of the GHI only, validated for the weather conditions of the Antarctic region. Subsequently, the long-time data reconstruction of the DNI values thanks to the availability of several years' hourly measurements of GHI at the Mario Zucchelli base has been carried out using the meteorological acquisition data installed both at the base and in places scattered around it. The final results make feasible the estimation of solar potential for concentrated solar technology according to long measurements of GHI. Overall, we propose a clean technology based on a renewable power plant and a specific example with a tendency toward a decreased human carbon footprint in the atmosphere of this protected area.</t>
  </si>
  <si>
    <t>[Balog, Irena; Spinelli, Francesco; Caputo, Giampaolo; Napoli, Giuseppe] ENEA Casaccia Res Ctr, DTE STSN, Via Anguillarese 301, I-000123 Rome, Italy; [Grigioni, Paolo; De Silvestri, Lorenzo] SSPT PROTER, ENEA Casaccia Res Ctr, Via Anguillarese 301, I-000123 Rome, Italy</t>
  </si>
  <si>
    <t>Italian National Agency New Technical Energy &amp; Sustainable Economics Development; Italian National Agency New Technical Energy &amp; Sustainable Economics Development</t>
  </si>
  <si>
    <t>Balog, I (corresponding author), ENEA Casaccia Res Ctr, DTE STSN, Via Anguillarese 301, I-000123 Rome, Italy.</t>
  </si>
  <si>
    <t>irena.balog@enea.it</t>
  </si>
  <si>
    <t>PNRA project in 2012/2013</t>
  </si>
  <si>
    <t>Research was funded by PNRA project in 2012/2013. The funders had no role in the design of the study; in the collection, analyses, or interpretation of data; in the writing of the manuscript, and in the decision to publish the results.</t>
  </si>
  <si>
    <t>2571-5577</t>
  </si>
  <si>
    <t>APPL SYST INNOV</t>
  </si>
  <si>
    <t>Appl. Syst. Innov.</t>
  </si>
  <si>
    <t>10.3390/asi2030021</t>
  </si>
  <si>
    <t>Computer Science, Information Systems; Engineering, Electrical &amp; Electronic; Telecommunications</t>
  </si>
  <si>
    <t>Computer Science; Engineering; Telecommunications</t>
  </si>
  <si>
    <t>VK4KN</t>
  </si>
  <si>
    <t>WOS:000697688300003</t>
  </si>
  <si>
    <t>Dias, MP; Martin, R; Pearmain, EJ; Burfield, IJ; Small, C; Yates, O; Phillips, RA; Lascelles, B; Borboroglu, PG; Croxall, JP</t>
  </si>
  <si>
    <t>Dias, Maria P.; Martin, Rob; Pearmain, Elizabeth J.; Burfield, Ian J.; Small, Cleo; Yates, Oliver; Phillips, Richard A.; Lascelles, Ben; Garcia Borboroglu, Pablo; Croxall, John P.</t>
  </si>
  <si>
    <t>Threats to seabirds: A global assessment</t>
  </si>
  <si>
    <t>Conservation; Globally threatened species; Human impacts; Marine birds</t>
  </si>
  <si>
    <t>MURRE URIA-LOMVIA; MARINE PROTECTED AREAS; HUMAN DISTURBANCE; ROUND DISTRIBUTION; CLIMATE-CHANGE; FISHERIES BYCATCH; FOOD-CONSUMPTION; OIL POLLUTION; CONSERVATION; PTERODROMA</t>
  </si>
  <si>
    <t>We present the first objective quantitative assessment of the threats to all 359 species of seabirds, identify the main challenges facing them, and outline priority actions for their conservation. We applied the standardised Threats Classification Scheme developed for the IUCN Red List to objectively assess threats to each species and analysed the data according to global IUCN threat status, taxonomic group, and primary foraging habitat (coastal or pelagic). The top three threats to seabirds in terms of number of species affected and average impact are: invasive alien species, affecting 165 species across all the most threatened groups; bycatch in fisheries, affecting fewer species (100) but with the greatest average impact; and climate change/severe weather, affecting 96 species. Overfishing, hunting/trapping and disturbance were also identified as major threats to seabirds. Reversing the top three threats alone would benefit two-thirds of all species and c. 380 million individual seabirds (c. 45% of the total global seabird population). Most seabirds (c. 70%), especially globally threatened species, face multiple threats. For albatrosses, petrels and penguins in particular (the three most threatened groups of seabirds), it is essential to tackle both terrestrial and marine threats to reverse declines. As the negative effects of climate change are harder to mitigate, it is vital to compensate by addressing other major threats that often affect the same species, such as invasive alien species, bycatch and overfishing, for which proven solutions exist.</t>
  </si>
  <si>
    <t>[Dias, Maria P.; Martin, Rob; Pearmain, Elizabeth J.; Burfield, Ian J.; Lascelles, Ben; Croxall, John P.] BirdLife Int, David Attenborough Bldg,Pembroke St, Cambridge CB2 3QZ, England; [Small, Cleo] RSPB, BirdLife Int Marine Programme, Sandy SG19 2DL, Beds, England; [Yates, Oliver] NERC, British Antarctic Survey, Madingley Rd, Cambridge CB3 0ET, England; [Phillips, Richard A.] Ctr Environm Fishery &amp; Aquaculture Sci, Pakefield Rd, Lowestoft NR33, Suffolk, England; [Garcia Borboroglu, Pablo] Univ Washington, Seattle, WA 98195 USA; [Garcia Borboroglu, Pablo] Consejo Nacl Invest Cient &amp; Tecn, Global Penguin Soc, Puerto Madryn U9120, Chubut, Argentina</t>
  </si>
  <si>
    <t>BirdLife International; Royal Society for Protection of Birds; BirdLife International; UK Research &amp; Innovation (UKRI); Natural Environment Research Council (NERC); NERC British Antarctic Survey; University of Washington; University of Washington Seattle; Consejo Nacional de Investigaciones Cientificas y Tecnicas (CONICET)</t>
  </si>
  <si>
    <t>Dias, MP (corresponding author), BirdLife Int, David Attenborough Bldg,Pembroke St, Cambridge CB2 3QZ, England.</t>
  </si>
  <si>
    <t>maria.dias@birdlife.org</t>
  </si>
  <si>
    <t>Dias, Maria P./D-1331-2012; Martin, Rob/JNS-5628-2023</t>
  </si>
  <si>
    <t>Dias, Maria P./0000-0002-7281-4391; Martin, Rob/0000-0002-5886-2581; Pearmain, Elizabeth/0000-0002-6600-1482</t>
  </si>
  <si>
    <t>Royal Society for the Protection of Birds (RSPB); Cambridge Conservation Initiative (CCI) Collaborative Fund for Conservation; Global Ocean Biodiversity Initiative (GOBI); International Climate Initiative MO; German Federal Ministry for the Environment, Nature Conservation, and Nuclear Safety (BMU); NERC [bas0100035] Funding Source: UKRI</t>
  </si>
  <si>
    <t>Royal Society for the Protection of Birds (RSPB); Cambridge Conservation Initiative (CCI) Collaborative Fund for Conservation; Global Ocean Biodiversity Initiative (GOBI); International Climate Initiative MO; German Federal Ministry for the Environment, Nature Conservation, and Nuclear Safety (BMU); NERC(UK Research &amp; Innovation (UKRI)Natural Environment Research Council (NERC))</t>
  </si>
  <si>
    <t>We are very grateful to Bartek Arendarczyk, Sophie Bennett, Ricky Hibble, Eleanor Miller and Amy Palmer-Newton for assisting with the bibliographic review. We thank Rachael Alderman, Pep Arcos, Jonathon Barrington, Igor Debski, Peter Hodum, Gustavo Jimenez, Jeff Mangel, Ken Morgan, Paul Sagar, Peter Ryan, and other members of the ACAP PaCSWG, and members of the IUCN SSC Penguin Specialist Group (Alejandro Simeone, Andre Chiaradia, Barbara Wienecke, Charles-Andre Bost, Lauren Waller, Phil Trathan, Philip Seddon, Susie Ellis, Tom Schneider and Dee Boersma) for reviewing threats to selected species. We thank also Andy Symes, Rocio Moreno, Stuart Butchart, Paul Donald, Rory Crawford, Tammy Davies, Ana Carneiro and This Allinson for fruitful discussions and helpful comments on earlier versions of the manuscript, and David Gremillet for his constructive review. This work was supported by the Royal Society for the Protection of Birds (RSPB); the Cambridge Conservation Initiative (CCI) Collaborative Fund for Conservation; and the Global Ocean Biodiversity Initiative (GOBI) with a grant from the International Climate Initiative MO. The German Federal Ministry for the Environment, Nature Conservation, and Nuclear Safety (BMU) supports GOBI on the basis of a decision adopted by the German Bundestag.</t>
  </si>
  <si>
    <t>10.1016/j.biocon.2019.06.033</t>
  </si>
  <si>
    <t>WOS:000488314700056</t>
  </si>
  <si>
    <t>Atala, C; Pertierra, LR; Aragón, P; Carrasco-Urra, F; Lavín, P; Gallardo-Cerda, J; Ricote-Martínez, N; Torres-Díaz, C; Molina-Montenegro, MA</t>
  </si>
  <si>
    <t>Atala, Cristian; Pertierra, Luis R.; Aragon, Pedro; Carrasco-Urra, Fernando; Lavin, Paris; Gallardo-Cerda, Jorge; Ricote-Martinez, Natalia; Torres-Diaz, Cristian; Molina-Montenegro, Marco A.</t>
  </si>
  <si>
    <t>Positive interactions among native and invasive vascular plants in Antarctica: assessing the nurse effect at different spatial scales</t>
  </si>
  <si>
    <t>Antarctica; Biotic interactions; Colobanthus quitensis; Deschampsia antarctica; Nurse effect; Poa annua; Stress gradient hypothesis (SGH); Facilitation</t>
  </si>
  <si>
    <t>STRESS-GRADIENT HYPOTHESIS; NONNATIVE TARAXACUM-OFFICINALE; CUSHION PLANTS; HIGH-ANDES; PHENOTYPIC PLASTICITY; BIOTIC INTERACTIONS; SPECIES RICHNESS; CLIMATE-CHANGE; GLOBAL CHANGE; POA-ANNUA</t>
  </si>
  <si>
    <t>Antarctica is a stressful ecosystem with few vascular plants, an ideal system to test positive interactions. Here, plants such as Deschampsia antarctica could generate more suitable micro-environmental conditions for the establishment of other plants (facilitation). We examined the co-occurrence of vascular plant species in the Antarctic Peninsula and assessed the potential nurse effect by D. antarctica on the native Colobanthus quitensis and the invasive Poa annua. We also measured the ecophysiological performance and survival of C. quitensis within and outside the canopy of D. antarctica in two study sites differing in stress levels. In addition, a survival experiment was conducted with the invasive Poa annua individuals within and outside D. antarctica individuals. In sites where present, target species co-occurred with D. antarctica in both Shetland Islands and Antarctic Peninsula. In agreement with the stress gradient hypothesis, we found evidence of facilitation between vascular Antarctic plant species. Specifically, we found that D. antarctica facilitates the native C. quitensis and the invasive P. annua and that the effect is stronger in more stressful sites. Additionally, C. quitensis distribution is compatible with an influence of either direct or indirect facilitation from D. antarctica. Facilitation between vascular plants may play a role structuring Antarctic plant communities. Thus, distribution of native species should be considered when assessing the introduction and spread of invasive species. Also, our results together with those from previous studies showed that the type and magnitude of biotic interactions may change with time and can depend on the plant traits considered.</t>
  </si>
  <si>
    <t>[Atala, Cristian] Pontificia Univ Catolica Valparaiso, Fac Ciencias, Inst Biol, Lab Anat &amp; Ecol Func Plantas, Campus Curauma, Valparaiso, Chile; [Pertierra, Luis R.; Aragon, Pedro] MNCN, Dept Biogeog &amp; Cambio Global, Madrid, Spain; [Carrasco-Urra, Fernando] Univ Concepcion, Dept Bot, Concepcion, Chile; [Lavin, Paris] Univ Antofagasta, Lab Complejidad Microbiana &amp; Ecol Func, Antofagasta, Chile; [Gallardo-Cerda, Jorge; Molina-Montenegro, Marco A.] Univ Talca, Inst Ciencias Biol, Ctr Estudios Avanzados Ecol Mol &amp; Func, Avda Lircay S-N, Talca, Chile; [Ricote-Martinez, Natalia] Pontificia Univ Catolica Chile, Dept Ecol, Santiago, Chile; [Torres-Diaz, Cristian] Univ Bio Bio, Fac Ciencias, Dept Ciencias Basicas, LGB, Chillan, Chile; [Molina-Montenegro, Marco A.] Univ Catolica Norte, Fac Ciencias Mar, CEAZA, Coquimbo, Chile</t>
  </si>
  <si>
    <t>Pontificia Universidad Catolica de Valparaiso; Universidad de Concepcion; Universidad de Antofagasta; Universidad de Talca; Pontificia Universidad Catolica de Chile; Universidad del Bio-Bio; Universidad Catolica del Norte</t>
  </si>
  <si>
    <t>Molina-Montenegro, MA (corresponding author), Univ Talca, Inst Ciencias Biol, Ctr Estudios Avanzados Ecol Mol &amp; Func, Avda Lircay S-N, Talca, Chile.;Molina-Montenegro, MA (corresponding author), Univ Catolica Norte, Fac Ciencias Mar, CEAZA, Coquimbo, Chile.</t>
  </si>
  <si>
    <t>Pertierra, Luis R./K-3727-2017; Lavin, Paris/AAI-9053-2020; Aragón, Pedro/B-2598-2009; Ricote, Natalia/IWD-8505-2023</t>
  </si>
  <si>
    <t>Pertierra, Luis R./0000-0002-2232-428X; Aragón, Pedro/0000-0002-6849-7274; Ricote, Natalia/0000-0003-3378-6102; Torres Diaz, Cristian/0000-0002-5741-5288; Atala, Cristian/0000-0003-1337-9534</t>
  </si>
  <si>
    <t>CONICYT Project [PII20150126]; ALIENANT'' Project - Spanish MINECO I+ D programme [CTM2013-47381-P]; UNITED'' Project [CGL2016-78070-P]</t>
  </si>
  <si>
    <t>CONICYT Project(Comision Nacional de Investigacion Cientifica y Tecnologica (CONICYT)); ALIENANT'' Project - Spanish MINECO I+ D programme; UNITED'' Project</t>
  </si>
  <si>
    <t>We thank INACH, the Chilean Navy and the Arctowski Polish Antarctic Station for their logistical support and measurements of field data. To conduct all manipulative experiments in the field, we have taken into account the international permits and authorizations given by the INACH. This work was funded by CONICYT Project (PII20150126). Luis R. Pertierra was supported by ALIENANT'' Project Granted by the Spanish MINECO I+ D programme (CTM2013-47381-P). P. Aragon was supported by the UNITED'' Project (CGL2016-78070-P, MINECO). This article contributes to the SCAR biological research programmes Antarctic Thresholds - Ecosystem Resilience and Adaptation'' (AnT-ERA) and State of the Antarctic Ecosystem'' (AntEco).</t>
  </si>
  <si>
    <t>10.1007/s10530-019-02016-7</t>
  </si>
  <si>
    <t>IN6DS</t>
  </si>
  <si>
    <t>WOS:000478767600005</t>
  </si>
  <si>
    <t>Arndt, DS; Blunden, J; Dunn, RJH; Stanitski, DM; Gobron, N; Willett, KM; Sánchez-Lugo, A; Berrisford, P; Morice, C; Nicolas, JP; Carrea, L; Woolway, RI; Merchant, CJ; Dokulil, MT; de Eyto, E; DeGasperi, CL; Korhonen, J; Marszelewski, W; May, L; Paterson, AM; Rusak, JA; Schladow, SG; Schmid, M; Verburg, P; Watanabe, S; Weyhenmeyer, GA; King, AD; Donat, MG; Christy, JR; Po-Chedley, S; Mears, CR; Haimberger, L; Covey, C; Randel, W; Noetzli, J; Biskaborn, BK; Christiansen, HH; Isaksen, K; Schoeneich, P; Smith, S; Vieira, G; Zhao, L; Streletskiy, DA; Robinson, DA; Pelto, M; Berry, DI; Bosilovich, MG; Simmons, AJ; Mears, C; Ho, SP; Bock, O; Zhou, X; Nicolas, J; Vose, RS; Adler, R; Gu, G; Becker, A; Yin, X; Tye, MR; Blenkinsop, S; Bosilovich, MG; Durre, I; Ziese, M; Collow, ABM; Rustemeier, E; Foster, MJ; Di Girolamo, L; Frey, RA; Heidinger, AK; Sun-Mack, S; Phillips, C; Menzel, WP; Stengel, M; Zhao, G; Kim, H; Rodell, M; Li, B; Famiglietti, JS; Scanlon, T; van der Schalie, R; Preimesberger, W; Reimer, C; Hahn, S; Gruber, A; Kidd, R; de Jeu, RAM; Dorigo, WA; Barichivich, J; Osborn, TJ; Harris, I; van der Schrier, G; Jones, PD; Miralles, DG; Martens, B; Beck, HE; Dolman, AJ; Jiménez, C; McCabe, MF; Wood, EF; Allan, R; Azorin-Molina, C; Mears, CA; McVicar, TR; Mayer, M; Schenzinger, V; Hersbach, H; Stackhouse, PW; Wong, T; Kratz, DP; Sawaengphokhai, P; Wilber, AC; Gupta, SK; Loeb, NG; Dlugokencky, EJ; Hall, BD; Montzka, SA; Dutton, G; Mühle, J; Elkins, JW; Miller, BR; Rémy, S; Bellouin, N; Kipling, Z; Ades, M; Benedetti, A; Boucher, O; Weber, M; Steinbrecht, W; Arosio, C; van der A, R; Frith, SM; Anderson, J; Coldewey-Egbers, M; Davis, S; Degenstein, D; Fioletov, VE; Froidevaux, L; Hubert, D; Long, CS; Loyola, D; Rozanov, A; Roth, C; Sofieva, V; Tourpali, K; Wang, R; Wild, JD; Davis, SM; Rosenlof, KH; Hurst, DF; Selkirk, HB; Vömel, H; Ziemke, JR; Cooper, OR; Flemming, J; Inness, A; Pinty, B; Kaiser, JW; van der Werf, GR; Hemming, DL; Garforth, J; Park, T; Richardson, AD; Rutishauser, T; Sparks, TH; Thackeray, SJ; Myneni, R; Lumpkin, R; Huang, B; Kennedy, J; Xue, Y; Zhang, HM; Hu, C; Wang, M; Johnson, GC; Lyman, JM; Boyer, T; Cheng, L; Domingues, CM; Gilson, J; Ishii, M; Killick, RE; Monselesan, D; Purkey, SG; Wijffels, SE; Locarnini, R; Yu, L; Jin, X; Stackhouse, PW; Kato, S; Weller, RA; Thompson, PR; Widlansky, MJ; Leuliette, E; Sweet, W; Chambers, DP; Hamlington, BD; Jevrejeva, S; Marra, JJ; Merrifield, MA; Mitchum, GT; Nerem, RS; Kelble, C; Karnauskas, M; Hubbard, K; Goni, G; Streeter, C; Lumpkin, R; Dohan, K; Franz, BA; Cetinic, I; Karaköylü, EM; Siegel, DA; Westberry, TK; Feely, RA; Wanninkhof, R; Carter, BR; Landschützer, P; Sutton, AJ; Cosca, C; Triñanes, JA; Baxter, S; Schreck, C; Bell, GD; Mullan, AB; Pezza, AB; Coelho, CAS; Wang, B; He, Q; Diamond, HJ; Schreck, CJ; Bell, GD; Blake, ES; Landsea, CW; Wang, H; Goldenberg, SB; Pasch, RJ; Klotzbach, PJ; Kruk, MC; Schreck, CJ; Camargo, SJ; Trewin, BC; Pearce, PR; Lorrey, AM; Domingues, R; Goni, GJ; Knaff, JA; Lin, II; Bringas, F; Richter-Menge, J; Osborne, E; Druckenmiller, M; Jeffries, MO; Overland, JE; Hanna, E; Hanssen-Bauer, I; Kim, SJ; Walsh, JE; Wang, M; Bhatt, US; Timmermans, ML; Ladd, C; Perovich, D; Meier, W; Tschudi, M; Farrell, S; Hendricks, S; Gerland, S; Haas, C; Krumpen, T; Polashenski, C; Ricker, R; Webster, M; Stabeno, PJ; Tedesco, M; Box, JE; Cappelen, J; Fausto, RS; Fettweis, X; Andersen, JK; Mote, T; Smeets, CJPP; van As, D; van de Wal, RSW; Romanovsky, VE; Smith, SL; Isaksen, K; Shiklomanov, NI; Streletskiy, DA; Kholodov, AL; Christiansen, HH; Drozdov, DS; Malkova, GV; Marchenko, SS; Jella, KB; Mudryk, L; Brown, R; Derksen, C; Luojus, K; Decharme, B; Holmes, RM; Shiklomanov, AI; Suslova, A; Tretiakov, M; McClelland, JW; Spencer, RGM; Tank, SE; Epstein, H; Bhatt, U; Raynolds, M; Walker, D; Forbes, B; Phoenix, G; Bjerke, J; Tommervik, H; Karlsen, SR; Myneni, R; Park, T; Goetz, S; Jia, G; Bernhard, GH; Fioletov, VE; Grooss, JU; Ialongo, I; Johnsen, B; Lakkala, K; Manney, GL; Müller, R; Scambos, T; Stammerjohn, S; Clem, KR; Barreira, S; Fogt, RL; Colwell, S; Keller, LM; Lazzara, MA; Reid, P; Massom, RA; Lieser, JL; Meijers, A; Sallée, JB; Grey, A; Johnson, K; Arrigo, K; Swart, S; King, B; Meredith, M; Mazloff, M; Scardilli, A; Claus, F; Shuman, CA; Kramarova, N; Newman, PA; Nash, ER; Strahan, SE; Long, CS; Johnson, B; Pitts, M; Santee, ML; Petropavlovskikh, I; Braathen, GO; Coy, L; de Laat, J; Bissolli, P; Ganter, C; Li, T; Mekonnen, A; Sánchez-Lugo, A; Gleason, K; Smith, A; Fenimore, C; Heim, RR; Nauslar, NJ; Brown, TJ; Mcevoy, DJ; Lareau, NP; Amador, JA; Hidalgo, HG; Alfaro, EJ; Calderon, B; Mora, N; Stephenson, TS; Taylor, MA; Trotman, AR; Van Meerbeeck, CJ; Campbell, JD; Brown, A; Spence, J; Martínez, R; Díaz, E; Marin, D; Hernández, R; Cáceres, L; Zambrano, E; Nieto, J; Marengo, JA; Espinoza, JC; Alves, LM; Ronchail, J; Lavado-Casimiro, JW; Ramos, I; Dávila, C; Ramos, AM; Diniz, FA; Aliaga-Nestares, V; Castro, AY; Stella, JL; Aldeco, LS; Díaz, DAC; Misevicius, N; Mekonnen, A; Kabidi, K; Sayouri, A; ElKharrim, M; Mostafa, AE; Hagos, S; Feng, Z; Ijampy, JA; Sima, F; Francis, SD; Tsidu, GM; Kruger, AC; McBride, C; Jumaux, G; Dhurmea, KR; Belmont, M; Rakotoarimalala, CL; Labbé, L; Rösner, B; Benedict, I; Van Heerwaarden, C; Weerts, A; Hazeleger, W; Bissolli, P; Trachte, K; Zhu, Z; Zhang, P; Lee, TC; Ripaldi, A; Mochizuki, Y; Lim, JY; Oyunjargal, L; Timbal, B; Srivastava, AK; Revadekar, JV; Rajeevan, M; Shimpo, A; Khoshkam, M; Kazemi, AF; Zeyaeyan, S; Ganter, C; Lander, MA; McGree, S; Tobin, S; Bettio, L</t>
  </si>
  <si>
    <t>Arndt, D. S.; Blunden, J.; Dunn, R. J. H.; Stanitski, D. M.; Gobron, N.; Willett, K. M.; Sanchez-Lugo, A.; Berrisford, P.; Morice, C.; Nicolas, J. P.; Carrea, L.; Woolway, R. I.; Merchant, C. J.; Dokulil, M. T.; de Eyto, E.; DeGasperi, C. L.; Korhonen, J.; Marszelewski, W.; May, L.; Paterson, A. M.; Rusak, J. A.; Schladow, S. G.; Schmid, M.; Verburg, P.; Watanabe, S.; Weyhenmeyer, G. A.; King, A. D.; Donat, M. G.; Christy, J. R.; Po-Chedley, S.; Mears, C. R.; Haimberger, L.; Covey, C.; Randel, W.; Noetzli, J.; Biskaborn, B. K.; Christiansen, H. H.; Isaksen, K.; Schoeneich, P.; Smith, S.; Vieira, G.; Zhao, L.; Streletskiy, D. A.; Robinson, D. A.; Pelto, M.; Berry, D. I.; Bosilovich, M. G.; Simmons, A. J.; Mears, C.; Ho, S. P.; Bock, O.; Zhou, X.; Nicolas, J.; Vose, R. S.; Adler, R.; Gu, G.; Becker, A.; Yin, X.; Tye, M. R.; Blenkinsop, S.; Bosilovich, M. G.; Durre, I.; Ziese, M.; Collow, A. B. Marquardt; Rustemeier, E.; Foster, M. J.; Di Girolamo, L.; Frey, R. A.; Heidinger, A. K.; Sun-Mack, S.; Phillips, C.; Menzel, W. P.; Stengel, M.; Zhao, G.; Kim, H.; Rodell, M.; Li, B.; Famiglietti, J. S.; Scanlon, T.; van der Schalie, R.; Preimesberger, W.; Reimer, C.; Hahn, S.; Gruber, A.; Kidd, R.; de Jeu, R. A. M.; Dorigo, W. A.; Barichivich, J.; Osborn, T. J.; Harris, I.; van der Schrier, G.; Jones, P. D.; Miralles, D. G.; Martens, B.; Beck, H. E.; Dolman, A. J.; Jimenez, C.; McCabe, M. F.; Wood, E. F.; Allan, R.; Azorin-Molina, C.; Mears, C. A.; McVicar, T. R.; Mayer, M.; Schenzinger, V.; Hersbach, H.; Stackhouse, P. W., Jr.; Wong, T.; Kratz, D. P.; Sawaengphokhai, P.; Wilber, A. C.; Gupta, S. K.; Loeb, N. G.; Dlugokencky, E. J.; Hall, B. D.; Montzka, S. A.; Dutton, G.; Muhle, J.; Elkins, J. W.; Miller, B. R.; Remy, S.; Bellouin, N.; Kipling, Z.; Ades, M.; Benedetti, A.; Boucher, O.; Weber, M.; Steinbrecht, W.; Arosio, C.; van der A, R.; Frith, S. M.; Anderson, J.; Coldewey-Egbers, M.; Davis, S.; Degenstein, D.; Fioletov, V. E.; Froidevaux, L.; Hubert, D.; Long, C. S.; Loyola, D.; Rozanov, A.; Roth, C.; Sofieva, V.; Tourpali, K.; Wang, R.; Wild, J. D.; Davis, S. M.; Rosenlof, K. H.; Hurst, D. F.; Selkirk, H. B.; Vomel, H.; Ziemke, J. R.; Cooper, O. R.; Flemming, J.; Inness, A.; Pinty, B.; Kaiser, J. W.; van der Werf, G. R.; Hemming, D. L.; Garforth, J.; Park, T.; Richardson, A. D.; Rutishauser, T.; Sparks, T. H.; Thackeray, S. J.; Myneni, R.; Lumpkin, R.; Huang, B.; Kennedy, J.; Xue, Y.; Zhang, H. -M.; Hu, C.; Wang, M.; Johnson, G. C.; Lyman, J. M.; Boyer, T.; Cheng, L.; Domingues, C. M.; Gilson, J.; Ishii, M.; Killick, R. E.; Monselesan, D.; Purkey, S. G.; Wijffels, S. E.; Locarnini, R.; Yu, L.; Jin, X.; Stackhouse, P. W.; Kato, S.; Weller, R. A.; Thompson, P. R.; Widlansky, M. J.; Leuliette, E.; Sweet, W.; Chambers, D. P.; Hamlington, B. D.; Jevrejeva, S.; Marra, J. J.; Merrifield, M. A.; Mitchum, G. T.; Nerem, R. S.; Kelble, C.; Karnauskas, M.; Hubbard, K.; Goni, G.; Streeter, C.; Lumpkin, R.; Dohan, K.; Franz, B. A.; Cetinic, I.; Karakoylu, E. M.; Siegel, D. A.; Westberry, T. K.; Feely, R. A.; Wanninkhof, R.; Carter, B. R.; Landschutzer, P.; Sutton, A. J.; Cosca, C.; Trinanes, J. A.; Baxter, S.; Schreck, C.; Bell, G. D.; Mullan, A. B.; Pezza, A. B.; Coelho, C. A. S.; Wang, B.; He, Q.; Diamond, H. J.; Schreck, C. J.; Bell, G. D.; Blake, E. S.; Landsea, C. W.; Wang, H.; Goldenberg, S. B.; Pasch, R. J.; Klotzbach, P. J.; Kruk, M. C.; Schreck, C. J.; Camargo, S. J.; Trewin, B. C.; Pearce, P. R.; Lorrey, A. M.; Domingues, R.; Goni, G. J.; Knaff, J. A.; Lin, I. -I.; Bringas, F.; Richter-Menge, J.; Osborne, E.; Druckenmiller, M.; Jeffries, M. O.; Overland, J. E.; Hanna, E.; Hanssen-Bauer, I.; Kim, S. -J.; Walsh, J. E.; Wang, M.; Bhatt, U. S.; Timmermans, M. -L.; Ladd, C.; Perovich, D.; Meier, W.; Tschudi, M.; Farrell, S.; Hendricks, S.; Gerland, S.; Haas, C.; Krumpen, T.; Polashenski, C.; Ricker, R.; Webster, M.; Stabeno, P. J.; Tedesco, M.; Box, J. E.; Cappelen, J.; Fausto, R. S.; Fettweis, X.; Andersen, J. K.; Mote, T.; Smeets, C. J. P. P.; van As, D.; van de Wal, R. S. W.; Romanovsky, V. E.; Smith, S. L.; Isaksen, K.; Shiklomanov, N. I.; Streletskiy, D. A.; Kholodov, A. L.; Christiansen, H. H.; Drozdov, D. S.; Malkova, G. V.; Marchenko, S. S.; Jella, K. B.; Mudryk, L.; Brown, R.; Derksen, C.; Luojus, K.; Decharme, B.; Holmes, R. M.; Shiklomanov, A. I.; Suslova, A.; Tretiakov, M.; McClelland, J. W.; Spencer, R. G. M.; Tank, S. E.; Epstein, H.; Bhatt, U.; Raynolds, M.; Walker, D.; Forbes, B.; Phoenix, G.; Bjerke, J.; Tommervik, H.; Karlsen, S. -R.; Myneni, R.; Park, T.; Goetz, S.; Jia, G.; Bernhard, G. H.; Fioletov, V. E.; Grooss, J. -U.; Ialongo, I.; Johnsen, B.; Lakkala, K.; Manney, G. L.; Mueller, R.; Scambos, T.; Stammerjohn, S.; Clem, K. R.; Barreira, S.; Fogt, R. L.; Colwell, S.; Keller, L. M.; Lazzara, M. A.; Reid, P.; Massom, R. A.; Lieser, J. L.; Meijers, A.; Sallee, J. -B.; Grey, A.; Johnson, K.; Arrigo, K.; Swart, S.; King, B.; Meredith, M.; Mazloff, M.; Scardilli, A.; Claus, F.; Shuman, C. A.; Kramarova, N.; Newman, P. A.; Nash, E. R.; Strahan, S. E.; Long, C. S.; Johnson, B.; Pitts, M.; Santee, M. L.; Petropavlovskikh, I.; Braathen, G. O.; Coy, L.; de Laat, J.; Bissolli, P.; Ganter, C.; Li, T.; Mekonnen, A.; Sanchez-Lugo, A.; Gleason, K.; Smith, A.; Fenimore, C.; Heim, R. R., Jr.; Nauslar, N. J.; Brown, T. J.; Mcevoy, D. J.; Lareau, N. P.; Amador, J. A.; Hidalgo, H. G.; Alfaro, E. J.; Calderon, B.; Mora, N.; Stephenson, T. S.; Taylor, M. A.; Trotman, A. R.; Van Meerbeeck, C. J.; Campbell, J. D.; Brown, A.; Spence, J.; Martinez, R.; Diaz, E.; Marin, D.; Hernandez, R.; Caceres, L.; Zambrano, E.; Nieto, J.; Marengo, J. A.; Espinoza, J. C.; Alves, L. M.; Ronchail, J.; Lavado-Casimiro, J. W.; Ramos, I.; Davila, C.; Ramos, A. M.; Diniz, F. A.; Aliaga-Nestares, V.; Castro, A. Y.; Stella, J. L.; Aldeco, L. S.; Diaz, D. A. Campos; Misevicius, N.; Mekonnen, A.; Kabidi, K.; Sayouri, A.; ElKharrim, M.; Mostafa, A. E.; Hagos, S.; Feng, Z.; Ijampy, J. A.; Sima, F.; Francis, S. D.; Tsidu, G. Mengistu; Kruger, A. C.; McBride, C.; Jumaux, G.; Dhurmea, K. R.; Belmont, M.; Rakotoarimalala, C. L.; Labbe, L.; Rosner, B.; Benedict, I.; Van Heerwaarden, C.; Weerts, A.; Hazeleger, W.; Bissolli, P.; Trachte, K.; Zhu, Z.; Zhang, P.; Lee, T. C.; Ripaldi, A.; Mochizuki, Y.; Lim, J. -Y; Oyunjargal, L.; Timbal, B.; Srivastava, A. K.; Revadekar, J. V.; Rajeevan, M.; Shimpo, A.; Khoshkam, M.; Kazemi, A. Fazl; Zeyaeyan, S.; Ganter, C.; Lander, M. A.; McGree, S.; Tobin, S.; Bettio, L.</t>
  </si>
  <si>
    <t>State of the Climate in 2018</t>
  </si>
  <si>
    <t>[Simmons, A. J.; Mayer, M.; Hersbach, H.; Kipling, Z.; Ades, M.; Benedetti, A.; Flemming, J.; Inness, A.] European Ctr Med Range Weather Forecasts, Reading, Berks, England; [Adler, R.] Univ Maryland, College Pk, MD 20742 USA; [Aldeco, L. S.] Serv Meteorol Nacl, Buenos Aires, DF, Argentina; [Alfaro, E. J.] Univ Costa Rica, Ctr Geophys Res, San Jose, Costa Rica; [Alfaro, E. J.] Univ Costa Rica, Sch Phys, San Jose, Costa Rica; [Aliaga-Nestares, V.] Serv Nacl Meteorol &amp; Hidrol Peru, Lima, Peru; [Allan, R.] Univ Reading, Reading, Berks, England; [Allan, R.] Met Off Hadley Ctr, Exeter, Devon, England; [Alves, L. M.] Inst Nacl de Pesquisas da Amazonia, Ctr Ciencias Sistema Terrestre, Sao Paulo, Brazil; [Amador, J. A.] Univ Costa Rica, Ctr Geophys Res, San Jose, Costa Rica; [Amador, J. A.] Univ Costa Rica, Sch Phys, San Jose, Costa Rica; [Andersen, J. K.] Geol Survey Denmark &amp; Greenland, Copenhagen, Denmark; [Anderson, J.] Hampton Univ, Dept Atmospher &amp; Planetary Sci, Hampton, VA 23668 USA; [Arndt, D. S.] NOAA, NESDIS, Natl Ctr Environm Informat Asheville, Asheville, NC 28801 USA; [Arosio, C.] Univ Bremen, Bremen, Germany; [Azorin-Molina, C.] Univ Gothenburg, Dept Earth Sci, Reg Climate Grp, Gothenburg, Sweden; [Azorin-Molina, C.] Spanish Natl Res Council, Ctr Invest Desertificac, Moncada, Valencia, Spain; [Barichivich, J.] Pontificia Univ Catolica Valparaiso, Inst Geog, Valparaiso, Chile; [Barreira, S.] Argentine Naval Hydrog Serv, Buenos Aires, DF, Argentina; [Baxter, S.; Bell, G. D.] NOAA, NWS Climate Predict Ctr, College Pk, MD USA; [Beck, H. E.] Princeton Univ, Dept Civil &amp; Environm Engn, Princeton, NJ 08544 USA; [Becker, A.] Deutsch Wetterdienst, Global Precipitat Climatol Ctr, Offenbach, Germany; [Bellouin, N.] Univ Reading, Reading, Berks, England; [Belmont, M.] Seychelles Natl Meteorol Serv, Pointe Larue, Mahe, Seychelles; [Benedict, I.] Wageningen Univ &amp; Res, Meteorol &amp; Air Qual Grp, Wageningen, Netherlands; [Bernhard, G. H.] Biospher Inc, San Diego, CA USA; [Berrisford, P.] European Ctr Med Range Weather Forecasts, NCAS Climate, Reading, Berks, England; [Berry, D. I.] Natl Oceanog Ctr, Southampton, Hants, England; [Bettio, L.] Bur Meteorol, Melbourne, Vic, Australia; [Bhatt, U. S.] Univ Alaska, Geophys Inst, Fairbanks, AK 99701 USA; [Biskaborn, B. K.] Alfred Wegener Inst Helmholtz Ctr Polar &amp; Marine, Potsdam, Germany; [Bissolli, P.] WMO RA VI Reg Climate Ctr Network, Deutsch Westterdienst, Offenbach, Germany; [Blake, E. S.] NOAA, NWS Natl Hurricane Ctr, Miami, FL USA; [Blenkinsop, S.] Newcastle Univ, Sch Engn, Newcastle Upon Tyne, Tyne &amp; Wear, England; [Blunden, J.] NOAA, NESDIS Natl Centers Environm Informat, Asheville, NC USA; [Bock, O.] Univ Paris Diderot, Sorbonne Paris Cite, Inst Phys Globe Paris, Paris, France; [Bosilovich, M. G.] NASA, Global Modeling &amp; Assimilat Off, Goddard Space Flight Ctr, Greenbelt, MD USA; [Boucher, O.] Sorbonne Univ, Paris, France; [Box, J. E.] Geol Survey Denmark &amp; Greenland, Copenhagen, Denmark; [Boyer, T.] NOAA, NESDIS Natl Cts Environm Informat, Silver Spring, MD USA; [Bringas, F.] NOAA, OAR, AOML, Miami, FL USA; [Campbell, J. D.; Brown, A.] Univ West Indies, Dept Phys, Kingston, Jamaica; [Brown, R.] Environm &amp; Climate Change Canada, Climate Res Div, Montreal, PQ, Canada; [Brown, T. J.] Desert Res Inst, Western Reg Climate Ctr, Reno, NV USA; [Caceres, L.] Inst Nacl Meteorol &amp; Hidrol Ecuador, Quito, Ecuador; [Calderon, B.] Univ Costa Rica, Ctr Geophys Res, San Jose, Costa Rica; [Camargo, S. J.] Columbia Univ, Lamont Doherty Earth Observ, Palisades, NY USA; [Diaz, D. A. Campos] Direcc Meteorol Chile, Santiago, Chile; [Cappelen, J.] Danish Meteorol Inst, Copenhagen, Denmark; [Carrea, L.] Univ Reading, Dept Meteorol, Reading, Berks, England; [Carter, B. R.] Univ Washington, Joint Inst Study Atmosphere &amp; Ocean, Seattle, WA 98195 USA; [Carter, B. R.] NOAA, OAR, Pacific Marine Environm Lab, Seattle, WA USA; [Castro, A. Y.] Serv Nacl Meteorol &amp; Hidrol Peru, Lima, Peru; [Cetinic, I.] NASA, Goddard Space Flight Ctr, Greenbelt, MD USA; [Cetinic, I.] Univ Space Res Assoc, Columbia, MD USA; [Chambers, D. P.] Univ S Florida, Coll Marine Sci, St Petersburg, FL 33701 USA; [Cheng, L.] Nanjing Univ Informat Sci &amp; Technol, ICAR, KLME, ILCEC,CIC,FEMD, Nanjing, Jiangsu, Peoples R China; [Cheng, L.] Chinese Acad Sci, Inst Atmospher Phys, Int Ctr Climate &amp; Environm Sci, Beijing, Peoples R China; [Christiansen, H. H.] Univ Ctr Svalbard, Geol Dept, Longyearbyen, Norway; [Christy, J. R.] Univ Alabama, Huntsville, AL 35899 USA; [Claus, F.] Argentine Naval Hydrog Serv, Buenos Aires, DF, Argentina; [Clem, K. R.] Rutgers State Univ, Inst Earth Ocean &amp; Atmospher Sci, New Brunswick, NJ USA; [Coelho, C. A. S.] CPTEC, INPE Ctr Weather Forecasts &amp; Climate Studies, Cachoeira Paulista, Brazil; [Coldewey-Egbers, M.] German Aerosp Ctr DLR Oberpfaffenhofen, Wessling, Germany; [Colwell, S.] British Antarctic Survey, Cambridge, England; [Cooper, O. R.] Univ Colorado, Cooperat Inst Res Environm Sci, Boulder, CO 80309 USA; [Cooper, O. R.] NOAA, OAR Earth Syst Res Lab, Boulder, CO USA; [Cosca, C.] NOAA, OAR Pacific Marine Environm Lab Seattle, Seattle, WA USA; [Covey, C.] Lawrence Livermore Natl Lab, Livermore, CA 94550 USA; [Coy, L.] NASA, Sci Syst &amp; Applicat Inc, Goddard Space Flight Ctr, Greenbelt, MD USA; [Davila, C.] Serv Nacl Meteorol &amp; Hidrol Peru, Lima, Peru; [Davis, S. M.] Univ Colorado, Cooperat Inst Res Environm Sci, Boulder, CO 80309 USA; [Davis, S. M.] NOAA, OAR Earth Syst Res Lab, Boulder, CO USA; [de Eyto, E.] Marine Inst, Newport, Ireland; [de Jeu, R. A. M.] VanderSat BV, Haarlem, Netherlands; [de Laat, J.] Royal Netherlands Meteorol Inst KNMI, De Bilt, Netherlands; [Decharme, B.] Ctr Natl Rech Meteorol, Toulouse, France; [DeGasperi, C. L.] King Cty Water &amp; Land Resources Div, Seattle, WA USA; [Degenstein, D.] Univ Saskatchewan, Saskatoon, SK, Canada; [Derksen, C.] Environm &amp; Climate Change Canada, Climate Res Div, Downsview, ON, Canada; [Dhurmea, K. R.] Mauritius Meteorol Serv, Vacoas, Mauritius; [Di Girolamo, L.] Univ Illinois, Champaign, IL USA; [Diamond, H. J.] NOAA, OAR Air Resources Lab, College Pk, MD USA; [Diaz, E.] Inst Hidrol Meteorol &amp; Estudios Ambient Colombia, Bogota, Colombia; [Dlugokencky, E. J.] NOAA, OAR Earth Syst Res Lab, Boulder, CO USA; [Dohan, K.] Earth &amp; Space Res, Seattle, WA USA; [Dokulil, M. T.] Univ Innsbruck, Res Dept Limnol Mondsee, Innsbruck, Austria; [Dolman, A. J.] Vrije Univ Amsterdam, Dept Earth Sci, Amsterdam, Netherlands; [Domingues, C. M.] Univ Tasmania, Antarct Climate &amp; Ecosyst Cooperat Res Ctr, Inst Marine &amp; Antarct Studies, Hobart, Tas, Australia; [Domingues, C. M.] Australian Res Council, Ctr Excellence Climate Syst Sci, Hobart, Tas, Australia; [Donat, M. G.] Barcelona Supercomp Ctr, Barcelona, Spain; [Dorigo, W. A.] TU Wien Vienna Univ Technol, Dept Geodesy &amp; Geoinformat, Vienna, Austria; [Drozdov, D. S.] Earth Cryosphere Inst, Tyumen, Russia; [Drozdov, D. S.] Tyumen State Univ, Tyumen, Russia; [Druckenmiller, M.] Natl Snow &amp; Ice Data Ctr, Boulder, CO USA; [Dunn, R. J. H.] Met Off Hadley Ctr, Exeter, Devon, England; [Durre, I.] NOAA, NESDIS Natl Ctr Environm Informat, Asheville, NC USA; [Dutton, G.] Univ Colorado, Cooperat Inst Res Environm Sci, Boulder, CO 80309 USA; [Hall, B. D.; Dutton, G.; Elkins, J. W.; Feely, R. A.] NOAA, OAR Earth Syst Res Lab, Boulder, CO 80309 USA; [ElKharrim, M.] Direct Meteorol Natl Maroc, Rabat, Morocco; [Epstein, H.] Univ Virginia, Dept Environm Sci, Clark Hall, Charlottesville, VA 22903 USA; [Espinoza, J. C.] Inst Geofis Peru, Lima, Peru; [Espinoza, J. C.] Univ Grenoble Alpes, Grenoble, France; [Famiglietti, J. S.] Univ Saskatchewan, Sch Environm &amp; Sustainabil, Global Inst Water Secur, Saskatoon, SK, Canada; [Famiglietti, J. S.] Univ Saskatchewan, Dept Geog &amp; Planning, Saskatoon, SK, Canada; [Farrell, S.] Univ Maryland, NOAA, Earth Syst Sci Interdisciplinary Ctr, College Pk, MD 20742 USA; [Fausto, R. S.] Geol Survey Denmark &amp; Greenland, Copenhagen, Denmark; [Feng, Z.] Pacific Northwest Natl Lab, Atmospher Sci &amp; Global Change Div, Richland, WA 99352 USA; [Gleason, K.; Fenimore, C.] NOAA, NESDIS Natl Centers Environm Informat, Asheville, NC USA; [Fettweis, X.] Univ Liege, Liege, Belgium; [Fioletov, V. E.] Environm &amp; Climate Change Canada, Toronto, ON, Canada; [Fogt, R. L.] Ohio Univ, Dept Geog, Athens, OH 45701 USA; [Forbes, B.] Univ Lapland, Arctic Ctr, Rovaniemi, Finland; [Foster, M. J.; Frey, R. A.] Univ Wisconsin, Space Sci &amp; Engn Ctr, Cooperat Inst Meteorol Satellite Studies, Madison, WI USA; [Francis, S. D.] Nigerian Meteorol Agcy, Natl Weather Forecasting &amp; Climate Res Ctr, Abuja, Nigeria; [Frith, S. M.; Franz, B. A.] NASA, Goddard Space Flight Ctr, Greenbelt, MD USA; [Frith, S. M.] Sci Syst &amp; Applicat Inc, Lanham, MD USA; [Froidevaux, L.] CALTECH, Jet Prop Lab, Pasadena, CA USA; [Ganter, C.] Bur Meteorol, Melbourne, Vic, Australia; [Garforth, J.] Woodland Trust, Grantham, England; [Gerland, S.] Fram Ctr, Norwegian Polar Inst, Tromso, Norway; [Gilson, J.] Univ Calif San Diego, Scripps Inst Oceanog, La Jolla, CA 92093 USA; [Gobron, N.] European Commiss, Joint Res Ctr, Knowledge Management Sustainable Dev &amp; Food Secur, Ispra, Italy; [Goetz, S.] No Arizona Univ, Sch Informat Comp &amp; Cyber Syst, Flagstaff, AZ 86011 USA; [Goldenberg, S. B.] NOAA, OAR, AOML Hurricane Res Div, Miami, FL USA; [Goni, G.] NOAA, OAR, AOML, Miami, FL USA; [Grooss, J. -U.] Forschungszentrum Julich, Julich, Germany; [Gruber, A.] Katholieke Univ Leuven, Dept Earth &amp; Environm Sci, Heverlee, Belgium; [Gupta, S. K.] Sci Syst &amp; Applicat Inc, Hampton, VA USA; [Haas, C.] Helmholtz Ctr Polar &amp; Marine Res, Alfred Wegener Inst, Bremerhaven, Germany; [Haimberger, L.] Univ Vienna, Dept Meteorol &amp; Geophys, Vienna, Austria; [Hanna, E.] Univ Lincoln, Sch Geog, Lincoln, NE USA; [Hanna, E.] Univ Lincoln, Lincoln Ctr Water &amp; Planetary Hlth, Lincoln, NE USA; [Hanssen-Bauer, I.] Norwegian Meteorol Inst, Oslo, Norway; [Harris, I.] Univ East Anglia, NCAS, Norwich, Norfolk, England; [Harris, I.] Univ East Anglia, Sch Environm Sci, Climat Res Unit, Norwich, Norfolk, England; [Hazeleger, W.] Netherlands eSci Ctr, Amsterdam, Netherlands; [Hazeleger, W.] Univ Utrecht, Fac Geosci, Amsterdam, Netherlands; [He, Q.] Nanjing Univ Informat Sci &amp; Technol, Earth Syst Modeling Ctr, Nanjing, Jiangsu, Peoples R China; [Heidinger, A. K.] Univ Wisconsin, NOAA, NESDIS, STAR, Madison, WI USA; [Heim, R. R., Jr.] NOAA, NESDIS, Natl Centers Environm Informat, Asheville, NC USA; [Hemming, D. L.] Univ Birmingham, Birmingham Inst Forest Res, Birmingham, W Midlands, England; [Hendricks, S.] Helmholtz Ctr Polar &amp; Marine Res, Alfred Wegener Inst, Bremerhaven, Germany; [Hernandez, R.] Inst Nacl Meteorol &amp; Hidrol Venezuela INAMEH, Caracas, Venezuela; [Hidalgo, H. G.] Univ Costa Rica, Ctr Geophys Res, San Jose, Costa Rica; [Hidalgo, H. G.] Univ Costa Rica, Sch Phys, San Jose, Costa Rica; [Holmes, R. M.] Woods Hole Res Ctr, Falmouth, MA USA; [Ishii, M.] Japan Meteorol Agcy, Meteorol Res Inst, Climate Res Dept, Tsukuba, Ibaraki, Japan; [Jeffries, M. O.] USACE, Erdc, Cold Regions Res &amp; Engn Lab, Hanover, NH USA; [Jia, G.] Chinese Acad Sci, Inst Atmospher Phys, Beijing, Peoples R China; [Jimenez, C.] Estellus, Paris, France; [Jin, X.] Woods Hole Oceanog Inst, Woods Hole, MA 02543 USA; [Johnsen, B.] Norwegian Radiat &amp; Nucl Safety, Osteras, Norway; [Johnson, K.] Monterey Bay Aquarium Res Inst, Moss Landing, CA USA; [Johnson, B.] Univ Colorado, Boulder, CO 80309 USA; [Kabidi, K.] Direct Meteorol Natl Maroc, Rabat, Morocco; [Kaiser, J. W.] Max Planck Inst Chem, Mainz, Germany; [Kaiser, J. W.] Deutsch Wetterdienst, Offenbach, Germany; [Karlsen, S. -R.] Norut Northern Res Inst, Tromso, Norway; [Kato, S.] NASA, Langley Res Ctr, Hampton, VA 23665 USA; [Khoshkam, M.; Kazemi, A. Fazl] Islamic Republ Iranian Meteorol Org, Tehran, Iran; [Kidd, R.] Earth Observat Data Ctr Water Resources Monitorin, Vienna, Austria; [Kim, H.] Univ Tokyo, Inst Ind Sci, Tokyo, Japan; [Kim, S. -J.] Korea Polar Res Inst, Incheon, South Korea; [Klotzbach, P. J.] Colorado State Univ, Dept Atmospher Sci, Ft Collins, CO 80523 USA; [Korhonen, J.] Freshwater Ctr Finnish Environm Inst SYKE, Helsinki, Finland; [Kruger, A. C.] Univ Pretoria, South African Weather Serv, Pretoria, South Africa; [Kruger, A. C.] Univ Pretoria, Dept Geog Geoinformat &amp; Meteorol, Pretoria, South Africa; [Krumpen, T.] Helmholtz Ctr Polar &amp; Marine Res, Alfred Wegener Inst, Bremerhaven, Germany; [Lakkala, K.] Arctic Res Ctr, Finnish Meteorol Inst, Sodankyla, Finland; [Lander, M. A.] Univ Guam, Mangilao, GU USA; [Lareau, N. P.] Univ Nevada, Dept Phys, Reno, NV 89557 USA; [Lee, T. C.] Hong Kong Observ, Hong Kong, Peoples R China; [Li, B.] NASA, Hydrol Sci Lab, Goddard Space Flight Ctr, Greenbelt, MD USA; [Li, B.] Univ Maryland, Earth Syst Sci Interdisciplinary Ctr, College Pk, MD USA; [Li, T.] Univ Hawaii, Dept Atmospher Sci, Honolulu, HI 96822 USA; [Lieser, J. L.] Univ Tasmania, Antarct Climate &amp; Ecosystems Cooperat Res Ctr, Hobart, Tas, Australia; [Lieser, J. L.] Univ Tasmania, Inst Marine &amp; Antarct Studies, Hobart, Tas, Australia; [Lim, J. -Y] Korea Meteorol Adm, Climate Predict Div, Seoul, South Korea; [Lin, I. -I.] Natl Taiwan Univ, Taipei, Taiwan; [Lorrey, A. M.] Natl Inst Water &amp; Atmospher Res Ltd, Auckland, New Zealand; [Loyola, D.] German Aerosp Ctr DLR Oberpfaffenhofen, Wessling, Germany; [Luojus, K.] Finnish Meteorol Inst, Helsinki, Finland; [Malkova, G. V.] Tyumen Sci Ctr, Earth Cryosphere Inst, Tyumen, Russia; [Manney, G. L.] NorthWest Res Associates, Socorro, NM USA; [Manney, G. L.] New Mexico Inst Min &amp; Technol, Socorro, NM 87801 USA; [Collow, A. B. Marquardt] NASA, GSFC, Global Modeling &amp; Assimilat, Greenbelt, MD USA; [Marszelewski, W.] Nicolaus Copernicus Univ, Dept Hydrol &amp; Water Management, Torun, Poland; [Massom, R. A.] Univ Tasmania, Australian Antarctic Div, Hobart, Tas, Australia; [Massom, R. A.] Univ Tasmania, Antarctic Climate &amp; Ecosyst Cooperat Res Ctr, Hobart, Tas, Australia; [May, L.] Ctr Ecol &amp; Hydrol, Edinburgh, Midlothian, Scotland; [McBride, C.] South African Weather Serv, Pretoria, South Africa; [McCabe, M. F.] King Abdullah Univ Sci &amp; Technol, Div Biol &amp; Environm Sci &amp; Engn, Thuwal, Saudi Arabia; [McClelland, J. W.] Univ Texas Austin, Inst Marine Sci, Port Aransas, TX USA; [Mcevoy, D. J.] Desert Res Inst, Western Reg Climate Ctr, Reno, NV USA; [McVicar, T. R.] CSIRO Land &amp; Water, Canberra, ACT, Australia; [McVicar, T. R.] Australian Res Council, Ctr Excellence Climate Extremes, Sydney, NSW, Australia; [Mears, C. A.] Remote Sensing Syst, Santa Rosa, CA USA; [Meier, W.] Univ Colorado, Natl Snow &amp; Ice Data Ctr, Boulder, CO 80309 USA; [Mekonnen, A.] North Carolina A&amp;T State Univ, Dept Phys, Greensboro, NC USA; [Tsidu, G. Mengistu] Botswana Int Univ Sci &amp; Technol, Dept Earth &amp; Environm Sci, Palapye, Botswana; [Tsidu, G. Mengistu] Addis Ababa Univ, Dept Phys, Addis Ababa, Ethiopia; [Menzel, W. P.] Univ Wisconsin, Space Sci &amp; Engn Ctr, Madison, WI USA; [Merchant, C. J.] Univ Reading, Dept Meteorol, Reading, Berks, England; [Merchant, C. J.] Univ Reading, Natl Ctr Earth Observat, Reading, Berks, England; [Monselesan, D.] CSIRO Oceans &amp; Atmosphere, Hobart, Tas, Australia; [Montzka, S. A.] NOAA, OAR, Earth Syst Res Lab, Boulder, CO USA; [Mostafa, A. E.] Egyptian Meteorol Author, Cairo Numer Weather Predict, Dept Seasonal Forecast &amp; Climate Res, Cairo, Egypt; [Mote, T.] Univ Georgia, Dept Geog, Athens, GA 30602 USA; [Nauslar, N. J.] NOAA, NWS, NCEP Storm Predict Ctr, Norman, OK USA; [Noetzli, J.] WSL Inst Snow &amp; Avalanche Res SLF, Davos, Switzerland; [Park, T.] Boston Univ, Dept Earth &amp; Environm, Boston, MA 02215 USA; [Paterson, A. M.] Ontario Minist Environm &amp; Climate Change, Dorset Environm Sci Ctr, Dorset, ON, Canada; [Pelto, M.] Nichols Coll, Dudley, MA USA; [Perovich, D.] Dartmouth Coll, Thayer Sch Engn, Hanover, NH 03755 USA; [Pezza, A. B.] Greater Wellington Reg Council, Wellington, New Zealand; [Phillips, C.] Univ Wisconsin, Dept Atmospher &amp; Ocean Sci, Madison, WI USA; [Phillips, C.] Environm &amp; Climate Change Canada, Toronto, ON, Canada; [Phoenix, G.] Univ Sheffield, Dept Anim &amp; Plant Sci, Sheffield, S Yorkshire, England; [Pinty, B.] Joint Res Ctr, European Commiss, Ispra, Italy; [Rajeevan, M.] Minist Earth Sci, Earth Syst Sci Org, New Delhi, India; [Rakotoarimalala, C. L.] Madagascar Meteorol Serv, Antananarivo, Madagascar; [Ramos, A. M.] Inst Nacl Meteorol, Brasilia, DF, Brazil; [Randel, W.] Natl Ctr Atmospher Res, POB 3000, Boulder, CO 80307 USA; [Raynolds, M.] Univ Alaska Fairbanks, Inst Arctic Biol, Fairbanks, AK USA; [Reid, P.] Antarctic Climate &amp; Ecosyst Cooperat Res Ctr, Hobart, Tas, Australia; [Reimer, C.] Earth Observat Data Ctr Water Resources Monitorin, Vienna, Austria; [Remy, S.] UPMC, CNRS, Inst Pierre Simon Laplace, Paris, France; [Revadekar, J. V.] Indian Inst Trop Meteorol, Pune, Maharashtra, India; [Ripaldi, A.] BMKG, Ctr Climate Change Informat, Climate Variabil Div, Jakarta, Indonesia; [Robinson, D. A.] Rutgers State Univ, Dept Geog, Piscataway, NJ USA; [Ronchail, J.] Univ Paris Diderot, Lab LOCEAN IPSL, Paris, France; [Sallee, J. -B.] Univ Paris, Sorbonne Univ, UPMC, LOCEAN IPSL, Paris, France; [Santee, M. L.] CALTECH, NASA, Jet Prop Lab, Pasadena, CA USA; [Schladow, S. G.] Univ Calif Davis, Tahoe Environm Res Ctr, Davis, CA 95616 USA; [Schmid, M.] Swiss Fed Inst Aquat Sci &amp; Technol, Eawag, Kastanienbaum, Switzerland; [Schoeneich, P.] Inst Geog Alpine, Grenoble, France; [Schreck, C. J.] North Carolina State Univ, CICS NC, Asheville, NC USA; [Selkirk, H. B.] NASA, Univ Space Res Assoc, Goddard Space Flight Ctr, Greenbelt, MD USA; [Shiklomanov, A. I.] Univ New Hampshire, Durham, NH 03824 USA; [Shiklomanov, N. I.] George Washington Univ, Dept Geog, Washington, DC USA; [Shimpo, A.] Japan Meteorol Agcy, Tokyo Climate Ctr, Tokyo, Japan; [Shuman, C. A.] UMBC, JET, NASA, Goddard Space Flight Ctr, Code 615, Greenbelt, MD USA; [Siegel, D. A.] Univ Calif Santa Barbara, Earth Res Inst, Santa Barbara, CA 93106 USA; [Siegel, D. A.] Univ Calif Santa Barbara, Dept Geog, Santa Barbara, CA 93106 USA; [Sima, F.] Dept Water Resources, Div Meteorol, Banjul, Gambia; [Smeets, C. J. P. P.] Univ Utrecht, Inst Marine &amp; Atmospher Res Utrecht, Utrecht, Netherlands; [Sofieva, V.] FMI, Helsinki, Finland; [Sparks, T. H.] Poznan Univ Life Sci, Poznan, Poland; [Spence, J.] Meteorol Serv, Kingston, Jamaica; [Spencer, R. G. M.] Florida State Univ, Tallahassee, FL 32306 USA; [Srivastava, A. K.] Indian Meteorol Dept, Pune, Maharashtra, India; [Stabeno, P. J.] NOAA, Pacific Marine Environm Lab, 7600 Sand Point Way Ne, Seattle, WA 98115 USA; [Steinbrecht, W.] Deutsch Wetterdienst DWD, Hohenpeissenberg, Germany; [Stengel, M.] Deutsch Wetterdienst, Offenbach, Germany; [Streeter, C.] Florida Commercial Watermens Conservat, Matlacha, FL USA; [Swart, S.] Univ Cape Town, Dept Oceanog, Rondebosch, South Africa; [Tank, S. E.] Univ Alberta, Edmonton, AB, Canada; [Tedesco, M.] Columbia Univ, Lamont Doherty Earth Observ, Palisades, NY USA; [Thackeray, S. J.] Ctr Ecol &amp; Hydrol, Lancaster, England; [Thompson, P. R.] Univ Hawaii, Joint Inst Marine &amp; Atmospher Res, Honolulu, HI 96822 USA; [Timbal, B.] Singapore Meteorol Serv, Ctr Climate Res, Singapore, Singapore; [Timmermans, M. -L.] Yale Univ, New Haven, CT USA; [Trachte, K.] Univ Marburg, Fac Geog, Lab Climatol &amp; Remote Sensing, Marburg, Germany; [Trinanes, J. A.] Univ Santiago de Compostela, Technol Res Inst, Lab Syst, Campus Univ Sur, Santiago De Compostela, Spain; [Trotman, A. R.] Caribbean Inst Meteorol &amp; Hydrol, Bridgetown, Barbados; [Tschudi, M.] Univ Colorado, Aerosp Engn Sci, Boulder, CO USA; [Tye, M. R.] Natl Ctr Atmospher Res, C3WE, Boulder, CO USA; [van de Wal, R. S. W.] Univ Utrecht, Phys Geog, Geosci, Utrecht, Netherlands; [van der Werf, G. R.] Vrije Univ Amsterdam, Fac Earth &amp; Life Sci, Amsterdam, Netherlands; [Vieira, G.] Univ Lisbon, CEG IGOT, Lisbon, Portugal; [Wang, B.] Univ Hawaii, Dept Atmospher Sci, Honolulu, HI 96822 USA; [Wang, B.] Univ Hawaii, IPRC, Honolulu, HI 96822 USA; [Watanabe, S.] Univ Calif Davis, Tahoe Environm Res Ctr, Davis, CA 95616 USA; [Weber, M.] Univ Bremen, Bremen, Germany; [Weerts, A.] Deltares, Delft, Netherlands; [Weerts, A.] Wageningen Univ &amp; Res, Hydrol &amp; Quantitat Water Management Grp, Wageningen, Netherlands; [Weyhenmeyer, G. A.] Uppsala Univ, Dept Ecol &amp; Genet Limnol, Uppsala, Sweden; [Wild, J. D.] Univ Maryland, ESSIC, College Pk, MD 20742 USA; [Wood, E. F.] Princeton Univ, Dept Civil &amp; Environm Engn, Princeton, NJ 08544 USA; [Woolway, R. I.] Dundalk Inst Technol, Dundalk, Ireland; [Yin, X.] ERT Inc, NOAA, NESDIS, Natl Centers Environm Informat, Asheville, NC USA; [Zhang, P.] Beijing Climate Ctr, Beijing, Peoples R China; [Zhao, L.] Cold &amp; Arid Regions Environm &amp; Engn Res Inst, Lanzhou, Gansu, Peoples R China; [Zhou, X.] NOAA, Ctr Satellite Applicat &amp; Res, College Pk, MD USA; [Zhu, Z.] Nanjing Univ Informat Sci &amp; Technol, Nanjing, Jiangsu, Peoples R China; [Ziemke, J. R.] Morgan State Univ, Goddard Earth Sci Technol &amp; Res, Baltimore, MD 21239 USA; [Ziese, M.] Deutsch Wetterdienst, Global Precipitat Climatol Ctr, Offenbach, Germany</t>
  </si>
  <si>
    <t>European Centre for Medium-Range Weather Forecasts (ECMWF); University System of Maryland; University of Maryland College Park; Universidad Costa Rica; Universidad Costa Rica; Servicio Nacional de Meteorologia Hidrologia del Peru (SENAMHI); University of Reading; Met Office - UK; Hadley Centre; Institute Nacional de Pesquisas da Amazonia; Universidad Costa Rica; Universidad Costa Rica; Geological Survey Of Denmark &amp; Greenland; Hampton University; National Oceanic Atmospheric Admin (NOAA) - USA; University of Bremen; University of Gothenburg; Consejo Superior de Investigaciones Cientificas (CSIC); University of Valencia; CSIC-GV-UV - Centro de Investigaciones sobre Desertificacion (CIDE); Pontificia Universidad Catolica de Valparaiso; National Oceanic Atmospheric Admin (NOAA) - USA; Princeton University; Deutscher Wetterdienst; University of Reading; Wageningen University &amp; Research; UK Research &amp; Innovation (UKRI); Natural Environment Research Council (NERC); NERC National Centre for Atmospheric Science; European Centre for Medium-Range Weather Forecasts (ECMWF); University of Reading; NERC National Oceanography Centre; Bureau of Meteorology - Australia; University of Alaska System; University of Alaska Fairbanks; Helmholtz Association; Alfred Wegener Institute, Helmholtz Centre for Polar &amp; Marine Research; National Oceanic Atmospheric Admin (NOAA) - USA; National Hurricane Center, NOAA; Newcastle University - UK; National Oceanic Atmospheric Admin (NOAA) - USA; Universite Paris Cite; National Aeronautics &amp; Space Administration (NASA); NASA Goddard Space Flight Center; Sorbonne Universite; Geological Survey Of Denmark &amp; Greenland; National Oceanic Atmospheric Admin (NOAA) - USA; National Oceanic Atmospheric Admin (NOAA) - USA; Atlantic Oceanographic &amp; Meteorological Laboratory (AOML); University West Indies Mona Jamaica; Environment &amp; Climate Change Canada; Nevada System of Higher Education (NSHE); Desert Research Institute NSHE; Universidad Costa Rica; Columbia University; Danish Meteorological Institute DMI; University of Reading; University of Washington; University of Washington Seattle; National Oceanic Atmospheric Admin (NOAA) - USA; Servicio Nacional de Meteorologia Hidrologia del Peru (SENAMHI); National Aeronautics &amp; Space Administration (NASA); NASA Goddard Space Flight Center; Universities Space Research Association (USRA); State University System of Florida; University of South Florida; Nanjing University of Information Science &amp; Technology; Chinese Academy of Sciences; Institute of Atmospheric Physics, CAS; University Centre Svalbard (UNIS); University of Alabama System; University of Alabama Huntsville; Rutgers University System; Rutgers University New Brunswick; Instituto Nacional de Pesquisas Espaciais (INPE); Helmholtz Association; German Aerospace Centre (DLR); UK Research &amp; Innovation (UKRI); Natural Environment Research Council (NERC); NERC British Antarctic Survey; University of Colorado System; University of Colorado Boulder; National Oceanic Atmospheric Admin (NOAA) - USA; National Oceanic Atmospheric Admin (NOAA) - USA; United States Department of Energy (DOE); Lawrence Livermore National Laboratory; Science Systems and Applications Inc; National Aeronautics &amp; Space Administration (NASA); NASA Goddard Space Flight Center; Servicio Nacional de Meteorologia Hidrologia del Peru (SENAMHI); University of Colorado System; University of Colorado Boulder; National Oceanic Atmospheric Admin (NOAA) - USA; Marine Institute Ireland; Royal Netherlands Meteorological Institute; University of Saskatchewan; Environment &amp; Climate Change Canada; University of Illinois System; University of Illinois Urbana-Champaign; National Oceanic Atmospheric Admin (NOAA) - USA; National Oceanic Atmospheric Admin (NOAA) - USA; University of Innsbruck; Vrije Universiteit Amsterdam; University of Tasmania; Universitat Politecnica de Catalunya; Barcelona Supercomputer Center (BSC-CNS); Technische Universitat Wien; Tyumen Scientific Center of the Russian Academy of Sciences; Tyumen State University; Met Office - UK; Hadley Centre; National Oceanic Atmospheric Admin (NOAA) - USA; University of Colorado System; University of Colorado Boulder; National Oceanic Atmospheric Admin (NOAA) - USA; University of Virginia; Communaute Universite Grenoble Alpes; Universite Grenoble Alpes (UGA); University of Saskatchewan; Global Institute for Water Security; University of Saskatchewan; National Oceanic Atmospheric Admin (NOAA) - USA; University System of Maryland; University of Maryland College Park; Geological Survey Of Denmark &amp; Greenland; United States Department of Energy (DOE); Pacific Northwest National Laboratory; National Oceanic Atmospheric Admin (NOAA) - USA; University of Liege; Environment &amp; Climate Change Canada; University System of Ohio; Ohio University; University of Lapland; University of Wisconsin System; University of Wisconsin Madison; National Aeronautics &amp; Space Administration (NASA); NASA Goddard Space Flight Center; Science Systems and Applications Inc; National Aeronautics &amp; Space Administration (NASA); NASA Jet Propulsion Laboratory (JPL); California Institute of Technology; Bureau of Meteorology - Australia; Norwegian Polar Institute; University of California System; University of California San Diego; Scripps Institution of Oceanography; European Commission Joint Research Centre; EC JRC ISPRA Site; Northern Arizona University; National Oceanic Atmospheric Admin (NOAA) - USA; Atlantic Oceanographic &amp; Meteorological Laboratory (AOML); National Oceanic Atmospheric Admin (NOAA) - USA; Atlantic Oceanographic &amp; Meteorological Laboratory (AOML); Helmholtz Association; Research Center Julich; KU Leuven; Science Systems and Applications Inc; Helmholtz Association; Alfred Wegener Institute, Helmholtz Centre for Polar &amp; Marine Research; University of Vienna; Norwegian Meteorological Institute; University of East Anglia; University of East Anglia; Utrecht University; Nanjing University of Information Science &amp; Technology; National Oceanic Atmospheric Admin (NOAA) - USA; University of Wisconsin System; University of Wisconsin Madison; National Oceanic Atmospheric Admin (NOAA) - USA; University of Birmingham; Helmholtz Association; Alfred Wegener Institute, Helmholtz Centre for Polar &amp; Marine Research; Universidad Costa Rica; Universidad Costa Rica; Woodwell Climate Research Center; Japan Meteorological Agency; Meteorological Research Institute - Japan; United States Department of Defense; United States Army; U.S. Army Corps of Engineers; U.S. Army Engineer Research &amp; Development Center (ERDC); Cold Regions Research &amp; Engineering Laboratory (CRREL); Chinese Academy of Sciences; Institute of Atmospheric Physics, CAS; Woods Hole Oceanographic Institution; Monterey Bay Aquarium Research Institute; University of Colorado System; University of Colorado Boulder; Max Planck Society; National Aeronautics &amp; Space Administration (NASA); NASA Langley Research Center; University of Tokyo; Korea Polar Research Institute (KOPRI); Colorado State University; South African Weather Service (SAWS); University of Pretoria; University of Pretoria; Helmholtz Association; Alfred Wegener Institute, Helmholtz Centre for Polar &amp; Marine Research; Finnish Meteorological Institute; University of Guam; Nevada System of Higher Education (NSHE); University of Nevada Reno; National Aeronautics &amp; Space Administration (NASA); NASA Goddard Space Flight Center; University System of Maryland; University of Maryland College Park; University of Hawaii System; University of Tasmania; University of Tasmania; Korea Meteorological Administration (KMA); National Taiwan University; National Institute of Water &amp; Atmospheric Research (NIWA) - New Zealand; Helmholtz Association; German Aerospace Centre (DLR); Finnish Meteorological Institute; Tyumen Scientific Center of the Russian Academy of Sciences; NorthWest Research Associates; New Mexico Institute of Mining Technology; National Aeronautics &amp; Space Administration (NASA); NASA Goddard Space Flight Center; Nicolaus Copernicus University; University of Tasmania; Australian Antarctic Division; University of Tasmania; Antarctic Climate &amp; Ecosystems Cooperative Research Centre (ACE CRC); UK Centre for Ecology &amp; Hydrology (UKCEH); South African Weather Service (SAWS); King Abdullah University of Science &amp; Technology; University of Texas System; University of Texas Austin; Nevada System of Higher Education (NSHE); Desert Research Institute NSHE; Commonwealth Scientific &amp; Industrial Research Organisation (CSIRO); CSIRO Land &amp; Water; University of Colorado System; University of Colorado Boulder; University of North Carolina; North Carolina A&amp;T State University; Addis Ababa University; University of Wisconsin System; University of Wisconsin Madison; University of Reading; UK Research &amp; Innovation (UKRI); Natural Environment Research Council (NERC); NERC National Centre for Earth Observation; University of Reading; Commonwealth Scientific &amp; Industrial Research Organisation (CSIRO); National Oceanic Atmospheric Admin (NOAA) - USA; Egyptian Meteorological Authority; University System of Georgia; University of Georgia; National Oceanic Atmospheric Admin (NOAA) - USA; Swiss Federal Institutes of Technology Domain; Swiss Federal Institute for Forest, Snow &amp; Landscape Research; Boston University; Dartmouth College; University of Wisconsin System; University of Wisconsin Madison; Environment &amp; Climate Change Canada; University of Sheffield; European Commission Joint Research Centre; EC JRC ISPRA Site; Ministry of Earth Sciences (MoES) - India; Earth System Science Organization (ESSO); National Center Atmospheric Research (NCAR) - USA; University of Alaska System; University of Alaska Fairbanks; Antarctic Climate &amp; Ecosystems Cooperative Research Centre (ACE CRC); Universite Paris Saclay; Centre National de la Recherche Scientifique (CNRS); CNRS - National Institute for Earth Sciences &amp; Astronomy (INSU); Universite Paris Cite; Sorbonne Universite; Ministry of Earth Sciences (MoES) - India; Indian Institute of Tropical Meteorology (IITM); Indonesian Agency for Meteorology, Climatology &amp; Geophysics; Rutgers University System; Rutgers University New Brunswick; Universite Paris Cite; Sorbonne Universite; Sorbonne Universite; Universite Paris Cite; Museum National d'Histoire Naturelle (MNHN); California Institute of Technology; National Aeronautics &amp; Space Administration (NASA); NASA Jet Propulsion Laboratory (JPL); University of California System; University of California Davis; Swiss Federal Institutes of Technology Domain; Swiss Federal Institute of Aquatic Science &amp; Technology (EAWAG); Communaute Universite Grenoble Alpes; Universite Grenoble Alpes (UGA); North Carolina State University; National Aeronautics &amp; Space Administration (NASA); NASA Goddard Space Flight Center; Universities Space Research Association (USRA); University System Of New Hampshire; University of New Hampshire; George Washington University; Japan Meteorological Agency; University System of Maryland; University of Maryland Baltimore County; National Aeronautics &amp; Space Administration (NASA); NASA Goddard Space Flight Center; University of California System; University of California Santa Barbara; University of California System; University of California Santa Barbara; Utrecht University; Poznan University of Life Sciences; State University System of Florida; Florida State University; Ministry of Earth Sciences (MoES) - India; India Meteorological Department (IMD); National Oceanic Atmospheric Admin (NOAA) - USA; Deutscher Wetterdienst; University of Cape Town; University of Alberta; Columbia University; UK Centre for Ecology &amp; Hydrology (UKCEH); University of Hawaii System; Meteorological Service Singapore; Yale University; Philipps University Marburg; Universidade de Santiago de Compostela; University of Colorado System; University of Colorado Boulder; National Center Atmospheric Research (NCAR) - USA; Utrecht University; Vrije Universiteit Amsterdam; Universidade de Lisboa; University of Hawaii System; University of Hawaii System; University of California System; University of California Davis; University of Bremen; Deltares; Wageningen University &amp; Research; Uppsala University; University System of Maryland; University of Maryland College Park; Princeton University; Dundalk Institute of Technology; National Oceanic Atmospheric Admin (NOAA) - USA; Chinese Academy of Sciences; Cold &amp; Arid Regions Environmental &amp; Engineering Research Institute, CAS; National Oceanic Atmospheric Admin (NOAA) - USA; Nanjing University of Information Science &amp; Technology; Morgan State University; Deutscher Wetterdienst</t>
  </si>
  <si>
    <t>Arndt, DS (corresponding author), NOAA, NESDIS, Natl Ctr Environm Informat Asheville, Asheville, NC 28801 USA.</t>
  </si>
  <si>
    <t>Box, Jason E/AAE-1654-2019; Davis, Sean/C-9570-2011; Lakkala, Kaisa/AAN-4342-2020; Cetinic, Ivona/GSI-5613-2022; Loeb, Norman/ABC-7817-2021; Alves, Lincoln M/G-8894-2015; Randel, William J/K-3267-2016; Killick, Rachel/ISA-5992-2023; Streletskiy, Dmitry A/C-3333-2017; Diamond, Howard/ABC-9877-2021; Loyola, Diego/GYO-3213-2022; montzka, stephen/V-6162-2019; van der Werf, Guido/JXY-9197-2024; Thackeray, Stephen J/D-2415-2013; Johnson, Gregory C/I-6559-2012; Van Meerbeeck, Cedric JVC/D-1231-2010; Weber, Mark/F-1409-2011; Lee, Tsz-cheung/AAW-2799-2021; Hubert, Daan/I-1096-2019; Dorigo, Wouter A/C-7794-2014; Leuliette, Eric/D-1527-2010; Jones, Philip Douglas/C-8718-2009; Carter, Brendan/AAB-1327-2021; Derksen, Chris/S-9828-2017; Heidinger, Andrew/F-5591-2010; McClelland, James W/IWE-5143-2023; Myneni, Ranga B/F-5129-2012; Jia, Gensuo/AAL-2681-2020; Barichivich, Jonathan/A-2776-2010; Hidalgo, Hugo G./I-7170-2019; Mote, Thomas/U-6681-2017; Weyhenmeyer, Gesa/Y-6135-2019; Knaff, John A./F-5599-2010; Walsh, John/GQI-2785-2022; Tsidu, Gizaw Mengistu/AAG-6048-2019; van de wal, roderik/D-1705-2011; Sofieva, Viktoria F./E-1958-2014; Clem, Kyle/AAG-6626-2021; Hall, Bradley/HZH-3492-2023; Trachte, Katja/M-7310-2015; wilber, anne/F-6270-2011; Krumpen, Thomas/D-5163-2011; Alfaro, Eric/AAV-3131-2021; Berry, David I/C-1268-2011; Miralles, Diego/K-8857-2013; Goetz, Scott J/A-3393-2015; Selkirk, Henry B/H-2021-2012; Carter, Brendan/ABG-9706-2021; Hanna, Edward/W-5927-2019; Cooper, Owen/H-4875-2013; Lin, I-I/J-4695-2013; Swart, Sebastiaan/U-5498-2017; Espinoza, Jhan Carlo/A-9396-2011; Tømmervik, Hans/AAK-7042-2021; Choque, Luis Fernando Cáceres/K-2550-2019; Stengel, Martin/C-9801-2010; Diaz, Dorivar Ruiz/AAJ-4871-2021; Osborn, Timothy/E-9740-2011; Beck, Hylke/ABD-9012-2020; Timmermans, Mary-Louise/N-5983-2014; Fioletov, Vitali/AAM-1044-2020; Camargo, Suzana J./C-6106-2009; KIM, HYUNGJUN/I-5099-2014; Goni, Gustavo J/D-2017-2012; Rajeevan, Madhavan Nair/ABG-8604-2021; Drozdov, Dmitry S/N-4264-2018; Mazloff, Matthew/AAG-6463-2019; Kaiser, Johannes W./GOP-0832-2022; Davis, Sean/HGC-5795-2022; Arndt, Derek S/J-3022-2013; Müller, Rolf/A-6669-2013; McBride, Charlotte/GSI-4733-2022; Mikhail, Tretiakov/AAX-5452-2020; sallée, jean-baptiste/A-5837-2010; Boucher, Olivier/K-7483-2012; Merchant, Christopher J/E-1180-2014; Santee, MIchelle/R-5762-2019; Azorin-Molina, Cesar/ABB-5381-2021; HURST, DALE/AAC-9948-2022; Myneni, Ranga B./AAU-6088-2021; Thompson, Philip R/H-4509-2013; Luojus, Kari/AAO-7912-2020; Schreck, Carl J/B-8711-2011; Menzel, W. Paul/B-8306-2011; Famiglietti, James/G-7383-2017; Bock, Olivier/B-7629-2018; Bernhard, Germar/AAZ-7169-2020; Stanitski, Diane M/N-1668-2017; Vose, Russell/GSI-5687-2022; Franz, Bryan A/D-6284-2012; Feely, Richard A./ABI-5740-2020; Fausto, Robert S./K-6185-2018; Harris, Ian C/O-7772-2014; Westberry, Toby/IUN-6529-2023; Box, Jason/H-5770-2013; Adler, Robert/AHD-5560-2022; Hurst, Dale/D-1554-2016; Feng, Zhe/E-1877-2015; McVicar, Tim R/D-8614-2011; Strahan, Susan E/H-1965-2012; Frith, Stacey/HMD-9437-2023; Hendricks, Stefan/D-5168-2011; Merchant, Christopher/KHY-0611-2024; Landschützer, Peter/IQU-3835-2023; Purkey, Sarah G/K-1983-2012; Ho, shu-peng/E-5199-2019; Manney, Gloria/JED-7207-2023; Biskaborn, Boris K./D-2419-2011; Lumpkin, Rick/C-9615-2009; Heim, Richard R./H-9667-2017; Muhle, Jens/GPX-3244-2022; Dunn, Robert/O-5910-2016; Azorin-Molina, Cesar/IZP-9544-2023; Rosenlof, Karen H/B-5652-2008; Tye, Mari/AAF-8901-2020; Durre, Imke/AAU-8600-2020; Carrea, Laura/GXM-6341-2022; Ricker, Robert/Z-4214-2019; van Heerwaarden, Chiel/AAN-3040-2020; Robinson, Dawn/Q-2195-2017; sweet, william/D-4310-2019</t>
  </si>
  <si>
    <t>Box, Jason E/0000-0003-0052-8705; Davis, Sean/0000-0001-9276-6158; Lakkala, Kaisa/0000-0003-2840-1132; Killick, Rachel/0000-0001-5335-4097; montzka, stephen/0000-0002-9396-0400; Johnson, Gregory C/0000-0002-8023-4020; Lee, Tsz-cheung/0000-0003-1961-2675; Hubert, Daan/0000-0002-4365-865X; Leuliette, Eric/0000-0002-3425-4039; Jones, Philip Douglas/0000-0001-5032-5493; McClelland, James W/0000-0001-9619-8194; Jia, Gensuo/0000-0001-5950-9555; Hidalgo, Hugo G./0000-0003-4638-0742; Weyhenmeyer, Gesa/0000-0002-4013-2281; Walsh, John/0000-0002-2510-8734; van de wal, roderik/0000-0003-2543-3892; Clem, Kyle/0000-0002-1419-2758; Hall, Bradley/0000-0002-2451-8416; Trachte, Katja/0000-0003-4269-9668; Krumpen, Thomas/0000-0001-6234-8756; Alfaro, Eric/0000-0001-9278-5017; Miralles, Diego/0000-0001-6186-5751; Goetz, Scott J/0000-0002-6326-4308; Selkirk, Henry B/0000-0001-9431-5385; Hanna, Edward/0000-0002-8683-182X; Cooper, Owen/0000-0001-7391-1161; Lin, I-I/0000-0002-8364-8106; Espinoza, Jhan Carlo/0000-0001-7732-8504; Tømmervik, Hans/0000-0001-7273-1695; Diaz, Dorivar Ruiz/0000-0002-2922-8442; Fioletov, Vitali/0000-0002-2731-5956; Camargo, Suzana J./0000-0002-0802-5160; KIM, HYUNGJUN/0000-0003-1083-8416; Rajeevan, Madhavan Nair/0000-0002-3000-2459; Mazloff, Matthew/0000-0002-1650-5850; Kaiser, Johannes W./0000-0003-3696-9123; Davis, Sean/0000-0001-9276-6158; Arndt, Derek S/0000-0001-7698-6740; McBride, Charlotte/0000-0001-9557-7520; Mikhail, Tretiakov/0000-0003-3702-6362; Merchant, Christopher J/0000-0003-4687-9850; HURST, DALE/0000-0002-6315-2322; Thompson, Philip R/0000-0002-0875-4208; Luojus, Kari/0000-0002-4066-6005; Menzel, W. Paul/0000-0001-5690-1201; Famiglietti, James/0000-0002-6053-5379; Bock, Olivier/0000-0001-5980-938X; Bernhard, Germar/0000-0002-1264-0756; Fausto, Robert S./0000-0003-1317-8185; Box, Jason/0000-0003-0052-8705; Hurst, Dale/0000-0002-6315-2322; Feng, Zhe/0000-0002-7540-9017; McVicar, Tim R/0000-0002-0877-8285; Frith, Stacey/0000-0001-6894-0574; Hendricks, Stefan/0000-0002-1412-3146; Landschützer, Peter/0000-0002-7398-3293; Ho, shu-peng/0000-0002-3010-8544; Biskaborn, Boris K./0000-0003-2378-0348; Lumpkin, Rick/0000-0002-6690-1704; Muhle, Jens/0000-0001-9776-3642; Dunn, Robert/0000-0003-2469-5989; Rosenlof, Karen H/0000-0002-0903-8270; Tye, Mari/0000-0003-2491-1020; Ricker, Robert/0000-0001-6928-7757; van Heerwaarden, Chiel/0000-0001-7202-3525; Robinson, Dawn/0000-0002-6809-0474; sweet, william/0000-0002-0149-8336</t>
  </si>
  <si>
    <t>S1</t>
  </si>
  <si>
    <t>U24</t>
  </si>
  <si>
    <t>WOS:000489716700003</t>
  </si>
  <si>
    <t>Grose, MR; Syktus, J; Thatcher, M; Evans, JP; Ji, F; Rafter, T; Remenyi, T</t>
  </si>
  <si>
    <t>Grose, Michael R.; Syktus, Jozef; Thatcher, Marcus; Evans, Jason P.; Ji, Fei; Rafter, Tony; Remenyi, Tom</t>
  </si>
  <si>
    <t>The role of topography on projected rainfall change in mid-latitude mountain regions</t>
  </si>
  <si>
    <t>Regional climate models; Added value; Rainfall; Climate change</t>
  </si>
  <si>
    <t>HIGH-RESOLUTION SIMULATIONS; CLIMATE-CHANGE; EXTREME PRECIPITATION; IMPACTS; GCM</t>
  </si>
  <si>
    <t>Change to precipitation in a warming climate holds many implications for water management into the future, and an enhancement of a precipitation decrease or increase on or around mountains would have numerous impacts. Here, an intermediate resolution regional climate model (RCM) ensemble projects enhanced precipitation decrease on the windward slopes of over many mid-latitude mountains in winter, consistent with theory and model studies of idealised mountain ranges. This ensemble projects that an increase in convective rainfall determines the sign of total rainfall change in many regions in summer, only some of which are on or near mountains such as the European Alps. These same projected changes are present in inland slopes of the Australian Alps compared to surrounding regions as simulated by three RCM ensembles (the intermediate resolution and two high resolution ensembles), which agree on an enhanced precipitation decrease on the windward slopes in winter and spring, as well as an enhanced precipitation increase in summer driven by an increase in convective rainfall. The ensembles disagree on an enhanced precipitation decrease in autumn. The results represent regional-scale added value in the climate change signal of projections from high resolution models in cooler seasons, but suggest that the specific model components such as convection schemes strongly influence projections of summer rainfall change. Confidence in the simulation of change in convective rainfall, or convection-permitting modelling may be needed to raise confidence in summer rainfall projections over mountains.</t>
  </si>
  <si>
    <t>[Grose, Michael R.] CSIRO Oceans &amp; Atmosphere, Hobart, Tas, Australia; [Thatcher, Marcus; Rafter, Tony] CSIRO Oceans &amp; Atmosphere, Melbourne, Vic, Australia; [Syktus, Jozef] Univ Queensland, Global Change Inst, Brisbane, Qld, Australia; [Evans, Jason P.] Univ New South Wales, Climate Change Res Ctr, Kensington, NSW, Australia; [Evans, Jason P.] Univ New South Wales, ARC Ctr Excellence Climate Extremes, Kensington, NSW, Australia; [Ji, Fei] New South Wales Off Environm &amp; Heritage, Sydney, NSW, Australia; [Remenyi, Tom] Antarctic Climate &amp; Ecosyst Cooperat Res Ctr, Hobart, Tas, Australia</t>
  </si>
  <si>
    <t>Commonwealth Scientific &amp; Industrial Research Organisation (CSIRO); Commonwealth Scientific &amp; Industrial Research Organisation (CSIRO); Melbourne Genomics Health Alliance; University of Queensland; University of New South Wales Sydney; University of New South Wales Sydney; Office of Environment &amp; Heritage - New South Wales; Antarctic Climate &amp; Ecosystems Cooperative Research Centre (ACE CRC)</t>
  </si>
  <si>
    <t>Grose, MR (corresponding author), CSIRO Oceans &amp; Atmosphere, Hobart, Tas, Australia.</t>
  </si>
  <si>
    <t>Michael.Grose@csiro.au</t>
  </si>
  <si>
    <t>Evans, Jason P./F-3716-2011; Thatcher, Marcus J/G-4010-2011; Grose, Michael/AAV-1119-2021; Rafter, Anthony S/F-3256-2011; Syktus, Jozef/E-7173-2011</t>
  </si>
  <si>
    <t>Evans, Jason P./0000-0003-1776-3429; Syktus, Jozef/0000-0003-1782-3073; Ji, Fei/0000-0002-0230-9189</t>
  </si>
  <si>
    <t>Australian Government's National Environmental Science Program's Earth System and Climate Change hub; Victorian Government's Department of Environment Land Water and Planning climateprojections 2019 project, Queensland Climate Adaptation Strategy (Q-CAS) [VCP19]; Wine Australia Institute climate project</t>
  </si>
  <si>
    <t>Australian Government's National Environmental Science Program's Earth System and Climate Change hub(Australian Government); Victorian Government's Department of Environment Land Water and Planning climateprojections 2019 project, Queensland Climate Adaptation Strategy (Q-CAS); Wine Australia Institute climate project</t>
  </si>
  <si>
    <t>This work was supported by the Australian Government's National Environmental Science Program's Earth System and Climate Change hub, the Victorian Government's Department of Environment Land Water and Planning climateprojections 2019 project (VCP19), Queensland Climate Adaptation Strategy (Q-CAS) and the Wine Australia Institute climate project. We thank John McGregor and Jack Katzfey from CSIRO for additional modelling support, helpful advice and assistance.</t>
  </si>
  <si>
    <t>10.1007/s00382-019-04736-x</t>
  </si>
  <si>
    <t>WOS:000483626900069</t>
  </si>
  <si>
    <t>Silva, A; Simón, D; Pannunzio, B; Casaravilla, C; Díaz, A; Tassino, B</t>
  </si>
  <si>
    <t>Silva, Ana; Simon, Diego; Pannunzio, Bruno; Casaravilla, Cecilia; Diaz, Alvaro; Tassino, Bettina</t>
  </si>
  <si>
    <t>Chronotype-Dependent Changes in Sleep Habits Associated with Dim Light Melatonin Onset in the Antarctic Summer</t>
  </si>
  <si>
    <t>CLOCKS &amp; SLEEP</t>
  </si>
  <si>
    <t>Antarctica; DLMO; MEQ; circadian preferences</t>
  </si>
  <si>
    <t>Dim light melatonin onset (DLMO) is the most reliable measure of human central circadian timing. Its modulation by light exposure and chronotype has been scarcely approached. We evaluated the impact of light changes on the interaction between melatonin, sleep, and chronotype in university students (n = 12) between the Antarctic summer (10 days) and the autumn equinox in Montevideo, Uruguay (10 days). Circadian preferences were tested by validated questionnaires. A Morningness-Eveningness Questionnaire average value (47 +/- 8.01) was used to separate late and early participants. Daylight exposure (measured by actimetry) was significantly higher in Antarctica versus Montevideo in both sensitive time windows (the morning phase-advancing and the evening phase-delaying). Melatonin was measured in hourly saliva samples (18-24 h) collected in dim light conditions (&lt;30 lx) during the last night of each study period. Early and late participants were exposed to similar amounts of light in both sites and time windows, but only early participants were significantly more exposed during the late evening in Antarctica. Late participants advanced their DLMO with no changes in sleep onset time in Antarctica, while early participants delayed their DLMO and sleep onset time. This different susceptibility to respond to light may be explained by a subtle difference in evening light exposure between chronotypes.</t>
  </si>
  <si>
    <t>[Silva, Ana; Simon, Diego; Pannunzio, Bruno] Univ Republica, Fac Ciencias, Lab Neurociencias, Montevideo 11400, Uruguay; [Silva, Ana] Inst Invest Biol Clemente Estable, Unidad Bases Neurales Conducta, Montevideo 1600, Uruguay; [Casaravilla, Cecilia; Diaz, Alvaro] Univ Republica, Area Inmunol, Dept Biociencias, Fac Quim, Montevideo 11600, Uruguay; [Casaravilla, Cecilia; Diaz, Alvaro] Univ Republica, Fac Ciencias, Inst Quim Biol, Catedra Inmunol, Montevideo 11600, Uruguay; [Tassino, Bettina] Univ Republica, Fac Ciencias, Secc Etol, Montevideo 11400, Uruguay</t>
  </si>
  <si>
    <t>Universidad de la Republica, Uruguay; Instituto de Investigaciones Biologicas Clemente Estable Uruguay; Universidad de la Republica, Uruguay; Universidad de la Republica, Uruguay; Universidad de la Republica, Uruguay</t>
  </si>
  <si>
    <t>Tassino, B (corresponding author), Univ Republica, Fac Ciencias, Secc Etol, Montevideo 11400, Uruguay.</t>
  </si>
  <si>
    <t>tassino@fcien.edu.uy</t>
  </si>
  <si>
    <t>Díaz, Alvaro/C-2805-2009; Simón, Diego/AAZ-1412-2021</t>
  </si>
  <si>
    <t>Díaz, Alvaro/0000-0001-5375-6766; Simón, Diego/0000-0002-6317-3991; Silva, Ana/0000-0003-2890-0353; Tassino, Bettina/0000-0003-2946-3888; Pannunzio, Bruno/0009-0001-2778-6694</t>
  </si>
  <si>
    <t>Comision Sectorial de Investigacion Cientifica [CSIC I+D_2016/623]; Facultad de Ciencias, Universidad de la Republica, Montevideo, Uruguay</t>
  </si>
  <si>
    <t>Comision Sectorial de Investigacion Cientifica; Facultad de Ciencias, Universidad de la Republica, Montevideo, Uruguay</t>
  </si>
  <si>
    <t>Financial support was provided by Comision Sectorial de Investigacion Cientifica (CSIC I+D_2016/623) and Facultad de Ciencias, Universidad de la Republica, Montevideo, Uruguay.</t>
  </si>
  <si>
    <t>2624-5175</t>
  </si>
  <si>
    <t>CLOCKS SLEEP</t>
  </si>
  <si>
    <t>Clocks Sleep</t>
  </si>
  <si>
    <t>10.3390/clockssleep1030029</t>
  </si>
  <si>
    <t>Clinical Neurology; Neurosciences</t>
  </si>
  <si>
    <t>Neurosciences &amp; Neurology</t>
  </si>
  <si>
    <t>VK0QA</t>
  </si>
  <si>
    <t>WOS:000655371100001</t>
  </si>
  <si>
    <t>Biederman, AM; Kuhn, DE; O'Brien, KM; Crockett, EL</t>
  </si>
  <si>
    <t>Biederman, Amanda M.; Kuhn, Donald E.; O'Brien, Kristin M.; Crockett, Elizabeth L.</t>
  </si>
  <si>
    <t>Mitochondrial membranes in cardiac muscle from Antarctic notothenioid fishes vary in phospholipid composition and membrane fluidity</t>
  </si>
  <si>
    <t>Antarctic; Cardiac; Fishes; Fluidity; Membranes; Mitochondria; Notothenioids; Phospholipids</t>
  </si>
  <si>
    <t>FATTY-ACID-COMPOSITION; LIPID-PEROXIDATION; HOMEOVISCOUS ADAPTATION; OXIDATIVE STRESS; BIOLOGICAL-MEMBRANES; THERMAL-ACCLIMATION; TEMPERATURE-ACCLIMATION; OXYGEN LIMITATION; BRUSH-BORDER; NITRIC-OXIDE</t>
  </si>
  <si>
    <t>Antarctic notothenioid fishes are highly stenothermal, yet their tolerance for warming is species-dependent. Because a body of literature points to the loss of cardiac function as underlying thermal limits in ectothermic animals, we investigated potential relationships among properties of ventricular mitochondrial membranes in notothenioids with known differences in both cardiac mitochondrial metabolism and organismal thermal tolerance. Fluidity of mitochondrial membranes was quantified by fluorescence depolarization for the white-blooded Chaenocephalus aceratus and the red-blooded Notothenia coriiceps. In these same membranes, lipid compositions and products of lipid peroxidation, the latter of which can disrupt membrane order, were analyzed in both species and in a second icefish, Pseudochaenichthys georgianus. Mitochondrial membranes from C. aceratus were significantly more fluid than those of the more thermotolerant species N. coriiceps (P &lt; .0001). Consistent with this, ratios of total phosphatidylethanolamine (PE) to total phosphatidylcholine (PC) were lower in membranes from both species of icefishes, compared to those of N. coriiceps (P &lt; .05). However, membranes of N. coriiceps displayed a greater unsaturation index (P &lt; .0001). No differences among species were found in membrane products of lipid peroxidation. With rising temperatures, greater contents of PC in mitochondrial membranes from ventricles of icefishes are likely to promote membrane hyperfluidization at a lower temperature than for cardiac mitochondrial membranes from the red-blooded notothenioid. We propose that physical and chemical properties of the mitochondrial membranes may contribute to some of the observed differences in thermal sensitivity of physiological function among these species.</t>
  </si>
  <si>
    <t>[Biederman, Amanda M.; Kuhn, Donald E.; Crockett, Elizabeth L.] Ohio Univ, Dept Biol Sci, 103 Wilson Hall, Athens, OH 45701 USA; [O'Brien, Kristin M.] Univ Alaska, Inst Arctic Biol, Fairbanks, AK 99775 USA</t>
  </si>
  <si>
    <t>University System of Ohio; Ohio University; University of Alaska System; University of Alaska Fairbanks</t>
  </si>
  <si>
    <t>Crockett, EL (corresponding author), Ohio Univ, Dept Biol Sci, 103 Wilson Hall, Athens, OH 45701 USA.</t>
  </si>
  <si>
    <t>crockett@ohio.edu</t>
  </si>
  <si>
    <t>US National Science Foundation [PLR 1341602, PLR 1341663]</t>
  </si>
  <si>
    <t>ELC and KOB are supported by the US National Science Foundation [grant nos. PLR 1341602 and PLR 1341663, respectively]. Fieldwork and animal collection were performed at the NSF research base, Palmer Station, and the NSF was involved in logistical planning of fieldwork. Beyond this, however, the NSF was not involved in the collection, analysis and interpretation of data; in the writing of the report; nor in the decision to submit the article for publication.</t>
  </si>
  <si>
    <t>10.1016/j.cbpb.2019.05.011</t>
  </si>
  <si>
    <t>IM0PH</t>
  </si>
  <si>
    <t>WOS:000477690200006</t>
  </si>
  <si>
    <t>Zeng, YX; Qiao, ZY</t>
  </si>
  <si>
    <t>Zeng, Yin-Xin; Qiao, Zong-Yun</t>
  </si>
  <si>
    <t>Diversity of Dimethylsulfoniopropionate Degradation Genes Reveals the Significance of Marine Roseobacter Clade in Sulfur Metabolism in Coastal Areas of Antarctic Maxwell Bay</t>
  </si>
  <si>
    <t>KING-GEORGE-ISLAND; DIMETHYL SULFIDE; OCEANIC PHYTOPLANKTON; COMMUNITY COMPOSITION; FILDES PENINSULA; DMSP; ALPHA; BACTERIOPLANKTON; BACTERIA; SEAWATER</t>
  </si>
  <si>
    <t>Dimethylsulfoniopropionate (DMSP) is an organic sulfur compound that occurs in large amounts in oceans around the world, and it plays an important role in the global sulfur cycle. DMSP released into seawater can be rapidly catabolized by bacteria via two pathways, namely, demethylation or cleavage pathway. Members of the Roseobacter clade frequently possess enzymes involved in the DMSP demethylation or cleavage pathway. We tried to measure the diversity of genes encoding DMSP demethylase (dmdA) and DMSP lyases (dddD, dddL, and dddP) in bacteria in the surface seawater of Ardley Cove and Great Wall Cove in Antarctic Maxwell Bay using DMSP degradation gene clone library analysis. Although we did not detect sequences related to the dddD or dddL gene, both bacterial dmdA and dddP genes found in the two coves were completely confined to the Roseobacter clade, which indicated that this clade plays a significant role in DMSP catabolism in the coastal seawaters of Maxwell Bay. In addition, compared with bacterial DMSP degradation genes in Arctic coastal seawater, our results suggest that both bipolar and endemic bacterial DMSP degradation genes exist in polar marine environments. The findings of this study improve our knowledge of the distribution of DMSP degradation genes in polar marine ecosystems.</t>
  </si>
  <si>
    <t>[Zeng, Yin-Xin; Qiao, Zong-Yun] Polar Res Inst China, State Ocean Adm, Key Lab Polar Sci, Shanghai 200136, Peoples R China</t>
  </si>
  <si>
    <t>Polar Research Institute of China</t>
  </si>
  <si>
    <t>Zeng, YX (corresponding author), Polar Res Inst China, State Ocean Adm, Key Lab Polar Sci, Shanghai 200136, Peoples R China.</t>
  </si>
  <si>
    <t>yxzeng@yahoo.com</t>
  </si>
  <si>
    <t>National Key R&amp;D Program of China [2018YFC1406903]; National Natural Science Foundation of China [41476171]</t>
  </si>
  <si>
    <t>This work was supported by the National Key R&amp;D Program of China (Grant No. 2018YFC1406903) and the National Natural Science Foundation of China (Grant No. 41476171). We appreciate the assistance of the Chinese Arctic and Antarctic Administration (CAA) who organized the 28th Chinese National Antarctic Research Expedition in 2011.</t>
  </si>
  <si>
    <t>10.1007/s00284-019-01709-5</t>
  </si>
  <si>
    <t>IM3DB</t>
  </si>
  <si>
    <t>WOS:000477871100001</t>
  </si>
  <si>
    <t>Choi, JW; Kim, HD</t>
  </si>
  <si>
    <t>Choi, Jae-Won; Kim, Hae-Dong</t>
  </si>
  <si>
    <t>Negative relationship between Korea landfalling tropical cyclone activity and Pacific Decadal Oscillation</t>
  </si>
  <si>
    <t>Korea; Tropical cyclone; Pacific Decadal Oscillation</t>
  </si>
  <si>
    <t>WESTERN NORTH PACIFIC; ASIAN SUMMER MONSOON; INTERDECADAL VARIATION; ANTARCTIC OSCILLATION; EL-NINO; FREQUENCY; REANALYSIS; CHINA; SST</t>
  </si>
  <si>
    <t>The present study discovered a strong negative correlation between Korea-landfalling tropical cyclone (TC) frequency and Pacific Decadal Oscillation (PDO) in the summer. Thus, the present study selected years that had the highest PDO index (positive PDO years) and years that had the lowest PDO index (negative PDO years) to analyze a mean difference between the two phases in order to determine the reason for the strong negative correlation between the two variables. In the positive PDO years, TCs were mainly generated in the southeastern part of the western North Pacific, and lower TC passage frequency was found in most regions in the mid-latitude in East Asia. Moreover, a slightly weaker TC intensity than that in the negative PDO years was revealed. In order to determine the cause of the TC activity revealed in the positive PDO years, 850 hPa and 500 hPa stream flows were analyzed first. In the mid-latitude region in East Asia, anomalous huge cyclonic circulations were strengthened, while anomalous anticyclonic circulations were strengthened in the low-latitude region. Accordingly, Korea was being influenced by anomalous northwesterlies, which played a role in blocking TCs from moving northward to Korea. The results of analysis on 850 hPa air temperature, precipitation, 600 hPa relative humidity, and sea surface temperature (SST) showed that negative anomalies were strengthened in the northwest region in the western North Pacific while positive anomalies were strengthened in the southeast region. The atmospheric and oceanic environments were related to frequent occurrences of TCs in the southeast region in the western North Pacific during the positive PDO years. All factors of air temperature, precipitation, 600 hPa relative humidity, and SST revealed negative (positive for vertical wind shear) anomalies near Korea, so that atmospheric and oceanic environments were formed that could rapidly weaken TC intensity, even if the TCs moved northward to Korea in the positive PDO years.</t>
  </si>
  <si>
    <t>[Choi, Jae-Won] Nanjing Univ Informat Sci &amp; Technol, Coll Atmospher Sci, Nanjing 210044, Jiangsu, Peoples R China; [Kim, Hae-Dong] Keimyung Univ, Dept Global Environm, Daegu, South Korea</t>
  </si>
  <si>
    <t>Nanjing University of Information Science &amp; Technology; Keimyung University</t>
  </si>
  <si>
    <t>Kim, HD (corresponding author), Keimyung Univ, Dept Global Environm, Daegu, South Korea.</t>
  </si>
  <si>
    <t>khd@kmu.ac.kr</t>
  </si>
  <si>
    <t>Choi, Jae-Won/AAA-1453-2022</t>
  </si>
  <si>
    <t>Startup Foundation for Introducing Talent of NUIST [2018r059]</t>
  </si>
  <si>
    <t>Startup Foundation for Introducing Talent of NUIST</t>
  </si>
  <si>
    <t>This paper is supported by The Startup Foundation for Introducing Talent of NUIST (Grant/Award number: 2018r059).</t>
  </si>
  <si>
    <t>10.1016/j.dynatmoce.2019.101100</t>
  </si>
  <si>
    <t>WOS:000488137700008</t>
  </si>
  <si>
    <t>Swart, PK; Blättler, CL; Nakakuni, M; Mackenzie, GJ; Betzler, C; Eberli, GP; Reolid, J; Alonso-García, M; Slagle, AL; Wright, JD; Kroon, D; Reijmer, JJG; Mee, ALH; Young, JR; Alvarez-Zarikian, CA; Bialik, OM; Guo, JA; Haffen, S; Horozal, S; Inoue, M; Jovane, L; Lanci, L; Laya, JC; Lüdmann, T; Nath, BN; Niino, K; Petruny, LM; Pratiwi, SD; Su, X; Sloss, CR; Yao, ZQ</t>
  </si>
  <si>
    <t>Swart, Peter K.; Blattler, Clara L.; Nakakuni, Masatoshi; Mackenzie, Greta J.; Betzler, Christian; Eberli, Gregor P.; Reolid, Jesus; Alonso-Garcia, Montserrat; Slagle, Angela L.; Wright, James D.; Kroon, Dick; Reijmer, John J. G.; Mee, Anna L. Hui; Young, Jeremy R.; Alvarez-Zarikian, Carlos A.; Bialik, Orr M.; Guo, Junhua Adam; Haffen, Sebastian; Horozal, Senay; Inoue, Mayuri; Jovane, Luigi; Lanci, Luca; Laya, Juan Carlos; Luedmann, Thomas; Nath, B. Nagender; Niino, Kaoru; Petruny, Loren M.; Pratiwi, Santi Dwi; Su, Xiang; Sloss, Craig R.; Yao, Zhengquan</t>
  </si>
  <si>
    <t>Cyclic anoxia and organic rich carbonate sediments within a drowned carbonate platform linked to Antarctic ice volume changes: Late Oligocene-early Miocene Maldives</t>
  </si>
  <si>
    <t>sapropels; anoxia; sea level; carbonate platforms</t>
  </si>
  <si>
    <t>SAANICH INLET; TRACE-METALS; EVENTS; SHALES; GEOCHEMISTRY; RESOLUTION; PARTICLES; EVOLUTION; BEHAVIOR; SINKING</t>
  </si>
  <si>
    <t>This paper reports on the newly discovered occurrence of thick sequences (similar to 100 m) of Late Oligocene and Early Miocene (similar to 24.9 to similar to 20 Ma) interbedded organic-rich sediments (sapropels) and pelagic (organic poor) carbonates at Sites 01466 and U1468 drilled in the Maldives archipelago during the International Ocean Discovery Program (IODP) Expedition 359. This occurrence is unusual in that this sequence is located &gt; 1000 m above the surrounding ocean floor within an inter-atoll basin and not linked to any known global oceanic events. Total organic content reaches as high as 35% in the darker layers, while the interbedded carbonates have concentrations of less than 0.1%. Trace elements characteristic of anoxic waters, such as Mo, V, Cr, U, and Pb, correlate positively with concentrations of organic carbon. Nitrogen isotopic data show no evidence that the intervals of high total organic carbon are related to enhanced productivity driven by upwelling. Instead, high organic carbon is associated with intervals of anoxia. We propose that sea-level fluctuations linked to changes in Antarctic ice volume restricted exchange with the open ocean causing bottom waters of the inter-atoll basin to become anoxic periodically. The architecture of the platform at the end of the Oligocene, combined with the global sea-level highstand, set the stage for orbitally-driven sea-level changes producing cyclic deposition of sapropels. The proposed mechanism may serve as an analogue for other occurrences of organic carbon rich sediments within carbonate platform settings. (C) 2019 Elsevier B.V. All rights reserved.</t>
  </si>
  <si>
    <t>[Swart, Peter K.; Mackenzie, Greta J.; Eberli, Gregor P.; Mee, Anna L. Hui] Univ Miami, Dept Marine Geosci, RSMAS, Miami, FL 33149 USA; [Blattler, Clara L.] Univ Chicago, Dept Geophys Sci, 5734 S Ellis Ave, Chicago, IL 60637 USA; [Nakakuni, Masatoshi] Soka Univ, Dept Environm Engn Symbiosis, 1-236 Tangi Cyo, Hachioji, Tokyo 1920003, Japan; [Betzler, Christian; Luedmann, Thomas] Univ Hamburg, CEN, Inst Geol, Bundesstr 55, D-20146 Hamburg, Germany; [Reolid, Jesus] Univ Granada, Dept Estratig &amp; Paleontol, Avd Fuente Nueva S-N, E-18071 Granada, Spain; [Alonso-Garcia, Montserrat] IPMA, Rua Alfredo Magalhaes Ramalho,6, P-1495006 Lisbon, Portugal; [Alonso-Garcia, Montserrat] Univ Algarve, Ctr Ciencias Mar CCMAR, P-8005139 Faro, Portugal; [Slagle, Angela L.] Columbia Univ, Lamont Doherty Earth Observ, Borehole Bldg 61 Route 9W, Palisades, NY 10964 USA; [Wright, James D.] Rutgers State Univ, Dept Geol Sci, 610 Taylor Rd, Piscataway, NJ 08854 USA; [Kroon, Dick] Univ Edinburgh, Grant Inst, Sch GeoSci, Kings Bldg,James Hutton Road, Edinburgh EH9 3FE, Midlothian, Scotland; [Reijmer, John J. G.] King Fand Univ Petr &amp; Minerals, Coll Petr Engn &amp; Geosci, Geosci Dept, Dhahran 31261, Saudi Arabia; [Young, Jeremy R.] UCL, Dept Earth Sci, Gower St, London WC1E 6BT, England; [Alvarez-Zarikian, Carlos A.] Texas A&amp;M Univ, Int Ocean Discovery Program, Discovery Dr, College Stn, TX 77845 USA; [Bialik, Orr M.] Univ Haifa, Leon H Charney Sch Marine Sci, Dr Moses Strauss Dept Marine Geosci, IL-31905 Carmel, Israel; [Guo, Junhua Adam] Calif State Univ Bakersfield, Dept Geol Sci, 9001 Stockdale Highway, Bakersfield, CA 93311 USA; [Haffen, Sebastian] Univ Lorraine, Ecole Natl Super Geol, GeoRessources Lab, UMR 7359,CNRS,CREGU, 2 Rue Doyen Marcel Roubault, F-54501 Vandoeuvre Les Nancy, France; [Horozal, Senay] Korea Inst Geosci &amp; Mineral Resources KIGAM, Petr &amp; Marine Res Div, Gwahang 124, Daejeon 305350, South Korea; [Inoue, Mayuri] Okayama Univ, Grad Sch Nat Sci &amp; Technol, 3-1-1 Tsushima Naka, Okayama 7008530, Japan; [Jovane, Luigi] Univ Sao Paulo, Inst Oceanog, Pmca Oceanog,191, BR-05508120 Sao Paulo, SP, Brazil; [Lanci, Luca] Univ Urbino, Dept Pure &amp; Appl Sci, Via S Chiara 27, I-61029 Urbino, Italy; [Laya, Juan Carlos] Texas A&amp;M Univ, Dept Geol &amp; Geophys, Mail Stop 3115, College Stn, TX 77843 USA; [Nath, B. Nagender] CSIR Nat Inst Oceanog, Geol Oceanog Div, Panaji 403004, Goa, India; [Niino, Kaoru] Yamagata Univ, Grad Sch Sci &amp; Engn, 1-4-12 Kojirakawa Machi, Yamagata 9908560, Japan; [Petruny, Loren M.; Sloss, Craig R.] Queensland Univ Technol, Earth &amp; Environm Sci, R Block 317,2 George St, Brisbane, Qld 4001, Australia; [Pratiwi, Santi Dwi] Univ Padjadjaran, Geol Engn Fac, Dept Geosci, Jl Raya Bandung Sumedang Km 21, Jatinangor 45363, Indonesia; [Su, Xiang] Chinese Acad Sci, South China Sea Inst Oceanol, Key Lab Ocean &amp; Marginal Sea Geol, Guangzhou 510301, Guangdong, Peoples R China; [Yao, Zhengquan] SOA, FIO, Dept Marine Geol, 6 Xian Xia Ling Rd, Qingdao 266061, Shandong, Peoples R China; [Yao, Zhengquan] Qingdao Natl Lab Marine Sci &amp; Technol, Lab Marine Geol, Qingdao, Shandong, Peoples R China; [Alonso-Garcia, Montserrat] Univ Salamanca, Dept Geol, Pza Caidos S-N, E-37008 Salamanca, Spain</t>
  </si>
  <si>
    <t>University of Miami; University of Chicago; Soka University; University of Hamburg; University of Granada; Instituto Portugues do Mar e da Atmosfera; Universidade do Algarve; Columbia University; Rutgers University System; Rutgers University New Brunswick; University of Edinburgh; King Fahd University of Petroleum &amp; Minerals; University of London; University College London; Texas A&amp;M University System; Texas A&amp;M University College Station; University of Haifa; California State University System; California State University Bakersfield; Centre National de la Recherche Scientifique (CNRS); CNRS - National Institute for Earth Sciences &amp; Astronomy (INSU); Universite de Lorraine; Total SA; Centre de Reserches sur la Geologie des Matieres Premieres Minerales et Energetiques; Korea Institute of Geoscience &amp; Mineral Resources (KIGAM); Okayama University; Universidade de Sao Paulo; University of Urbino; Texas A&amp;M University System; Texas A&amp;M University College Station; Council of Scientific &amp; Industrial Research (CSIR) - India; CSIR - National Institute of Oceanography (NIO); Yamagata University; Queensland University of Technology (QUT); Universitas Padjadjaran; Chinese Academy of Sciences; South China Sea Institute of Oceanology, CAS; Laoshan Laboratory; University of Salamanca</t>
  </si>
  <si>
    <t>Swart, PK (corresponding author), Univ Miami, Dept Marine Geosci, RSMAS, Miami, FL 33149 USA.</t>
  </si>
  <si>
    <t>Pswart@rsmas.miami.edu</t>
  </si>
  <si>
    <t>Jovane, Luigi/AAH-5438-2020; Pratiwi, Santi Dwi/AAI-6226-2020; Horozal, Senay/AAK-7982-2021; /AAC-6529-2022; Alonso-Garcia, Montserrat/AAB-5338-2021; Reijmer, John J.G./M-9759-2019; Wright, James/AAF-7180-2019; Swart, Peter/AAT-5979-2021</t>
  </si>
  <si>
    <t>Jovane, Luigi/0000-0003-4348-4714; Pratiwi, Santi Dwi/0000-0002-0922-5914; Alonso-Garcia, Montserrat/0000-0002-0241-2178; Reijmer, John J.G./0000-0001-5807-1256; Swart, Peter/0000-0002-6743-6162; Slagle, Angela/0000-0001-6788-7978; Sloss, Craig/0000-0001-8694-6822; Nakakuni, Masatoshi/0000-0002-1992-8787; Eberli, Gregor Paul/0000-0001-5653-6929; Reolid, Jesus/0000-0003-2329-4163; Blattler, Clara/0000-0003-4843-3625; Wright, James/0000-0001-5212-9146; Betzler, Christian/0000-0002-5757-4553; Laya, Juan Carlos/0000-0002-3089-301X; Bialik, Or M./0000-0003-1915-7297</t>
  </si>
  <si>
    <t>Portuguese National Science and Technology Foundation [SFRH/BPD/96960/2013, UID/Multi/04326/2013]; Natural History Museum, London; UKIODP [NE/N014049/1]; NERC [3148]; IODP U.S. Science Support Program [NSF OCE1450528]; Comparative Sedimentology Laboratory; JAMSTEC IODP After Cruise Research Program (Exp. 359); NERC [NE/N014049/1] Funding Source: UKRI</t>
  </si>
  <si>
    <t>Portuguese National Science and Technology Foundation(Fundacao para a Ciencia e a Tecnologia (FCT)); Natural History Museum, London; UKIODP; NERC(UK Research &amp; Innovation (UKRI)Natural Environment Research Council (NERC)); IODP U.S. Science Support Program; Comparative Sedimentology Laboratory; JAMSTEC IODP After Cruise Research Program (Exp. 359); NERC(UK Research &amp; Innovation (UKRI)Natural Environment Research Council (NERC))</t>
  </si>
  <si>
    <t>The authors would like to thank the crew and technicians of the JOIDES Resolution. Analyses in Miami were supported by A. Saied. D. Houpt and M. Schoemann are acknowledged for assistance during XRF scanning at IODP Gulf Coast Repository. Support for MAG was provided by the Portuguese National Science and Technology Foundation (SFRH/BPD/96960/2013 and UID/Multi/04326/2013). Fatty acid analyses were supported by K. Takehara, S. Yamamoto, and the JAMSTEC IODP After Cruise Research Program (Exp. 359). The SEM analyses were supported by the Natural History Museum, London and funding from UKIODP (NE/N014049/1). DK acknowledges support by the NERC (3148). Support for U.S. participants was provided by the IODP U.S. Science Support Program (NSF OCE1450528). Support for G. Mackenzie was provided by the Comparative Sedimentology Laboratory. The manuscript was improved through the comments of three reviewers.</t>
  </si>
  <si>
    <t>10.1016/j.epsl.2019.05.019</t>
  </si>
  <si>
    <t>IL0CI</t>
  </si>
  <si>
    <t>WOS:000476963300001</t>
  </si>
  <si>
    <t>Townhill, BL; Radford, Z; Pecl, G; van Putten, I; Pinnegar, JK; Hyder, K</t>
  </si>
  <si>
    <t>Townhill, Bryony L.; Radford, Zachary; Pecl, Gretta; van Putten, Ingrid; Pinnegar, John K.; Hyder, Kieran</t>
  </si>
  <si>
    <t>Marine recreational fishing and the implications of climate change</t>
  </si>
  <si>
    <t>FISH AND FISHERIES</t>
  </si>
  <si>
    <t>adaptation; angling; catch; distribution shifts; motivation; tourism</t>
  </si>
  <si>
    <t>COD GADUS-MORHUA; ANGLER MOTIVATIONS; FOOD-CONSUMPTION; RAPID ASSESSMENT; RANGE SHIFTS; PELAGIC FISH; GROWTH; ASSEMBLAGE; FUTURE; SIZE</t>
  </si>
  <si>
    <t>Marine recreational fishing is popular globally and benefits coastal economies and people's well-being. For some species, it represents a large component of fish landings. Climate change is anticipated to affect recreational fishing in many ways, creating opportunities and challenges. Rising temperatures or changes in storms and waves are expected to impact the availability of fish to recreational fishers, through changes in recruitment, growth and survival. Shifts in distribution are also expected, affecting the location that target species can be caught. Climate change also threatens the safety of fishing. Opportunities may be reduced owing to rougher conditions, and costs may be incurred if gear is lost or damaged in bad weather. However, not all effects are expected to be negative. Where weather conditions change favourably, participation rates could increase, and desirable species may become available in new areas. Drawing on examples from the UK and Australia, we synthesize existing knowledge to develop a conceptual model of climate-driven factors that could impact marine recreational fisheries, in terms of operations, participation and motivation. We uncover the complex pathways of drivers that underpin the recreational sector. Climate changes may have global implications on the behaviour of recreational fishers and on catches and local economies.</t>
  </si>
  <si>
    <t>[Townhill, Bryony L.; Radford, Zachary; Pinnegar, John K.; Hyder, Kieran] Cefas, Lowestoft, Suffolk, England; [Pecl, Gretta] Univ Tasmania, Inst Marine &amp; Antarctic Studies, Hobart, Tas, Australia; [Pecl, Gretta; van Putten, Ingrid] Univ Tasmania, Ctr Marine Socioecol, Hobart, Tas, Australia; [van Putten, Ingrid] CSIRO, Oceans &amp; Atmosphere, Hobart, Tas, Australia; [Pinnegar, John K.; Hyder, Kieran] Univ East Anglia, Sch Environm Sci, Norwich, Norfolk, England</t>
  </si>
  <si>
    <t>Centre for Environment Fisheries &amp; Aquaculture Science; University of Tasmania; University of Tasmania; Commonwealth Scientific &amp; Industrial Research Organisation (CSIRO); University of East Anglia</t>
  </si>
  <si>
    <t>Townhill, BL (corresponding author), Cefas, Lowestoft, Suffolk, England.</t>
  </si>
  <si>
    <t>bryony.townhill@cefas.co.uk</t>
  </si>
  <si>
    <t>Pecl, Gretta/D-7267-2011; van putten, ingrid/AAV-1301-2021; Pinnegar, John K/C-4400-2012</t>
  </si>
  <si>
    <t>Pecl, Gretta/0000-0003-0192-4339; van putten, ingrid/0000-0001-8397-9768; Hyder, Kieran/0000-0003-1428-5679; Townhill, Bryony/0000-0003-1906-1885</t>
  </si>
  <si>
    <t>1467-2960</t>
  </si>
  <si>
    <t>1467-2979</t>
  </si>
  <si>
    <t>FISH FISH</t>
  </si>
  <si>
    <t>Fish. Fish.</t>
  </si>
  <si>
    <t>10.1111/faf.12392</t>
  </si>
  <si>
    <t>IU6VA</t>
  </si>
  <si>
    <t>WOS:000483722600011</t>
  </si>
  <si>
    <t>Henderson, G</t>
  </si>
  <si>
    <t>Henderson, Gabriel</t>
  </si>
  <si>
    <t>Adhering to the Flashing Yellow Light: Heuristics of Moderation and Carbon Dioxide Politics during the 1970s</t>
  </si>
  <si>
    <t>HISTORICAL STUDIES IN THE NATURAL SCIENCES</t>
  </si>
  <si>
    <t>climate governance; heuristic; environmental; science advising; carbon dioxide; Carter Administration</t>
  </si>
  <si>
    <t>ANTARCTIC ICE-SHEET; CLIMATE-CHANGE; CO2; EVOLUTION; ELITES; FUTURE; FEAR</t>
  </si>
  <si>
    <t>During the late 1970s and early 1980s, despite growing political, scientific, and popular concern about the prospect of melting glaciers, sea-level rise, and more generally, climate-induced societal instability, American high-level science advisers and administrators, scientific committees, national and international scientific organizations, and officials within the Carter administration engineered a politics of restrained management of climate risk. Adopting a strategy of restraint appeared optimal not because of a pervasive disinterest in or ignorance of the potentially catastrophic consequences of climate change. Rather, this administrative decision was rooted in widespread skepticism of the public's ability to regulate their panic given popular dissemination of alarming scenarios of the future. Their concerns were not epistemic; they were sociopolitical. Broad-based appeals to moderation directly informed both scientists and the administration's eventual decision in 1980 to minimize executive involvement. Despite some environmentalists' and scientists' calls for a more proactive position aligned with their ethical perspectives about the future implications of climate change, these linguistic cues of moderation became powerful heuristics that helped shape and anchor assessments of climate risk, calibrate scientists' advice to policy makers, and regulate public apprehension about climate risk. Ultimately, officials within and outside the science community concluded that the likely short-term costs incurred from immediate action to curb fossil fuel emissions were greater than the social and political costs incurred from maintaining what was considered to be a tempered approach to climate governance in the near-term.</t>
  </si>
  <si>
    <t>[Henderson, Gabriel] Amer Inst Phys, College Pk, MD 20740 USA</t>
  </si>
  <si>
    <t>Henderson, G (corresponding author), Amer Inst Phys, College Pk, MD 20740 USA.</t>
  </si>
  <si>
    <t>ghenderson@aip.org</t>
  </si>
  <si>
    <t>1939-1811</t>
  </si>
  <si>
    <t>1939-182X</t>
  </si>
  <si>
    <t>HIST STUD NAT SCI</t>
  </si>
  <si>
    <t>Hist. Stud. Nat. Sci.</t>
  </si>
  <si>
    <t>10.1525/hsns.2019.49.4.384</t>
  </si>
  <si>
    <t>Science Citation Index Expanded (SCI-EXPANDED); Social Science Citation Index (SSCI); Arts &amp; Humanities Citation Index (A&amp;HCI)</t>
  </si>
  <si>
    <t>NT9BM</t>
  </si>
  <si>
    <t>WOS:000573233200002</t>
  </si>
  <si>
    <t>Wickler, S</t>
  </si>
  <si>
    <t>Wickler, Stephen</t>
  </si>
  <si>
    <t>Iconic Arctic Shipwrecks, Archaeology, and Museum Narratives</t>
  </si>
  <si>
    <t>INTERNATIONAL JOURNAL OF NAUTICAL ARCHAEOLOGY</t>
  </si>
  <si>
    <t>arctic; iconic shipwreck; medieval period; museum narratives; polar ship</t>
  </si>
  <si>
    <t>BELGICA</t>
  </si>
  <si>
    <t>This article reflects on three Arctic shipwrecks currently being reclaimed for future exhibition. Two are icons of polar exploration. Maud was built for Roald Amundsen's North Pole expedition (1917-1925) and Belgica was used in the first Antarctic overwintering expedition (1897-1899). The salvage of Maud in Canada and the ship's return to Norway in 2018 was privately financed. Raising Belgica has been the goal of a Belgian non-profit organization. The third is a medieval Norwegian wreck excavated in 2017 with community funding. The role of each ship as icon and archaeological heritage is assessed and framed within a broader discussion of museum narratives. (C) 2019 The Author</t>
  </si>
  <si>
    <t>[Wickler, Stephen] UiT Arctic Univ Norway, Arctic Univ Museum Norway, Tromso, Norway</t>
  </si>
  <si>
    <t>UiT The Arctic University of Tromso</t>
  </si>
  <si>
    <t>Wickler, S (corresponding author), UiT Arctic Univ Norway, Arctic Univ Museum Norway, Tromso, Norway.</t>
  </si>
  <si>
    <t>Lovund boat interest group</t>
  </si>
  <si>
    <t>A shorter version of this paper was presented at the Heritage 2018 conference in Granada, Spain. I wish to acknowledge the central role of Tori Falck and other colleagues at the Norwegian Maritime Museum in the ongoing Lovund research project and to the Lovund boat interest group for their financial support and encouragement. Thanks to Marnix Pieters, research director of archaeology at the Flanders Heritage Agency, for providing images of Belgica and to Jan Wanggaard for his photograph of Maud, with reference made to a lecture he gave 'Maud kommer hjem' on 14 February 2018 at a meeting held by the Arktisk Forening at the Polar Museum, Tromso, Norway. Thanks also to Rossella Ragazzi and Mariann Mathisen for constructive comments on the manuscript.</t>
  </si>
  <si>
    <t>1057-2414</t>
  </si>
  <si>
    <t>1095-9270</t>
  </si>
  <si>
    <t>INT J NAUT ARCHAEOL</t>
  </si>
  <si>
    <t>Int. J. Naut. Archaeol.</t>
  </si>
  <si>
    <t>10.1111/1095-9270.12354</t>
  </si>
  <si>
    <t>IV7WC</t>
  </si>
  <si>
    <t>WOS:000484476600012</t>
  </si>
  <si>
    <t>Gianuca, D; Votier, SC; Pardo, D; Wood, AG; Sherley, RB; Ireland, L; Choquet, R; Pradel, R; Townley, S; Forcada, J; Tuck, GN; Phillips, RA</t>
  </si>
  <si>
    <t>Gianuca, Dimas; Votier, Stephen C.; Pardo, Deborah; Wood, Andrew G.; Sherley, Richard B.; Ireland, Louise; Choquet, Remi; Pradel, Roger; Townley, Stuart; Forcada, Jaume; Tuck, Geoffrey N.; Phillips, Richard A.</t>
  </si>
  <si>
    <t>Sex-specific effects of fisheries and climate on the demography of sexually dimorphic seabirds</t>
  </si>
  <si>
    <t>giant petrels; Macronectes giganteus; Macronectes halli; sex-specific effects; sexual size dimorphism; South Georgia; Southern Ocean; survival</t>
  </si>
  <si>
    <t>GIANT PETRELS MACRONECTES; ANTARCTIC FUR SEALS; SOUTHERN-OCEAN; POPULATION-DYNAMICS; SURVIVAL; MORTALITY; TRENDS; IMPACT; AGE; VARIABILITY</t>
  </si>
  <si>
    <t>Many animal taxa exhibit sex-specific variation in ecological traits, such as foraging and distribution. These differences could result in sex-specific responses to change, but such demographic effects are poorly understood. Here, we test for sex-specific differences in the demography of northern (NGP, Macronectes halli) and southern (SGP, M. giganteus) giant petrels - strongly sexually size-dimorphic birds that breed sympatrically at South Georgia, South Atlantic Ocean. Both species feed at sea or on carrion on land, but larger males (30% heavier) are more reliant on terrestrial foraging than the more pelagic females. Using multi-event mark-recapture models, we examine the impacts of long-term changes in environmental conditions and commercial fishing on annual adult survival and use two-sex matrix population models to forecast future trends. As expected, survival of male NGP was positively affected by carrion availability, but negatively affected by zonal winds. Female survival was positively affected by meridional winds and El Nino-Southern Oscillation (ENSO), and negatively affected by sea ice concentration and pelagic longline effort. Survival of SGPs did not differ between sexes; however, survival of males only was positively correlated with the Southern Annular Mode (SAM). Two-sex population projections indicate that future environmental conditions are likely to benefit giant petrels. However, any potential increase in pelagic longline fisheries could reduce female survival and population growth. Our study reveals that sex-specific ecological differences can lead to divergent responses to environmental drivers (i.e. climate and fisheries). Moreover, because such effects may not be apparent when all individuals are considered together, ignoring sex differences could underestimate the relative influence of a changing environment on demography.</t>
  </si>
  <si>
    <t>[Gianuca, Dimas; Votier, Stephen C.; Sherley, Richard B.; Townley, Stuart] Univ Exeter, Environm &amp; Sustainabil Inst, Penryn, England; [Gianuca, Dimas; Pardo, Deborah; Wood, Andrew G.; Ireland, Louise; Forcada, Jaume; Phillips, Richard A.] NERC, British Antarctic Survey, Cambridge, England; [Choquet, Remi; Pradel, Roger] Univ Montpellier, Univ P Valery, CEFE, CNRS,EPHE, Montpellier, France; [Tuck, Geoffrey N.] CSIRO Oceans &amp; Atmosphere, Hobart, Tas, Australia</t>
  </si>
  <si>
    <t>University of Exeter; UK Research &amp; Innovation (UKRI); Natural Environment Research Council (NERC); NERC British Antarctic Survey; Universite PSL; Ecole Pratique des Hautes Etudes (EPHE); Institut Agro; Montpellier SupAgro; CIRAD; Centre National de la Recherche Scientifique (CNRS); Institut de Recherche pour le Developpement (IRD); Universite Paul-Valery; Universite de Montpellier; Commonwealth Scientific &amp; Industrial Research Organisation (CSIRO)</t>
  </si>
  <si>
    <t>Gianuca, D; Votier, SC (corresponding author), Univ Exeter, Environm &amp; Sustainabil Inst, Penryn, England.;Gianuca, D; Phillips, RA (corresponding author), NERC, British Antarctic Survey, Cambridge, England.</t>
  </si>
  <si>
    <t>dgianuca@gmail.com; s.c.votier@exeter.ac.uk; raphil@bas.ac.uk</t>
  </si>
  <si>
    <t>Pradel, Roger/A-8666-2008; Forcada, Jaume/GYU-0677-2022; Sherley, Richard B/D-7507-2012; Choquet, Remi/F-6462-2011; Votier, Stephen/IUO-0154-2023; Tuck, Geoff/E-2356-2012</t>
  </si>
  <si>
    <t>Pradel, Roger/0000-0002-2684-9251; Sherley, Richard B/0000-0001-7367-9315; Choquet, Remi/0000-0003-0434-9085; Votier, Stephen/0000-0002-0976-0167; Tuck, Geoff/0000-0002-3640-6147; Gianuca, Dimas/0000-0002-7810-9482</t>
  </si>
  <si>
    <t>Science Without Borders Program; NERC [bas0100035] Funding Source: UKRI</t>
  </si>
  <si>
    <t>Science Without Borders Program; NERC(UK Research &amp; Innovation (UKRI)Natural Environment Research Council (NERC))</t>
  </si>
  <si>
    <t>We are very grateful to the many fieldworkers involved in the long-term monitoring of giant petrels at Bird Island. D.G. was funded by the Science Without Borders Program (CNPq/Brazil, Proc. 246619/2012-0). We are grateful to the handling editor and three referees for constructive comments that helped improve the manuscript. This study represents a contribution to the Ecosystems component of the British Antarctic Survey Polar Science for Planet Earth Programme, funded by The Natural Environment Research Council.</t>
  </si>
  <si>
    <t>10.1111/1365-2656.13009</t>
  </si>
  <si>
    <t>IW5PQ</t>
  </si>
  <si>
    <t>WOS:000485030800009</t>
  </si>
  <si>
    <t>Potocka, M; Kidawa, A; Panasiuk, A; Bielecka, L; Wawrzynek-Borejko, J; Patula, W; Wójcik, KA; Plenzler, J; Janecki, T; Bialik, RJ</t>
  </si>
  <si>
    <t>Potocka, Marta; Kidawa, Anna; Panasiuk, Anna; Bielecka, Luiza; Wawrzynek-Borejko, Justyna; Patula, Weronika; Wojcik, Kornelia A.; Plenzler, Joanna; Janecki, Tomasz; Bialik, Robert J.</t>
  </si>
  <si>
    <t>The Effect of Glacier Recession on Benthic and Pelagic Communities: Case Study in Herve Cove, Antarctica</t>
  </si>
  <si>
    <t>JOURNAL OF MARINE SCIENCE AND ENGINEERING</t>
  </si>
  <si>
    <t>benthic fauna; biodiversity; colonization; environmental succession; King George Island; glacial retreat; macrozoobenthos; West Antarctica; zooplankton</t>
  </si>
  <si>
    <t>KING GEORGE ISLAND; CLIMATE-CHANGE; IMPACTS; ASSEMBLAGES; ECOLOGY; RETREAT</t>
  </si>
  <si>
    <t>Changes in macrobenthic and pelagic communities in the postglacial, partially isolated, lagoon Herve Cove in Admiralty Bay, King George Island, were investigated 15 years after the first comprehensive studies had been conducted in this region. The bottom area of the cove has enlarged from approximately 12 ha to 19 ha after the retreat of the Dera Icefall. Based on a photographic survey of the benthos and taxonomic composition of zooplankton, ecological succession and the colonization of new species have been observed. Several new species occur such as gastropods, seastars, sea urchins and isopods, and their presence in different parts of the cove, as well as breeding aggregations suggests that they reproduce there. The influence of glacial streams is notable in bottom assemblages. We propose that Herve Cove is a good research area for studies on ecological succession in newly opened areas. The colonization of this lagoon has been recognized to be in its developing stage, and research should be continued.</t>
  </si>
  <si>
    <t>[Potocka, Marta; Kidawa, Anna; Wojcik, Kornelia A.; Plenzler, Joanna; Bialik, Robert J.] Polish Acad Sci, Inst Biochem &amp; Biophys, Dept Antarctic Biol, Pawinskiego St 5a, PL-02106 Warsaw, Poland; [Panasiuk, Anna] Univ Gdansk, Fac Oceanog &amp; Geog, Inst Oceanog, Dept Marine Plankton Res, Ave Marszalka Pilsudskiego 46, PL-81378 Gdynia, Poland; [Bielecka, Luiza; Wawrzynek-Borejko, Justyna; Patula, Weronika] Univ Gdansk, Fac Oceanog &amp; Geog, Inst Oceanog, Dept Marine Ecosyst Functioning, Ave Marszalka Pilsudskiego 46, PL-81378 Gdynia, Poland; [Janecki, Tomasz] Polish Acad Sci, Nencki Inst Expt Biol, Pasteura St 3, PL-02093 Warsaw, Poland</t>
  </si>
  <si>
    <t>Polish Academy of Sciences; Institute of Biochemistry &amp; Biophysics - Polish Academy of Sciences; Fahrenheit Universities; University of Gdansk; Fahrenheit Universities; University of Gdansk; Polish Academy of Sciences; Nencki Institute of Experimental Biology of the Polish Academy of Sciences</t>
  </si>
  <si>
    <t>Potocka, M (corresponding author), Polish Acad Sci, Inst Biochem &amp; Biophys, Dept Antarctic Biol, Pawinskiego St 5a, PL-02106 Warsaw, Poland.</t>
  </si>
  <si>
    <t>mpotocka@ibb.waw.pl</t>
  </si>
  <si>
    <t>Patuła, Weronika/AAQ-3886-2021; Wójcik-Długoborska, Kornelia/JGE-0708-2023; Panasiuk, Anna/HDO-1195-2022</t>
  </si>
  <si>
    <t>Panasiuk, Anna/0000-0002-1008-2922; Bialik, Robert/0000-0002-0254-6352; Plenzler, Joanna/0000-0002-0566-0062; Potocka, Marta/0000-0003-0505-6436; Patula, Weronika/0000-0002-0308-7338; Wojcik-Dlugoborska, Kornelia/0000-0002-1868-424X; Bielecka, Luiza/0000-0002-1162-9272</t>
  </si>
  <si>
    <t>Ministry of Scientific Research and Higher Education [IPY/268/2006]; Department of Antarctic Biology Polish Academy of Sciences</t>
  </si>
  <si>
    <t>Ministry of Scientific Research and Higher Education; Department of Antarctic Biology Polish Academy of Sciences</t>
  </si>
  <si>
    <t>The work was financed by the Ministry of Scientific Research and Higher Education grant IPY/268/2006 (years 2007-2010) and by Department of Antarctic Biology Polish Academy of Sciences.</t>
  </si>
  <si>
    <t>2077-1312</t>
  </si>
  <si>
    <t>J MAR SCI ENG</t>
  </si>
  <si>
    <t>J. Mar. Sci. Eng.</t>
  </si>
  <si>
    <t>10.3390/jmse7090285</t>
  </si>
  <si>
    <t>Engineering, Marine; Engineering, Ocean; Oceanography</t>
  </si>
  <si>
    <t>Engineering; Oceanography</t>
  </si>
  <si>
    <t>JA6WE</t>
  </si>
  <si>
    <t>WOS:000487981700036</t>
  </si>
  <si>
    <t>Rosado, B; Fernández-Ros, A; Berrocoso, M; Prates, G; Gárate, J; de Gil, A; Geyer, A</t>
  </si>
  <si>
    <t>Rosado, B.; Fernandez-Ros, A.; Berrocoso, M.; Prates, G.; Garate, J.; de Gil, A.; Geyer, A.</t>
  </si>
  <si>
    <t>Volcano-tectonic dynamics of Deception Island (Antarctica): 27 years of GPS observations (1991-2018)</t>
  </si>
  <si>
    <t>JOURNAL OF VOLCANOLOGY AND GEOTHERMAL RESEARCH</t>
  </si>
  <si>
    <t>Volcano geodesy; Deception Island Volcano; GNSS-GPS; Volcano-tectonic model 4D; Stress-strain model</t>
  </si>
  <si>
    <t>SOUTH SHETLAND ISLANDS; BRANSFIELD STRAIT; DEFORMATION; EVOLUTION; BASIN; CONSTRAINTS; PENINSULA; ERUPTIONS; MODELS; SYSTEM</t>
  </si>
  <si>
    <t>Deception Island (South Shetland Islands) is one of the most active volcanoes in Antarctica. In the 1988-1989 austral summer, after the most recent eruptive process on the island (1967-1970), monitoring of volcanic activity through geophysical and geodetic techniques was resumed by Spanish and Argentinean scientists. In order to monitor the island's tectonic and volcanic behavior, a geodetic network was deployed. Currently, this network consists of 15 geodetic benchmarks located around Port Foster, Deception's inner bay open to the sea. Two additional geodetic benchmarks were installed outside Deception Island to be used as reference benchmarks for the differential positioning strategy. Since 1991-1992, geodetic ground-displacement velocities between the successive austral summer Antarctic campaigns have been computed and analyzed. The overall geodynamic behavior of Deception Island within the South Shetland Islands, Antarctic Peninsula and Bransfield Basin regional environment has been analyzed from geodetic ground-displacements. Results obtained demonstrate that Deception and Livingston island have a similar behavior derived from the Bransfield Basin extension and the Phoenix micro-plate subsidence processes. However, Deception Island is also highly influenced by its volcanic activity. Deception Island's volcanic behavior between 1991 and 2018 is shown by the velocity field, strain tensors and pressure source evolution obtained from the ground-displacements at the geodetic benchmarks. During this time period, it is possible to identify different inflation and deflation phases separated by transitional (or mixed) stages of extension without uplift and compression without subsidence. The most representative inflation and deflation periods were analyzed in detail, to show how they correlate with high and low seismic activity, respectively. The transitional or mixed stages, seem to be the precursors of the next inflation or deflation phase being the Bransfield basin rifting and NW-SE extension the potential related process. Finally, we have analyzed the processes that occurred prior to the volcanic unrests of 1999-2000 and 2012-2013. In both cases, an increase in detected seismic activity and/or soil and seawater temperature was observed and a mixed phase of extension without uplift seems to be precursory to the volcanic unrest. The correlation between the inflation processes, identified by ground-displacement of the network geodetic benchmarks, the increase in seismicity and the increment of soil and seawater temperature makes these transitional mixed phases potential precursors of Deception Island's volcanic unrest periods. (C) 2019 Elsevier B.V. All rights reserved.</t>
  </si>
  <si>
    <t>[Rosado, B.; Fernandez-Ros, A.; Berrocoso, M.; Prates, G.; Garate, J.; de Gil, A.] Univ Cadiz, Fac Ciencias, Dept Matemat, Lab Astron Geodesia &amp; Cartog, Cadiz, Spain; [Rosado, B.; Fernandez-Ros, A.; Berrocoso, M.; Prates, G.; Garate, J.; de Gil, A.] Univ Cadiz, Inst Univ Invest Marina INMAR, Campus Excelencia Int Mar CEIMAR, Cadiz 11510, Spain; [Fernandez-Ros, A.] Inst Hidrog Marina, Cadiz, Spain; [Prates, G.] Univ Lisbon, IGOT, Ctr Estudos Geog, Lisbon, Portugal; [Prates, G.] Univ Algarve, Inst Super Engn, Faro, Portugal; [Geyer, A.] CSIC, ICTJA, Inst Earth Sci Jaume Almera, Lluis Sole I Sabaris S-N, Barcelona 08028, Spain</t>
  </si>
  <si>
    <t>Consejo Superior de Investigaciones Cientificas (CSIC); CSIC-UCM - Instituto de Astronomia y Geodesia (IAG); Universidad de Cadiz; Universidad de Cadiz; Universidade de Lisboa; Universidade do Algarve; Consejo Superior de Investigaciones Cientificas (CSIC); CSIC - Geociencias Barcelona (GEO3BCN)</t>
  </si>
  <si>
    <t>Rosado, B (corresponding author), Univ Cadiz, Fac Ciencias, Dept Matemat, Lab Astron Geodesia &amp; Cartog, Cadiz, Spain.</t>
  </si>
  <si>
    <t>belen.rosado@uca.es</t>
  </si>
  <si>
    <t>Geyer, Adelina/C-9490-2011; Prates, Gonçalo/K-4018-2014; Garate, Jorge/L-8290-2014; BERROCOSO, MANUEL MBD/O-3818-2014; Geyer, Adelina/A-6624-2012</t>
  </si>
  <si>
    <t>Prates, Gonçalo/0000-0001-5797-9158; Rosado Moscoso, Belen/0000-0003-1677-904X; Geyer, Adelina/0000-0002-8803-6504</t>
  </si>
  <si>
    <t>Spanish Ministry of Education and Science as part of the National Antarctic Program; MINECO-UCA-IGME [ANTI1999-1430-E/HESP, REN2000-0551-0O3-01/ANT, REN2000-2690-E, CGL2004-21547-E/ANT, CGL2004-20408-E/ANT, CGL12005-07589-c03-01/ANT, 0142009-07251/ANT]</t>
  </si>
  <si>
    <t>Spanish Ministry of Education and Science as part of the National Antarctic Program; MINECO-UCA-IGME</t>
  </si>
  <si>
    <t>This geodetic research has been carried out with the support of the Spanish Ministry of Education and Science as part of the National Antarctic Program. The following research projects contributed directly to this work: Recognition and fast evaluation of volcanic activity on Deception Island (GEODESY) (ANTI1999-1430-E/HESP); Geodetic Studies on Deception Island: deformation models, geoid determination and Scientific Information System (REN2000-0551-0O3-01/ANT); Acquisition of scientific software for GPS data processing (REN2000-2690-E); Geodetic Control of the volcanic activity of Deception Island (CGL2004-21547-E/ANT); Update of the Spanish Cartography for Deception Island (CGL2004-20408-E/ANT); Volcano-tectonic activity on Deception Island: geodetic, geophysical investigations and Remote Sensing on Deception Island and its surroundings (CGL12005-07589-c03-01/ANT); Geodetic and Geothermal Researches, Time Serial Analysis and Volcanic Innovation in Antarctica (South Shetland Islands and Antarctic Peninsula (GEOTINANT) (0142009-07251/ANT); Maintenance of historical geodesic, geothermal and oceanographic time series in Deception and Livingston Islands, Antarctica, during the 2013-2014 campaign (MINECO-UCA-IGME); Maintenance of historical geodesic, geothermal and oceanographic time series in Deception and Livingston Islands, Antarctica, during the 2014-2015 campaign (MINECO-UCA-IGME); Maintenance of historical geodesic, geothermal and oceanographic time series in Deception and Livingston Islands, Antarctica, during the 2015-2016 campaign (MINECO-UCA-IGME); Maintenance of historical geodesic, geothermal and oceanographic time series in Deception and Livingston Islands, Antarctica, during the 2016-2017 campaign (MINECO-UCA-IGME); Maintenance of historical geodesic, geothermal and oceanographic time series in Deception and Livingston Islands, Antarctica, during the 2017-2018 campaign; Maintenance of historical geodesic, geothermal and oceanographic time series in Deception and Livingston Islands, Antarctica, during the 2018-2019 campaign and Monitoring and surveillance of active geodynamic processes by geodetic GNSS deformation in different places (Antarctica, Gulf of Cadiz and Latin America) (CTM2017-84210-R). Thanks to all the participants in the geodetic campaigns carried out in the Livingston and Deception Islands, which are the basis of this work; especially Ramon Ortiz, Jose Viramonte, Alicia Garcia and Manuel Catalan, responsible for the resumption of volcanological studies (1987) on Deception Island after the eruptive process 1967-1970. They were the pioneers of geophysical and geodetic monitoring, introducing new techniques and methods for volcanic monitoring in Antarctica, such as the first GPS observations on Deception Island. The contributions of both editor and of the reviewers Diana C. Roman and Ronni Grapenthin are very much appreciated, which greatly helped to improve the manuscript.</t>
  </si>
  <si>
    <t>0377-0273</t>
  </si>
  <si>
    <t>1872-6097</t>
  </si>
  <si>
    <t>J VOLCANOL GEOTH RES</t>
  </si>
  <si>
    <t>J. Volcanol. Geotherm. Res.</t>
  </si>
  <si>
    <t>10.1016/j.jvolgeores.2019.05.009</t>
  </si>
  <si>
    <t>IP9OG</t>
  </si>
  <si>
    <t>WOS:000480378900005</t>
  </si>
  <si>
    <t>Chiu-Werner, A; Ceia, FR; Cárdenas-Alayza, S; Cardeña-Mormontoy, M; Adkesson, M; Xavier, J</t>
  </si>
  <si>
    <t>Chiu-Werner, Antje; Ceia, Filipe R.; Cardenas-Alayza, Susana; Cardena-Mormontoy, Marco; Adkesson, Michael; Xavier, Jose</t>
  </si>
  <si>
    <t>Inter-annual isotopic niche segregation of wild humboldt penguins through years of different El Nino intensities</t>
  </si>
  <si>
    <t>Humboldt penguins; Spheniscus humboldti; Diet; El Nino; Punta san juan; Peru; Sea surface temperature anomaly; Population dynamics; Stable isotopes; Seabirds</t>
  </si>
  <si>
    <t>SPHENISCUS-HUMBOLDTI; CURRENT SYSTEM; STABLE-ISOTOPES; SEASONAL CYCLE; PATTERNS; NORTHERN; SEABIRDS; PERU; DIET; SEX</t>
  </si>
  <si>
    <t>The Humboldt Current System presents high interannual variability, influenced by the El Nino Southern Oscillation (ENSO), whose implications in wildlife are not fully understood. We studied the isotopic niche of wild Humboldt penguins at Punta San Juan (Peru) during the pre-moult foraging trip in 4 consecutive years (2008-2011) under known oceanographic (ENSO) conditions. Our results show that there is a clear isotopic niche segregation (on both delta C-13 and delta N-15 values) of wild Humboldt penguins among all years. Besides isotopic niche segregation, niche width also varied significantly among years. The larger isotopic niche displayed in 2008 reflected the opportunistic feeding behaviour of Humboldt penguins when oceanographic conditions were unfavourable (i.e. El Nino of strong intensity). In contrast, and despite strong segregation, penguins displayed a more specialist behaviour in years of mild environmental conditions (i.e. 2009 warm-weak, 2010 neutral and 2011 warm-moderate). No evidence of sexual segregation in wild Humboldt penguins during the premoulting foraging trip was found. This study highlights the coping mechanisms of an endangered species to changes in environmental conditions (i.e. overall, from strong to neutral El Nino events), which should have important ramifications in the management of the marine ecosystem in Peru, particularly the one related to the anchovy industry.</t>
  </si>
  <si>
    <t>[Chiu-Werner, Antje; Cardenas-Alayza, Susana; Cardena-Mormontoy, Marco] Univ Peruana Cayetano Heredia, Ctr Sostenibilidad Ambiental, CSA Programa Punta San Juan, Av Arrnendariz 445, Lima, Peru; [Ceia, Filipe R.; Xavier, Jose] Univ Coimbra, Fac Ciencias &amp; Tecnol, Mare Marine &amp; Environm Sci Ctr, Dept Ciencias Vida, P-3000456 Coimbra, Portugal; [Cardenas-Alayza, Susana; Adkesson, Michael] Brookfield Zoo, Chicago Zool Soc, 3300 Golf Rd, Brookfield, IL 60513 USA; [Xavier, Jose] British Antarctic Survey, Nat Environm Res Council, Madingley Rd, Cambridge CB3 0ET, England</t>
  </si>
  <si>
    <t>Universidad Peruana Cayetano Heredia; Universidade de Coimbra; UK Research &amp; Innovation (UKRI); Natural Environment Research Council (NERC); NERC British Antarctic Survey</t>
  </si>
  <si>
    <t>Chiu-Werner, A (corresponding author), Univ Peruana Cayetano Heredia, Ctr Sostenibilidad Ambiental, CSA Programa Punta San Juan, Av Arrnendariz 445, Lima, Peru.</t>
  </si>
  <si>
    <t>antje.chiu@uarm.pe</t>
  </si>
  <si>
    <t>Cárdenas-Alayza, Susana/IQW-7038-2023; Xavier, José/KFB-6739-2024; Ceia, Filipe R./A-2196-2012; Cárdenas-Alayza, Susana/AAP-1748-2021</t>
  </si>
  <si>
    <t>Ceia, Filipe R./0000-0002-5470-5183; Cárdenas-Alayza, Susana/0000-0002-8828-9552; Adkesson, Michael/0000-0002-8766-5296; /0000-0002-9621-6660; Chiu Werner, Antje/0000-0003-3213-6087</t>
  </si>
  <si>
    <t>Consejo Nacional de Ciencia, Tecnologia e Innovacion (CONCYTEC) [436-2012-CONCYTEC-OAJ]; Fundacao para a Ciencia e a Tecnologia [SFRH/BPD/95372/2013]; FCT [UID/MAR/04292/2019]; NERC [bas010011] Funding Source: UKRI</t>
  </si>
  <si>
    <t>Consejo Nacional de Ciencia, Tecnologia e Innovacion (CONCYTEC); Fundacao para a Ciencia e a Tecnologia(Fundacao para a Ciencia e a Tecnologia (FCT)); FCT(Fundacao para a Ciencia e a Tecnologia (FCT)); NERC(UK Research &amp; Innovation (UKRI)Natural Environment Research Council (NERC))</t>
  </si>
  <si>
    <t>Antje Chiu Werner was supported by the Consejo Nacional de Ciencia, Tecnologia e Innovacion (CONCYTEC) through the grant No. 436-2012-CONCYTEC-OAJ. Filipe R. Ceia was supported by post-doc grant (SFRH/BPD/95372/2013) from Fundacao para a Ciencia e a Tecnologia. Jose Xavier acknowledges ICED program and the support received from FCT through the strategic project UID/MAR/04292/2019, granted to MARE.</t>
  </si>
  <si>
    <t>10.1016/j.marenvres.2019.104755</t>
  </si>
  <si>
    <t>JS3AA</t>
  </si>
  <si>
    <t>WOS:000500180400005</t>
  </si>
  <si>
    <t>Guillen, AC; Borges, ME; Herrerias, T; Kandalski, PK; Marins, ED; Viana, D; de Souza, MRDP; Daloski, LOD; Donatti, L</t>
  </si>
  <si>
    <t>Guillen, Angela Carolina; Borges, Marcelo Eduardo; Herrerias, Tatiana; Kandalski, Priscila Krebsbach; Marins, Elen de Arruda; Viana, Douglas; Dmengeon Pedreiro de Souza, Maria Rosa; do Carmo Daloski, Leticia Oliveira; Donatti, Lucelia</t>
  </si>
  <si>
    <t>Effect of gradual temperature increase on the carbohydrate energy metabolism responses of the Antarctic fish Notothenia rossii</t>
  </si>
  <si>
    <t>Notothenia; Metabolism; Temperature; Admiralty Bay; Biomarker; Effects-fish</t>
  </si>
  <si>
    <t>CLIMATE-CHANGE; ELEVATED-TEMPERATURE; FOOD-DEPRIVATION; SENSITIVE METHOD; NEW-ZEALAND; ACCLIMATION; ICE; STRESS; MUSCLE; LIVER</t>
  </si>
  <si>
    <t>The warming of the Southern Ocean waters may affect the biological processes and the performance of the fish inhabiting it. The notothenioid group is metabolically specialized to low-temperature environments and may be vulnerable to the climatic changes imposed on the Antarctic continent. However, gradual temperature changes potentially allow an opportunity for plasticity adjustments. The present study evaluated the effect of gradual increase of temperature on the enzymatic and nonenzymatic parameters of energy metabolism in renal, branchial, hepatic, and encephalic tissue of Notothenia rossii subjected to a gradual temperature change of 0.5 degrees C/day until reaching 2 degrees C, 4 degrees C, 6 degrees C, and 8 degrees C. Under the effect of an acclimation rate of 0.5 degrees C/day, the gill tissue showed increased phosphofructokinase (PFK) enzyme activity. In the kidney, there was increased activity of the malate dehydrogenase (MDH), glucose-6-phosphatase (G6PDH), and glycogen phosphorylase (GP) enzymes. There was an increase in lactate concentration in the liver and an increase in GP enzyme activity in the brain. The specific tissue responses indicate the presence of thermal plasticity and an attempt to regulate energy metabolism to mitigate thermal stress in this species under these experimental conditions, possibly through the activation of glycolysis, gluconeogenesis, and glycogenolysis.</t>
  </si>
  <si>
    <t>[Guillen, Angela Carolina; Kandalski, Priscila Krebsbach; Marins, Elen de Arruda; Viana, Douglas; Dmengeon Pedreiro de Souza, Maria Rosa; do Carmo Daloski, Leticia Oliveira; Donatti, Lucelia] Univ Fed Parana, Dept Cell Biol, Curitiba, Parana, Brazil; [Borges, Marcelo Eduardo] Univ Fed Parana, Grad Program Ecol &amp; Conservat, Curitiba, Parana, Brazil; [Herrerias, Tatiana] Fac Guairaca, Guarapuava, Brazil</t>
  </si>
  <si>
    <t>Universidade Federal do Parana; Universidade Federal do Parana</t>
  </si>
  <si>
    <t>Donatti, L (corresponding author), Univ Fed Parana, Dept Cell Biol, Adapt Biol Lab, Av Cel Francisco H dos Santos S-N, BR-81531970 Curitiba, Parana, Brazil.</t>
  </si>
  <si>
    <t>angelacguillen@gmail.com; meb.biologia@gmail.com; tatianaherrerias@hotmail.com; pkrebsbio@gmail.com; elen_ha@hotmail.com; douglasoikos@gmail.com; maria_rosadp@hotmail.com; le_daloski@gmail.com; donatti@ufpr.br</t>
  </si>
  <si>
    <t>Donatti, Lucelia/E-1930-2013; de Souza, Maria Rosa Dmengeon Pedreiro/AAG-9661-2020; HERRERIAS, TATIANA/AAJ-8083-2021</t>
  </si>
  <si>
    <t>Donatti, Lucelia/0000-0002-9023-2483; de Souza, Maria Rosa Dmengeon Pedreiro/0000-0003-3745-5589; Herrerias, Tatiana/0000-0002-6150-6393</t>
  </si>
  <si>
    <t>Brazilian Ministry of Environment (MMA); Ministry of Science, Technology and Innovation (MCTI); National Council for the Development of Scientific and Technological Research (CNPq); Brazilian Federal Agency for Support and Evaluation of Graduate Education (CAPES); Secretariat of the Commission for the Resources of the Sea (SeCIRM); CAPES; CNPq; FAPERJ [2443/2011, 305969/2012-9, 304208/2016-6, 574018/2008-5, E-26/170.023/2008]</t>
  </si>
  <si>
    <t>Brazilian Ministry of Environment (MMA); Ministry of Science, Technology and Innovation (MCTI); National Council for the Development of Scientific and Technological Research (CNPq)(Conselho Nacional de Desenvolvimento Cientifico e Tecnologico (CNPQ)Fundacao de Apoio a Pesquisa do Distrito Federal (FAPDF)); Brazilian Federal Agency for Support and Evaluation of Graduate Education (CAPES)(Coordenacao de Aperfeicoamento de Pessoal de Nivel Superior (CAPES)); Secretariat of the Commission for the Resources of the Sea (SeCIRM); CAPES(Coordenacao de Aperfeicoamento de Pessoal de Nivel Superior (CAPES)); CNPq(Conselho Nacional de Desenvolvimento Cientifico e Tecnologico (CNPQ)); FAPERJ(Fundacao Carlos Chagas Filho de Amparo a Pesquisa do Estado do Rio De Janeiro (FAPERJ))</t>
  </si>
  <si>
    <t>We are grateful to Mariana Forgati, Tania Zaleski and Thaylise C.S. Przepiura for their help in the experimental design during the Antarctic expedition XXXIII. We are grateful to the following organizations for their support: the Brazilian Ministry of Environment (MMA), the Ministry of Science, Technology and Innovation (MCTI), the National Council for the Development of Scientific and Technological Research (CNPq), the Brazilian Federal Agency for Support and Evaluation of Graduate Education (CAPES), and the Secretariat of the Commission for the Resources of the Sea (SeCIRM). The authors would like to extend special acknowledgments to Dr. Edith Susana Elisabeth Fanta (in memoriam) and Dr. Yocie Yoneshigue Valentin, for the help and support provided during the present study. The study was funded by CAPES, CNPq, and FAPERJ through projects PNPD (CAPES process Auxpe N. 2443/2011), research productivity granted to L. Donatti (CNPq Process N.305969/2012-9 and 304208/2016-6), and INCT-APA (CNPq Process N. 574018/2008-5 and FAPERJ E-26/170.023/2008).</t>
  </si>
  <si>
    <t>10.1016/j.marenvres.2019.104779</t>
  </si>
  <si>
    <t>WOS:000500180400017</t>
  </si>
  <si>
    <t>Matias, RS; Gregory, S; Ceia, FR; Baeta, A; Seco, J; Rocha, MS; Fernandes, EM; Reis, RL; Silva, TH; Pereira, E; Piatkowski, U; Ramos, JA; Xavier, JC</t>
  </si>
  <si>
    <t>Matias, Ricardo S.; Gregory, Susan; Ceia, Filipe R.; Baeta, Alexandra; Seco, Jose; Rocha, Miguel S.; Fernandes, Emanuel M.; Reis, Rui L.; Silva, Tiago H.; Pereira, Eduarda; Piatkowski, Uwe; Ramos, Jaime A.; Xavier, Jose C.</t>
  </si>
  <si>
    <t>Show your beaks and we tell you what you eat: Different ecology in sympatric Antarctic benthic octopods under a climate change context</t>
  </si>
  <si>
    <t>Cephalopods; Sympatry; South Georgia; Stable isotopes; Mercury; Biomaterials</t>
  </si>
  <si>
    <t>STABLE-ISOTOPE SIGNATURES; SOUTH SANDWICH ISLANDS; MARINE FOOD-WEB; TROPHIC ECOLOGY; CEPHALOPOD PREY; FORAGING AREAS; MERCURY; SQUID; OCEAN; GEORGIA</t>
  </si>
  <si>
    <t>Sympatry can lead to higher competition under climate change and other environmental pressures, including in South Georgia, Antarctica, where the two most common octopod species, Adelieledone polymorpha and Pareledone turqueti, occur side by side. Since cephalopods are typically elusive animals, the ecology of both species is poorly known. As beaks of cephalopods are recurrently found in top predator's stomachs, we studied the feeding ecology of both octopods through the evaluation of niche overlapping and specific beak adaptations that both species present. A multidisciplinary approach combining carbon (delta C-13) and nitrogen (delta N-15) stable isotope signatures, mercury (Hg) analysis and biomaterials' engineering techniques was applied to investigate the beaks. An isotopic niche overlap of 95.6% was recorded for the juvenile stages of both octopod species, dropping to 19.2% for the adult stages. Both A. polymorpha and P. turqueti inhabit benthic ecosystems around South Georgia throughout their lifecycles (delta C-13: -19.21 +/- 1.87 parts per thousand, mean +/- SD for both species) but explore trophic niches partially different during adult life stages (delta N-15: 7.01 +/- 0.40 parts per thousand, in A. polymorpha, and 7.84 +/- 0.65 parts per thousand, in P. turqueti). The beaks of A. polymorpha are less dense and significantly less stiff than in P. turqueti. Beaks showed lower mercury concentration relative to muscle (A. polymorpha - beaks: 0.052 +/- 0.009 mu g g(-1), muscle: 0.322 +/- 0.088 mu g g(-1); P. turqueti - beaks: 0.038 +/- 0.009 mu g g(-1); muscle: 0.434 +/- 0.128 mu g g(-1)). Overall, both octopods exhibit similar habitats but different trophic niches, related to morphology/function of beaks. The high Hg concentrations in both octopods can have negative consequences on their top predators and may increase under the present climate change context.</t>
  </si>
  <si>
    <t>[Matias, Ricardo S.; Ceia, Filipe R.; Baeta, Alexandra; Ramos, Jaime A.; Xavier, Jose C.] Univ Coimbra, Marine &amp; Environm Sci Ctr MARE, Dept Life Sci, Fac Sci &amp; Technol, P-3000456 Coimbra, Portugal; [Gregory, Susan; Xavier, Jose C.] British Antarctic Survey, Nat Environm Res Council, Madingley Rd, Cambridge CB3 0ET, England; [Gregory, Susan] Govt South Georgia &amp; South Sandwich Isl, Stanley, Falkland Island; [Seco, Jose; Pereira, Eduarda] Univ Aveiro, Ctr Environm &amp; Marine Studies CESAM, Dept Chem, Campus Univ Santiago, P-3810193 Aveiro, Portugal; [Seco, Jose] Univ St Andrews, Sch Biol, St Andrews KY16 9ST, Fife, Scotland; [Rocha, Miguel S.; Fernandes, Emanuel M.; Reis, Rui L.; Silva, Tiago H.] Univ Minho, Headquarters European Inst Excellence Tissue Engn, I3Bs Res Grp Biomat Biodegradables &amp; Biomimet, 3Bs Res Grp, AvePctr,Parque Ciencia &amp; Tecnol, P-4805017 Barco, Guimaraes, Portugal; [Rocha, Miguel S.; Fernandes, Emanuel M.; Reis, Rui L.; Silva, Tiago H.] ICVS 3Bs PT Govt Associate Lab, Braga, Guimaraes, Portugal; [Reis, Rui L.] Headquarters Univ Minho, Discoveries Ctr Regenerat &amp; Precis Med, Avepk, P-4805017 Barco, Guimaraes, Portugal; [Piatkowski, Uwe] Helmholtz Ctr Ocean Res Kiel, GEOMAR, Dusternbrooker Weg 20, D-24105 Kiel, Germany</t>
  </si>
  <si>
    <t>Universidade de Coimbra; UK Research &amp; Innovation (UKRI); Natural Environment Research Council (NERC); NERC British Antarctic Survey; Universidade de Aveiro; University of St Andrews; Universidade do Minho; Helmholtz Association; GEOMAR Helmholtz Center for Ocean Research Kiel</t>
  </si>
  <si>
    <t>Matias, RS (corresponding author), Univ Coimbra, Marine &amp; Environm Sci Ctr MARE, Dept Life Sci, Fac Sci &amp; Technol, P-3000456 Coimbra, Portugal.</t>
  </si>
  <si>
    <t>ricardomatias.bio@gmail.com</t>
  </si>
  <si>
    <t>Pereira, Eduarda C/A-5907-2012; Xavier, José/KFB-6739-2024; Fernandes, Emanuel/A-4464-2013; Matias, Ricardo/JNS-8750-2023; Baeta, Alexandra/Q-6704-2018; Seco, José/AAS-4612-2020; da Silva, Tiago Henriques/A-2048-2008; Ceia, Filipe R./A-2196-2012; Fernandes, Emanuel M./ACM-8519-2022; Reis, Rui L./A-8938-2008; Ramos, Jaime A./B-6616-2018; Piatkowski, Uwe/G-4161-2011</t>
  </si>
  <si>
    <t>Fernandes, Emanuel/0000-0002-4296-2529; Matias, Ricardo/0000-0002-3236-1551; Seco, José/0000-0002-7957-6488; da Silva, Tiago Henriques/0000-0001-8520-603X; Ceia, Filipe R./0000-0002-5470-5183; Fernandes, Emanuel M./0000-0002-4296-2529; Reis, Rui L./0000-0002-4295-6129; Ramos, Jaime A./0000-0002-9533-987X; /0000-0002-9621-6660; Rocha, Miguel/0000-0002-0511-7174; Pereira, Eduarda/0000-0002-6046-5243; Piatkowski, Uwe/0000-0003-1558-5817</t>
  </si>
  <si>
    <t>Foundation for Science and Technology (FCT-Portugal) [IF/00616/2013]; PROPOLAR; FCT-Portugal [SFRH/BPD/95372/2013, MARE-UID/MAR/04292/2019, SRFH/PD/BD/113487]; European Social Fund (POPH, EU); NERC [bas010011] Funding Source: UKRI</t>
  </si>
  <si>
    <t>Foundation for Science and Technology (FCT-Portugal)(Fundacao para a Ciencia e a Tecnologia (FCT)); PROPOLAR; FCT-Portugal(Fundacao para a Ciencia e a Tecnologia (FCT)); European Social Fund (POPH, EU); NERC(UK Research &amp; Innovation (UKRI)Natural Environment Research Council (NERC))</t>
  </si>
  <si>
    <t>The authors thank to Dr. Mark Belchier from the British Antarctic Survey for assisting in the collection of the specimens for this work. Many thanks to 3B's Research Group (University of Minho) and MAREFOZ who were responsible for analysing the physical properties of beaks and stable isotope signatures. A special thank you to our colleague Jose Queiros from MARE-UC (Coimbra, Portugal) for his suggestions and guidance. A debt of gratitude is also owed to Dr. A. Louise Allcock (NUI Galway) for her useful guidelines. This work is an international effort under the Scientific Committee on Antarctic Research (SCAR) associated programs, expert and action groups, namely SCAR AnT-ERA, SCAR EGBAMM and ICED. J.C. Xavier was supported by the Investigator Programme (IF/00616/2013) of the Foundation for Science and Technology (FCT-Portugal) and PROPOLAR, and F.R. Ceia was supported by a postdoctoral fellowship (SFRH/BPD/95372/2013) attributed by FCT-Portugal and the European Social Fund (POPH, EU). This study benefited from the strategic program of MARE, financed by FCT-Portugal (MARE-UID/MAR/04292/2019). We also acknowledge FCT-Portugal through a PhD grant to J. Seco (SRFH/PD/BD/113487).</t>
  </si>
  <si>
    <t>10.1016/j.marenvres.2019.104757</t>
  </si>
  <si>
    <t>WOS:000500180400007</t>
  </si>
  <si>
    <t>Caruso, G</t>
  </si>
  <si>
    <t>Caruso, Gabriella</t>
  </si>
  <si>
    <t>Microplastics as vectors of contaminants</t>
  </si>
  <si>
    <t>Microplastics; Contaminants; Vectors; Aquatic ecosystems</t>
  </si>
  <si>
    <t>MARINE-ENVIRONMENT; PLASTIC DEBRIS; TOXIC-CHEMICALS; RESISTANCE; RISK; MICROORGANISMS; HITCHHIKERS; POLLUTION; BIOFILMS; METAL</t>
  </si>
  <si>
    <t>Pollution by microplastics and antibiotics is an emerging environmental, human and animal health threat. In spite of several studies documenting the widespread occurrence of plastic debris in aquatic ecosystems, research focusing on occurrence and concentration of biological and chemical contaminants attached on microplastic surface as well as on possible interactions of these contaminants with microplastics is still at its beginning. The present note addresses the role of microplastics as vectors of contaminants in water bodies, stressing the need for future investigations on this hot topic.</t>
  </si>
  <si>
    <t>[Caruso, Gabriella] CNR, CNR, Inst Polar Sci ISP, Spianata San Raineri 86, I-98122 Messina, Italy</t>
  </si>
  <si>
    <t>Consiglio Nazionale delle Ricerche (CNR); Istituto di Scienze Polari (ISP-CNR)</t>
  </si>
  <si>
    <t>Caruso, G (corresponding author), CNR, CNR, Inst Polar Sci ISP, Spianata San Raineri 86, I-98122 Messina, Italy.</t>
  </si>
  <si>
    <t>gabriella.caruso@cnr.it</t>
  </si>
  <si>
    <t>Caruso, Gabriella/F-5450-2013</t>
  </si>
  <si>
    <t>Caruso, Gabriella/0000-0002-3819-5486</t>
  </si>
  <si>
    <t>Italian National Antarctic Research Program (PNRA) [PNRA 16_00105]</t>
  </si>
  <si>
    <t>Italian National Antarctic Research Program (PNRA)(Ministry of Education, Universities and Research (MIUR))</t>
  </si>
  <si>
    <t>This work was funded by the Italian National Antarctic Research Program (PNRA), Project Microbial colonization of benthic ANTarctic environments: response of microbial abundances, diversity, activities and larval settlement to natural or anthropogenic disturbances and search for secondary metabolites (ANT-BIOFILM, PNRA 16_00105).</t>
  </si>
  <si>
    <t>10.1016/j.marpolbul.2019.07.052</t>
  </si>
  <si>
    <t>JC0VX</t>
  </si>
  <si>
    <t>WOS:000488999000104</t>
  </si>
  <si>
    <t>Metzl, N</t>
  </si>
  <si>
    <t>Metzl, Nicolas</t>
  </si>
  <si>
    <t>OCEAN CARBON CYCLE A canary in the Southern Ocean</t>
  </si>
  <si>
    <t>SEASONAL CYCLE</t>
  </si>
  <si>
    <t>The Southern Ocean is a major carbon sink, but knowledge of its variability is limited, especially in the coastal Antarctic. Now, results based on 25 years of observations in the West Antarctic Peninsula show that the carbon sink is increasing rapidly, driven by summertime biological production linked to sea ice dynamics.</t>
  </si>
  <si>
    <t>[Metzl, Nicolas] Sorbonne Univ, MNHN, CNRS, LOCEAN IPSL,IRD, Paris, France</t>
  </si>
  <si>
    <t>Centre National de la Recherche Scientifique (CNRS); Sorbonne Universite; Institut de Recherche pour le Developpement (IRD); Museum National d'Histoire Naturelle (MNHN)</t>
  </si>
  <si>
    <t>Metzl, N (corresponding author), Sorbonne Univ, MNHN, CNRS, LOCEAN IPSL,IRD, Paris, France.</t>
  </si>
  <si>
    <t>nicolas.metzl@locean-ipsl.upmc.fr</t>
  </si>
  <si>
    <t>10.1038/s41558-019-0562-1</t>
  </si>
  <si>
    <t>WOS:000483551700010</t>
  </si>
  <si>
    <t>Darling, ES; McClanahan, TR; Maina, J; Gurney, GG; Graham, NAJ; Januchowski-Hartley, F; Cinner, JE; Mora, C; Hicks, CC; Maire, E; Puotinen, M; Skirving, WJ; Adjeroud, M; Ahmadia, G; Arthur, R; Bauman, AG; Beger, M; Berumen, ML; Bigot, L; Bouwmeester, J; Brenier, A; Bridge, TCL; Brown, E; Campbell, SJ; Cannon, S; Cauvin, B; Chen, CA; Claudet, J; Denis, V; Donner, S; Estradivari; Fadli, N; Feary, DA; Fenner, D; Fox, H; Franklin, EC; Friedlander, A; Gilmour, J; Goiran, C; Guest, J; Hobbs, JPA; Hoey, AS; Houk, P; Johnson, S; Jupiter, SD; Kayal, M; Kuo, CY; Lamb, J; Lee, MAC; Low, J; Muthiga, N; Muttaqin, E; Nand, Y; Nash, KL; Nedlic, O; Pandolfi, JM; Pardede, S; Patankar, V; Penin, L; Ribas-Deulofeu, L; Richards, Z; Roberts, TE; Rodgers, KS; Safuan, CDM; Sala, E; Shedrawi, G; Sin, TM; Smallhorn-West, P; Smith, JE; Sommer, B; Steinberg, PD; Sutthacheep, M; Tan, CHJ; Williams, GJ; Wilson, S; Yeemin, T; Bruno, JF; Fortin, MJ; Krkosek, M; Mouillot, D</t>
  </si>
  <si>
    <t>Darling, Emily S.; McClanahan, Tim R.; Maina, Joseph; Gurney, Georgina G.; Graham, Nicholas A. J.; Januchowski-Hartley, Fraser; Cinner, Joshua E.; Mora, Camilo; Hicks, Christina C.; Maire, Eva; Puotinen, Marji; Skirving, William J.; Adjeroud, Mehdi; Ahmadia, Gabby; Arthur, Rohan; Bauman, Andrew G.; Beger, Maria; Berumen, Michael L.; Bigot, Lionel; Bouwmeester, Jessica; Brenier, Ambroise; Bridge, Tom C. L.; Brown, Eric; Campbell, Stuart J.; Cannon, Sara; Cauvin, Bruce; Chen, Chaolun Allen; Claudet, Joachim; Denis, Vianney; Donner, Simon; Estradivari; Fadli, Nur; Feary, David A.; Fenner, Douglas; Fox, Helen; Franklin, Erik C.; Friedlander, Alan; Gilmour, James; Goiran, Claire; Guest, James; Hobbs, Jean-Paul A.; Hoey, Andrew S.; Houk, Peter; Johnson, Steven; Jupiter, Stacy D.; Kayal, Mohsen; Kuo, Chao-Yang; Lamb, Joleah; Lee, Michelle A. C.; Low, Jeffrey; Muthiga, Nyawira; Muttaqin, Efin; Nand, Yashika; Nash, Kirsty L.; Nedlic, Osamu; Pandolfi, John M.; Pardede, Shinta; Patankar, Vardhan; Penin, Lucie; Ribas-Deulofeu, Lauriane; Richards, Zoe; Roberts, T. Edward; Rodgers, Ku'ulei S.; Safuan, Che Din Mohd; Sala, Enric; Shedrawi, George; Sin, Tsai Min; Smallhorn-West, Patrick; Smith, Jennifer E.; Sommer, Brigitte; Steinberg, Peter D.; Sutthacheep, Makamas; Tan, Chun Hong James; Williams, Gareth J.; Wilson, Shaun; Yeemin, Thamasak; Bruno, John F.; Fortin, Marie-Josee; Krkosek, Martin; Mouillot, David</t>
  </si>
  <si>
    <t>Social-environmental drivers inform strategic management of coral reefs in the Anthropocene</t>
  </si>
  <si>
    <t>MARINE PROTECTED AREAS; CLIMATE-CHANGE; PATTERNS; FRAMEWORK; RECOVERY; HISTORY; RATES</t>
  </si>
  <si>
    <t>Without drastic efforts to reduce carbon emissions and mitigate globalized stressors, tropical coral reefs are in jeopardy. Strategic conservation and management requires identification of the environmental and socioeconomic factors driving the persistence of scleractinian coral assemblages-the foundation species of coral reef ecosystems. Here, we compiled coral abundance data from 2,584 Indo-Pacific reefs to evaluate the influence of 21 climate, social and environmental drivers on the ecology of reef coral assemblages. Higher abundances of framework-building corals were typically associated with: weaker thermal disturbances and longer intervals for potential recovery; slower human population growth; reduced access by human settlements and markets; and less nearby agriculture. We therefore propose a framework of three management strategies (protect, recover or transform) by considering: (1) if reefs were above or below a proposed threshold of &gt;10% cover of the coral taxa important for structural complexity and carbonate production; and (2) reef exposure to severe thermal stress during the 2014-2017 global coral bleaching event. Our findings can guide urgent management efforts for coral reefs, by identifying key threats across multiple scales and strategic policy priorities that might sustain a network of functioning reefs in the Indo-Pacific to avoid ecosystem collapse.</t>
  </si>
  <si>
    <t>[Darling, Emily S.; McClanahan, Tim R.; Jupiter, Stacy D.; Muthiga, Nyawira] Wildlife Conservat Soc, Marine Program, New York, NY 10460 USA; [Darling, Emily S.; Fortin, Marie-Josee; Krkosek, Martin] Univ Toronto, Dept Ecol &amp; Evolutionary Biol, Toronto, ON, Canada; [Darling, Emily S.; Bruno, John F.] Univ N Carolina, Dept Biol, Chapel Hill, NC 27515 USA; [Maina, Joseph] Macquarie Univ, Dept Environm Sci, Sydney, NSW, Australia; [Gurney, Georgina G.; Cinner, Joshua E.; Bridge, Tom C. L.; Hoey, Andrew S.; Kuo, Chao-Yang; Roberts, T. Edward; Smallhorn-West, Patrick; Mouillot, David] James Cook Univ, Australian Res Council Ctr Excellence Coral Reef, Townsville, Qld, Australia; [Graham, Nicholas A. J.; Hicks, Christina C.] Univ Lancaster, Lancaster Environm Ctr, Lancaster, England; [Januchowski-Hartley, Fraser; Maire, Eva; Mouillot, David] Univ Montpellier, CNRS, IFREMER, Montpellier, France; [Januchowski-Hartley, Fraser; Maire, Eva; Mouillot, David] MARBEC, IRD, Montpellier, France; [Januchowski-Hartley, Fraser] Swansea Univ, Dept Biosci, Swansea, W Glam, Wales; [Mora, Camilo] Univ Hawaii Manoa, Dept Geog, Honolulu, HI 96822 USA; [Puotinen, Marji; Gilmour, James] Univ Western Australia, Indian Ocean Marine Res Ctr, Australian Inst Marine Sci, Perth, WA, Australia; [Skirving, William J.] NOAA, Coral Reef Watch, College Pk, MD USA; [Skirving, William J.] Global Sci &amp; Technol, Greenbelt, MD USA; [Adjeroud, Mehdi] Inst Rech Dev, ENTROPIE, UMR 9220, Perpignan, France; [Adjeroud, Mehdi] Inst Rech Dev, Lab Excellence CORAIL, Perpignan, France; [Ahmadia, Gabby] World Wildlife Fund, Oceans Conservat, 1250 24th St,NW, Washington, DC 20037 USA; [Arthur, Rohan] Nat Conservat Fdn, Mysore, Karnataka, India; [Arthur, Rohan] CSIC, Ctr Estudis Avancats Blanes, Girona, Spain; [Bauman, Andrew G.] Natl Univ Singapore, Dept Biol Sci, Expt Marine Ecol Lab, Singapore, Singapore; [Beger, Maria] Univ Leeds, Fac Biol Sci, Sch Biol, Leeds, W Yorkshire, England; [Beger, Maria] Univ Queensland, ARC Ctr Excellence Environm Decis, Brisbane, Qld, Australia; [Berumen, Michael L.; Bouwmeester, Jessica] King Abdullah Univ Sci &amp; Technol, Red Sea Res Ctr, Biol &amp; Environm Sci &amp; Engn Div, Thuwal, Saudi Arabia; [Bigot, Lionel; Penin, Lucie] Univ La Reunion, UMR 9220, ENTROPIE, St Denis, Reunion, France; [Bigot, Lionel; Penin, Lucie] Univ La Reunion, CORAIL, Lab Excellence, St Denis, Reunion, France; [Bouwmeester, Jessica] Smithsonian Conservat Biol Inst, Front Royal, VA USA; [Brenier, Ambroise] WCS Papua New Guinea, Goroka, Papua N Guinea; [Bridge, Tom C. L.] Queensland Museum Network, Museum Trop Queensland, Biodivers &amp; Geosci Program, Townsville, Qld, Australia; [Brown, Eric] Natl Pk Serv, Kalaupapa Natl Hist Pk, Kalaupapa, HI USA; [Campbell, Stuart J.; Muttaqin, Efin; Pardede, Shinta] Wildlife Conservat Soc, Indonesia Program, Bogor, Indonesia; [Campbell, Stuart J.] Rare Indonesia, Bogor, Indonesia; [Cannon, Sara; Donner, Simon] Univ British Columbia, Dept Geog, Vancouver, BC, Canada; [Cauvin, Bruce] GIP Reserve Nat Marine Reunion, La Saline, France; [Chen, Chaolun Allen; Kuo, Chao-Yang; Ribas-Deulofeu, Lauriane] Acad Sinica, Biodivers Res Ctr, Taipei, Taiwan; [Claudet, Joachim] PSL Res Univ, Natl Ctr Sci Res, CRIOBE, USR CNRS EPHE UPVD 3278, Paris, France; [Denis, Vianney] Natl Taiwan Univ, Inst Oceanog, Taipei, Taiwan; [Estradivari] World Wildlife Fund Indonesia, Marine &amp; Fisheries Directorate, Jakarta, Indonesia; [Fadli, Nur] Syiah Kuala Univ, Fac Marine &amp; Fisheries, Banda Aceh, Indonesia; [Feary, David A.] MRAG Ltd, London, England; [Fenner, Douglas] Coral Reef Consulting, Pago Pago, AS USA; [Fox, Helen] Natl Geog Soc, Washington, DC USA; [Franklin, Erik C.; Rodgers, Ku'ulei S.] Univ Hawaii, Sch Ocean &amp; Earth Sci &amp; Technol, Hawaii Inst Marine Biol, Kaneohe, HI USA; [Friedlander, Alan; Sala, Enric] Pristine Seas Program, Natl Geog Soc, Washington, DC USA; [Friedlander, Alan] Univ Hawaii, Dept Biol, Fisheries Ecol Res Lab, Honolulu, HI 96822 USA; [Goiran, Claire] Univ Nouvelle Caledonie, ISEA, Lab Excellence CORAIL, Noumea, New Caledonia; [Guest, James] Newcastle Univ, Sch Nat &amp; Environm Sci, Newcastle Upon Tyne, Tyne &amp; Wear, England; [Hobbs, Jean-Paul A.; Richards, Zoe] Curtin Univ, Sch Mol &amp; Life Sci, Perth, WA, Australia; [Houk, Peter] Univ Guam, Marine Lab, Mangilao, GU 96923 USA; [Johnson, Steven] Oregon State Univ, Coll Earth Ocean &amp; Atmospher Sci, Corvallis, OR 97331 USA; [Jupiter, Stacy D.] Wildlife Conservat Soc, Melanesia Program, Suva, Fiji; [Kayal, Mohsen] Ctr Format &amp; Rech Environm Mediterraneens, UMR 5110, Perpignan, France; [Kayal, Mohsen] Inst Rech Dev, ENTROPIE, UMR 9220, Noumea, New Caledonia; [Kayal, Mohsen] Inst Rech Dev, CORAIL, Lab Excellence, Noumea, New Caledonia; [Lamb, Joleah] Univ Calif Irvine, Dept Ecol &amp; Evolutionary Biol, Irvine, CA 92717 USA; [Lee, Michelle A. C.; Sin, Tsai Min] Natl Univ Singapore, Trop Marine Sci Inst, Singapore, Singapore; [Low, Jeffrey] Natl Pk Board, Natl Biodivers Ctr, Singapore, Singapore; [Nand, Yashika] Wildlife Conservat Soc, Fiji Program, Suva, Fiji; [Nash, Kirsty L.] Ctr Marine Socioecol, Hobart, Tas, Australia; [Nash, Kirsty L.] Univ Tasmania, Inst Marine &amp; Antarctic Studies, Hobart, Tas, Australia; [Nedlic, Osamu] Kosrae Conservat &amp; Safety Org, Kosrae, Micronesia; [Pandolfi, John M.] Univ Queensland, ARC Ctr Excellence Coral Reef Studies, Brisbane, Qld, Australia; [Pandolfi, John M.; Sommer, Brigitte] Univ Queensland, Sch Biol Sci, Brisbane, Qld, Australia; [Patankar, Vardhan] Wildlife Conservat Soc, Bengaluru, India; [Patankar, Vardhan] Tata Inst Fundamental Res, Natl Ctr Biol Sci, Bangalore, Karnataka, India; [Ribas-Deulofeu, Lauriane] Natl Taiwan Normal Univ, Acad Sinica, Taiwan Int Grad Program, Biodivers Program, Taipei, Taiwan; [Richards, Zoe] Western Australian Museum, Perth, WA, Australia; [Safuan, Che Din Mohd; Tan, Chun Hong James] Univ Malaysia Terengganu, Inst Oceanog &amp; Environm, Kuala Nerus, Malaysia; [Shedrawi, George; Wilson, Shaun] Western Australian Dept Biodivers Conservat &amp; Att, Perth, WA, Australia; [Smith, Jennifer E.; Williams, Gareth J.] Univ Calif San Diego, Scripps Inst Oceanog, La Jolla, CA 92093 USA; [Sommer, Brigitte] Univ Sydney, Sch Life &amp; Environm Sci, Sydney, NSW, Australia; [Steinberg, Peter D.] Nanyang Technol Univ, Singapore Ctr Environm Life Sci Engn, Singapore, Singapore; [Steinberg, Peter D.] Sydney Inst Marine Sci, Sydney, NSW, Australia; [Sutthacheep, Makamas] Ramkhamhang Univ, Dept Biol, Bangkok, Thailand; [Tan, Chun Hong James] Univ Malaysia Terengganu, Sch Marine &amp; Environm Sci, Kuala Nerus, Malaysia; [Williams, Gareth J.] Bangor Univ, Sch Ocean Sci, Bangor, Gwynedd, Wales; [Wilson, Shaun] Univ Western Australia, Oceans Inst, Perth, WA, Australia; [Yeemin, Thamasak] Ramkhamhang Univ, Marine Biodivers Res Grp, Bangkok, Thailand</t>
  </si>
  <si>
    <t>Wildlife Conservation Society; University of Toronto; University of North Carolina; University of North Carolina Chapel Hill; Macquarie University; James Cook University; Lancaster University; Ifremer; Centre National de la Recherche Scientifique (CNRS); Universite de Montpellier; Universite de Montpellier; Ifremer; Institut de Recherche pour le Developpement (IRD); Swansea University; University of Hawaii System; University of Hawaii Manoa; University of Western Australia; Australian Institute of Marine Science; National Oceanic Atmospheric Admin (NOAA) - USA; Institut de Recherche pour le Developpement (IRD); Centre National de la Recherche Scientifique (CNRS); CNRS - Institute of Ecology &amp; Environment (INEE); Institut de Recherche pour le Developpement (IRD); World Wildlife Fund; Consejo Superior de Investigaciones Cientificas (CSIC); CSIC - Centre d'Estudis Avancats de Blanes (CEAB); National University of Singapore; University of Leeds; University of Queensland; ARC Centre of Excellence for Environmental Decisions; King Abdullah University of Science &amp; Technology; University of La Reunion; Centre National de la Recherche Scientifique (CNRS); CNRS - Institute of Ecology &amp; Environment (INEE); University of La Reunion; Smithsonian Institution; Smithsonian National Zoological Park &amp; Conservation Biology Institute; United States Department of the Interior; Wildlife Conservation Society - Indonesia; University of British Columbia; Academia Sinica - Taiwan; Centre National de la Recherche Scientifique (CNRS); CNRS - Institute of Ecology &amp; Environment (INEE); Universite PSL; Ecole Pratique des Hautes Etudes (EPHE); National Taiwan University; Universitas Syiah Kuala; National Geographic Society; University of Hawaii System; National Geographic Society; University of Hawaii System; Universite Nouvelle Caledonie; Newcastle University - UK; Curtin University; University of Guam; Oregon State University; Centre National de la Recherche Scientifique (CNRS); Universite Perpignan Via Domitia; CNRS - National Institute for Earth Sciences &amp; Astronomy (INSU); Institut de Recherche pour le Developpement (IRD); Institut de Recherche pour le Developpement (IRD); University of California System; University of California Irvine; National University of Singapore; University of Tasmania; University of Queensland; University of Queensland; Tata Institute of Fundamental Research (TIFR); National Centre for Biological Sciences (NCBS); National Taiwan Normal University; Academia Sinica - Taiwan; Western Australian Museum; Universiti Malaysia Terengganu; University of California System; University of California San Diego; Scripps Institution of Oceanography; University of Sydney; Nanyang Technological University; Sydney Institute of Marine Science; Ramkhamhaeng University; Universiti Malaysia Terengganu; Bangor University; University of Western Australia; Ramkhamhaeng University</t>
  </si>
  <si>
    <t>Darling, ES (corresponding author), Wildlife Conservat Soc, Marine Program, New York, NY 10460 USA.;Darling, ES (corresponding author), Univ Toronto, Dept Ecol &amp; Evolutionary Biol, Toronto, ON, Canada.;Darling, ES (corresponding author), Univ N Carolina, Dept Biol, Chapel Hill, NC 27515 USA.</t>
  </si>
  <si>
    <t>edarling@wcs.org</t>
  </si>
  <si>
    <t>Cannon, Sara E./AFU-9890-2022; Johnson, Steven Mana'oakamai/ABC-7915-2021; Tan, Chun Hong/X-4411-2018; Pandolfi, John M/A-3121-2009; Hobbs, Jean-Paul A/I-8743-2012; Fadli, Nur/GSM-8078-2022; Bridge, Tom C.L./J-2693-2014; Penin, Lucie/B-3163-2009; Lee, Michelle/JOK-7753-2023; Adjeroud, Mehdi/J-6411-2016; Claudet, Joachim/C-6335-2008; Cinner, Joshua Eli/E-8966-2011; Wilson, Shaun/K-8597-2019; Bouwmeester, Jessica/AAG-3653-2019; Graham, Nicholas/C-8360-2014; Hicks, Christina/M-6182-2015; Guest, James/D-5179-2011; Cinner, Joshua/AAA-6823-2021; Fadli, Nur/GSM-8392-2022; Maina, Joseph/KFR-6167-2024; Hoey, Andrew S/B-5457-2015; Roberts, Thomas Edward/X-9507-2019; Franklin, Erik C./ABC-1088-2020; Puotinen, Marji L/A-3214-2008; Maire, Eva/T-1934-2019; Safuan, Che Din Mohd/W-8266-2019; Denis, Vianney/E-6868-2013; CHE DIN, MOHD SAFUAN/GVU-8587-2022; , Estradivari/ABI-2837-2020; Nash, Kirsty L/B-5456-2015; Beger, Maria/ABC-5975-2022; Goiran, Claire/L-1257-2015; Ribas-Deulofeu, Lauriane/AAC-2793-2022; Januchowski-Hartley, Fraser A./H-8904-2019; Gurney, Georgina/X-9336-2019; Fadli, Nur/M-5655-2019; Skirving, William/E-7927-2011; Lamb, Joleah/D-1994-2018; Bouwmeester, Jessica/Q-2378-2017; Berumen, Michael/F-7745-2011</t>
  </si>
  <si>
    <t>Cannon, Sara E./0000-0002-1402-6370; Johnson, Steven Mana'oakamai/0000-0001-6998-9759; Tan, Chun Hong/0000-0002-1572-9748; Pandolfi, John M/0000-0003-3047-6694; Claudet, Joachim/0000-0001-6295-1061; Cinner, Joshua Eli/0000-0003-2675-9317; Wilson, Shaun/0000-0002-4590-0948; Graham, Nicholas/0000-0002-0304-7467; Hicks, Christina/0000-0002-7399-4603; Fadli, Nur/0000-0001-6845-1383; Franklin, Erik C./0000-0002-8660-3085; Maire, Eva/0000-0002-1032-3394; Denis, Vianney/0000-0002-0914-5586; , Estradivari/0000-0002-2789-8522; Nash, Kirsty L/0000-0003-0976-3197; Beger, Maria/0000-0003-1363-3571; Goiran, Claire/0000-0002-1649-4418; Ribas-Deulofeu, Lauriane/0000-0001-9005-5547; Januchowski-Hartley, Fraser A./0000-0003-2468-8199; Gurney, Georgina/0000-0002-4884-7468; Kayal, Mohsen/0000-0003-3675-9855; Sommer, Brigitte/0000-0003-0617-7790; Puotinen, Marji/0000-0002-1383-697X; Skirving, William/0000-0003-0167-6427; Sutthacheep, Makamas/0000-0001-6648-4608; Hoey, Andrew/0000-0002-4261-5594; Roberts, Thomas Edward/0000-0002-4555-8281; Williams, Dr Gareth J./0000-0001-7837-1619; Jupiter, Stacy/0000-0001-9742-1677; Lamb, Joleah/0000-0002-7005-9994; Shedrawi, George/0000-0002-4507-7293; Bouwmeester, Jessica/0000-0002-9221-537X; Berumen, Michael/0000-0003-2463-2742; Guest, James/0000-0002-9714-9009; Campbell, Stuart/0000-0002-1158-3200; Steinberg, Peter/0000-0002-1781-0726; McClanahan, Timothy/0000-0001-5821-3584; Arthur, Rohan/0000-0003-4267-9720; Smallhorn-West, patrick/0000-0001-6782-3704; , Mohd Safuan/0000-0001-8248-4317; Bauman, Andrew/0000-0001-9260-2153; Maina, Joseph/0000-0003-1268-6137</t>
  </si>
  <si>
    <t>Cedar Tree Foundation; Natural Sciences and Engineering Research Council of Canada; John D. and Catherine T. MacArthur Foundation</t>
  </si>
  <si>
    <t>Cedar Tree Foundation; Natural Sciences and Engineering Research Council of Canada(Natural Sciences and Engineering Research Council of Canada (NSERC)CGIAR); John D. and Catherine T. MacArthur Foundation</t>
  </si>
  <si>
    <t>All data contributors thank their monitoring partners and funders (see Supplementary Acknowledgements). We thank A. Baird, E. Buthung, P. Chabanet, Y. Chancerelle, D. Harvell, A. Heyward, P. Jokiel, R. Komeno, R. Lawton, S. Maxin, M. Pratchett, B. Randriamanantsoa, C. Rodney, E. Rudi, C. Russo, S. Tasidjawa, B. Vargas-Angel, I. Williams, B. Willis and J. Zavatra for data collection. We thank S. Anderson, K. Fisher and H. Beyer for assistance with analysis and data extraction. Major funding for this work was provided via a David H. Smith Conservation Research Fellowship from the Cedar Tree Foundation, a Banting Postdoctoral Fellowship from the Natural Sciences and Engineering Research Council of Canada, and the John D. and Catherine T. MacArthur Foundation through grants to the Wildlife Conservation Society. The scientific results and conclusions, as well as any views or opinions expressed herein, are those of the author(s) and do not necessarily reflect the views of the National Oceanic and Atmospheric Administration or the Department of Commerce.</t>
  </si>
  <si>
    <t>10.1038/s41559-019-0953-8</t>
  </si>
  <si>
    <t>IV1GZ</t>
  </si>
  <si>
    <t>WOS:000484026600018</t>
  </si>
  <si>
    <t>Holland, PR; Bracegirdle, TJ; Dutrieux, P; Jenkins, A; Steig, EJ</t>
  </si>
  <si>
    <t>Holland, Paul R.; Bracegirdle, Thomas J.; Dutrieux, Pierre; Jenkins, Adrian; Steig, Eric J.</t>
  </si>
  <si>
    <t>West Antarctic ice loss influenced by internal climate variability and anthropogenic forcing</t>
  </si>
  <si>
    <t>AMUNDSEN SEA EMBAYMENT; CIRCUMPOLAR DEEP-WATER; PINE ISLAND GLACIER; OCEANOGRAPHIC CONTROLS; TROPICAL PACIFIC; GREENHOUSE-GAS; SHELF; SURFACE; ENSO; IMPACT</t>
  </si>
  <si>
    <t>Recent ice loss from the West Antarctic Ice Sheet has been caused by ocean melting of ice shelves in the Amundsen Sea. Eastward wind anomalies at the shelf break enhance the import of warm Circumpolar Deep Water onto the Amundsen Sea continental shelf, which creates transient melting anomalies with an approximately decadal period. No anthropogenic influence on this process has been established. Here, we combine observations and climate model simulations to suggest that increased greenhouse gas forcing caused shelf-break winds to transition from mean easterlies in the 1920s to the near-zero mean zonal winds of the present day. Strong internal climate variability, primarily linked to the tropical Pacific, is superimposed on this forced trend. We infer that the Amundsen Sea experienced decadal ocean variability throughout the twentieth century, with warm anomalies gradually becoming more prevalent, offering a credible explanation for the ongoing ice loss. Existing climate model projections show that strong future greenhouse gas forcing creates persistent mean westerly shelf-break winds by 2100, suggesting a further enhancement of warm ocean anomalies. These wind changes are weaker under a scenario in which greenhouse gas concentrations are stabilized.</t>
  </si>
  <si>
    <t>[Holland, Paul R.; Bracegirdle, Thomas J.; Jenkins, Adrian] British Antarctic Survey, Cambridge, England; [Dutrieux, Pierre] Columbia Univ, Lamont Doherty Earth Observ, Palisades, NY USA; [Steig, Eric J.] Univ Washington, Dept Earth &amp; Space Sci, Seattle, WA 98195 USA</t>
  </si>
  <si>
    <t>UK Research &amp; Innovation (UKRI); Natural Environment Research Council (NERC); NERC British Antarctic Survey; Columbia University; University of Washington; University of Washington Seattle</t>
  </si>
  <si>
    <t>Holland, PR (corresponding author), British Antarctic Survey, Cambridge, England.</t>
  </si>
  <si>
    <t>p.holland@bas.ac.uk</t>
  </si>
  <si>
    <t>Steig, Eric J/G-9088-2015; Jenkins, Adrian/IUN-2406-2023; Bracegirdle, Tom/AAD-6060-2020; Holland, Paul R/G-2796-2012; Dutrieux, Pierre/GVS-2890-2022</t>
  </si>
  <si>
    <t>Dutrieux, Pierre/0000-0002-8066-934X; Bracegirdle, Thomas/0000-0002-8868-4739; Jenkins, Adrian/0000-0002-9117-0616</t>
  </si>
  <si>
    <t>NSF [1602435, 1644159, 1643285]; Directorate For Geosciences; Office of Polar Programs (OPP) [1602435, 1643285] Funding Source: National Science Foundation; Office of Polar Programs (OPP); Directorate For Geosciences [1644159] Funding Source: National Science Foundation; FIC [NE/S011994/1] Funding Source: UKRI; NERC [NE/N01801X/1, NE/M001660/1, bas0100032, bas0100033, NE/J005770/1] Funding Source: UKRI</t>
  </si>
  <si>
    <t>NSF(National Science Foundation (NSF)); Directorate For Geosciences; Office of Polar Programs (OPP)(National Science Foundation (NSF)NSF - Directorate for Geosciences (GEO)); Office of Polar Programs (OPP); Directorate For Geosciences(National Science Foundation (NSF)NSF - Directorate for Geosciences (GEO)); FIC; NERC(UK Research &amp; Innovation (UKRI)Natural Environment Research Council (NERC))</t>
  </si>
  <si>
    <t>We are grateful to the originators of the many open-access datasets synthesized in this study, including remotely sensed sea-ice data, atmospheric reanalysis model results, sea surface temperature and bathymetry observations, derived climate indices, and many climate model simulations. P.D. was supported by NSF awards 1643285 and 1644159. E.J.S. was supported by NSF award 1602435.</t>
  </si>
  <si>
    <t>10.1038/s41561-019-0420-9</t>
  </si>
  <si>
    <t>IV1SH</t>
  </si>
  <si>
    <t>WOS:000484058100011</t>
  </si>
  <si>
    <t>Singh, GG; Hilmi, N; Bernhardt, JR; Montemayor, AMC; Cashion, M; Ota, Y; Acar, S; Brown, JM; Cottrell, R; Djoundourian, S; González-Espinosa, PC; Lam, V; Marshall, N; Neumann, B; Pascal, N; Reygondeau, G; Rocklöv, J; Safa, A; Virto, LR; Cheung, W</t>
  </si>
  <si>
    <t>Singh, Gerald G.; Hilmi, Nathalie; Bernhardt, Joey R.; Montemayor, Andres M. Cisneros; Cashion, Madeline; Ota, Yoshitaka; Acar, Sevil; Brown, Jason M.; Cottrell, Richard; Djoundourian, Salpie; Gonzalez-Espinosa, Pedro C.; Lam, Vicky; Marshall, Nadine; Neumann, Barbara; Pascal, Nicolas; Reygondeau, Gabriel; Rocklov, Joacim; Safa, Alain; Virto, Laura R.; Cheung, William</t>
  </si>
  <si>
    <t>Climate impacts on the ocean are making the Sustainable Development Goals a moving target travelling away from us</t>
  </si>
  <si>
    <t>PEOPLE AND NATURE</t>
  </si>
  <si>
    <t>climate change; expert elicitation; marine ecosystem services; ocean sustainability; Sustainable Development Goals</t>
  </si>
  <si>
    <t>Climate change is impacting marine ecosystems and their goods and services in diverse ways, which can directly hinder our ability to achieve the Sustainable Development Goals (SDGs), set out under the 2030 Agenda for Sustainable Development. Through expert elicitation and a literature review, we find that most climate change effects have a wide variety of negative consequences across marine ecosystem services, though most studies have highlighted impacts from warming and consequences of marine species. Climate change is expected to negatively influence marine ecosystem services through global stressors-such as ocean warming and acidification-but also by amplifying local and regional stressors such as freshwater runoff and pollution load. Experts indicated that all SDGs would be overwhelmingly negatively affected by these climate impacts on marine ecosystem services, with eliminating hunger being among the most directly negatively affected SDG. Despite these challenges, the SDGs aiming to transform our consumption and production practices and develop clean energy systems are found to be least affected by marine climate impacts. These findings represent a strategic point of entry for countries to achieve sustainable development, given that these two goals are relatively robust to climate impacts and that they are important pre-requisite for other SDGs. Our results suggest that climate change impacts on marine ecosystems are set to make the SDGs a moving target travelling away from us. Effective and urgent action towards sustainable development, including mitigating and adapting to climate impacts on marine systems are important to achieve the SDGs, but the longer this action stalls the more distant these goals will become. A free Plain Language Summary can be found within the Supporting Information of this article. A free Plain Language Summary can be found within the Supporting Information of this article.</t>
  </si>
  <si>
    <t>[Singh, Gerald G.; Bernhardt, Joey R.; Montemayor, Andres M. Cisneros; Cashion, Madeline; Gonzalez-Espinosa, Pedro C.; Lam, Vicky; Reygondeau, Gabriel; Cheung, William] Univ British Columbia, Inst Oceans &amp; Fisheries, Vancouver, BC, Canada; [Hilmi, Nathalie] Ctr Sci Monaco, Monaco, Monaco; [Ota, Yoshitaka] Univ Washington, Sch Marine &amp; Environm Affairs, Seattle, WA 98195 USA; [Acar, Sevil] Bogazici Univ, Ctr Climate Change &amp; Policy Studies, Istanbul, Turkey; [Brown, Jason M.] Simon Fraser Univ, Fac Environm, Burnaby, BC, Canada; [Cottrell, Richard] Univ Tasmania, Ctr Marine Socioecol, Hobart, Tas, Australia; [Cottrell, Richard] Univ Tasmania, Inst Marine &amp; Antarctic Studies, Hobart, Tas, Australia; [Djoundourian, Salpie] Lebanese Amer Univ, Adnan Kassar Sch Business, Dept Econ, Byblos, Lebanon; [Gonzalez-Espinosa, Pedro C.] Univ British Columbia, Geog Dept, Vancouver, BC, Canada; [Marshall, Nadine] James Cook Univ, Coll Sci &amp; Engn, Townsville, Qld, Australia; [Marshall, Nadine] CSIRO, Land &amp; Water Flagship, Townsville, Qld, Australia; [Neumann, Barbara] Inst Adv Sustainabil Studies IASS, Potsdam, Germany; [Pascal, Nicolas] Ctr Rech Insulaires &amp; Observ Environm CRIOBE, Paris, France; [Rocklov, Joacim] Umea Univ, Unit Occupat &amp; Environm Med, Dept Publ Hlth &amp; Clin Med, Umea, Sweden; [Safa, Alain] Skill Partners, Grasse, France; [Virto, Laura R.] Univ West Brittany, Ecole Polytech, Management Res Ctr, i3, Brest, France; [Virto, Laura R.] Univ West Brittany, European Inst Marine Studies, Brest, France</t>
  </si>
  <si>
    <t>University of British Columbia; University of Washington; University of Washington Seattle; Bogazici University; Simon Fraser University; University of Tasmania; University of Tasmania; Lebanese American University; University of British Columbia; James Cook University; Commonwealth Scientific &amp; Industrial Research Organisation (CSIRO); Umea University; Universite de Bretagne Occidentale; Universite de Bretagne Occidentale; Institut Universitaire Europeen de la Mer (IUEM)</t>
  </si>
  <si>
    <t>Singh, GG (corresponding author), Univ British Columbia, Inst Oceans &amp; Fisheries, Vancouver, BC, Canada.</t>
  </si>
  <si>
    <t>g.singh@oceans.ubc.ca</t>
  </si>
  <si>
    <t>Lam, Vicky/AAX-1684-2020; Acar, Sevil/AAM-4824-2021; Neumann, Barbara Edith/B-5232-2009; Reygondeau, Gabriel/G-1903-2017; Bernhardt, Joey/ABG-5168-2021; González-Espinosa, Pedro C./ABG-3787-2021; Acar, Sevil/N-7478-2017; Cheung, William/F-5104-2013; Lam, Vy/KBQ-7534-2024</t>
  </si>
  <si>
    <t>Acar, Sevil/0000-0001-5535-8673; Neumann, Barbara Edith/0000-0003-0015-2314; Bernhardt, Joey/0000-0003-1824-2801; González-Espinosa, Pedro C./0000-0003-3303-7283; Acar, Sevil/0000-0001-5535-8673; Safa, Alain/0000-0001-9720-1471; Recuero Virto, Laura/0000-0002-6428-0916</t>
  </si>
  <si>
    <t>=Nippon Foundation Nereus Program [22R26001]</t>
  </si>
  <si>
    <t>=Nippon Foundation Nereus Program</t>
  </si>
  <si>
    <t>=Nippon Foundation Nereus Program, Grant/Award Number: 22R26001</t>
  </si>
  <si>
    <t>2575-8314</t>
  </si>
  <si>
    <t>PEOPLE NAT</t>
  </si>
  <si>
    <t>People Nat.</t>
  </si>
  <si>
    <t>10.1002/pan3.26</t>
  </si>
  <si>
    <t>VK0XQ</t>
  </si>
  <si>
    <t>WOS:000657184400005</t>
  </si>
  <si>
    <t>Cartlidge, E</t>
  </si>
  <si>
    <t>Cartlidge, Edwin</t>
  </si>
  <si>
    <t>Antarctic snow found to contain stardust</t>
  </si>
  <si>
    <t>PHYSICS WORLD</t>
  </si>
  <si>
    <t>0953-8585</t>
  </si>
  <si>
    <t>PHYS WORLD</t>
  </si>
  <si>
    <t>Phys. World</t>
  </si>
  <si>
    <t>KH7SA</t>
  </si>
  <si>
    <t>WOS:000510848700004</t>
  </si>
  <si>
    <t>Mancilla, A</t>
  </si>
  <si>
    <t>Mancilla, Alejandra</t>
  </si>
  <si>
    <t>A continent of and for whiteness?: White colonialism and the 1959 Antarctic Treaty</t>
  </si>
  <si>
    <t>Antarctica; Colonialism; Outer space; Territorial claims; 1959 Antarctic Treaty</t>
  </si>
  <si>
    <t>There are at least four ways in which Antarctic colonialism was white: it was paradigmatically performed by white men; it consisted in the taking of vast, white expanses of land; it was carried out with a carte blanche (literally, blank card) attitude; and it was presented to the world as a white, innocent adventure. While the first, racial whiteness has been amply problematised, I suggest that the last three illuminate yet other moral wrongs of the Antarctic colonial project. Moreover, they might be constitutive of a larger class of white colonialisms beyond the White Continent.</t>
  </si>
  <si>
    <t>[Mancilla, Alejandra] Univ Oslo, Fac Humanities, Dept Philosophy Class Hist Art &amp; Ideas, Oslo, Norway</t>
  </si>
  <si>
    <t>Mancilla, A (corresponding author), Univ Oslo, Fac Humanities, Dept Philosophy Class Hist Art &amp; Ideas, Oslo, Norway.</t>
  </si>
  <si>
    <t>alejandra.mancilla@ifikk.uio.no</t>
  </si>
  <si>
    <t>Research Council of Norway</t>
  </si>
  <si>
    <t>Research Council of Norway(Research Council of Norway)</t>
  </si>
  <si>
    <t>I am thankful for their comments to the audiences at Terra Conference, Arctic University of Norway; seminar A 60 anos del Tratado Antartico: preguntas y desafios, Universidad de Magallanes, Chile; Indigenous Land Rights and Reconciliation workshop, Queen's University, Canada, and On Its 60th Birthday: Is the Antarctic Treaty in Good Health? workshop, University of Oslo. I am especially indebted to Klaus Dodds for his valuable feedback on a previous version, as well as to two anonymous reviewers of this issue. This article is part of the project Political Philosophy Looks to Antarctica, financed by the Research Council of Norway.</t>
  </si>
  <si>
    <t>10.1017/S003224741900069X</t>
  </si>
  <si>
    <t>WOS:000508432300002</t>
  </si>
  <si>
    <t>Lewis Williams, E</t>
  </si>
  <si>
    <t>Lewis Williams, Elizabeth</t>
  </si>
  <si>
    <t>Creating poetry from the BAS archives: Commentary on, and extracts from, a new poetic sequence, Met Obs</t>
  </si>
  <si>
    <t>values; poetry; meteorology; base diaries; sublime</t>
  </si>
  <si>
    <t>The Antarctic Treaty of 1959, which dedicates the continent to peace and international scientific cooperation in the face of rising east-west tensions, is informed in part by a shared scientific imaginary created by the UK and other nations which maintained scientific bases in Antarctica at the time. In this article, the poet offers works extracted from her longer sequence Met Obs, based on meteorological reports and journals from the UK station at Port Lockroy written in advance of the 1957-1958 International Geophysical Year (IGY). The poems engage with the work and circumstances which helped foster such an imaginary, as well as with the nexus of Antarctic values endorsed by the Treaty, and the later Madrid Protocol. The commentary further contextualises these literary responses in terms of the attitudes of the men working there as well as the wilderness and aesthetic values recognised by the later Protocol on Environmental Protection. The world of the poems may belong to 1950s Antarctica, but their observations reach beyond that experience, making a case for the continued relevance of Treaty values, and for the importance of artistic, as well as scientific, responses to the environment in a world under threat from accelerating climate change and competition for resources.</t>
  </si>
  <si>
    <t>[Lewis Williams, Elizabeth] Univ East Anglia, Sch Literature Drama &amp; Creat Writing, Norwich NR4 7TJ, Norfolk, England</t>
  </si>
  <si>
    <t>University of East Anglia</t>
  </si>
  <si>
    <t>Lewis Williams, E (corresponding author), Univ East Anglia, Sch Literature Drama &amp; Creat Writing, Norwich NR4 7TJ, Norfolk, England.</t>
  </si>
  <si>
    <t>e.lewis-williams@uea.ac.uk</t>
  </si>
  <si>
    <t>Consortium of the Humanities and the Arts South-East England</t>
  </si>
  <si>
    <t>This research was supported by the Consortium of the Humanities and the Arts South-East England.</t>
  </si>
  <si>
    <t>10.1017/S0032247419000512</t>
  </si>
  <si>
    <t>WOS:000508432300009</t>
  </si>
  <si>
    <t>Lavery, C</t>
  </si>
  <si>
    <t>Lavery, Charne</t>
  </si>
  <si>
    <t>Antarctica and Africa: Narrating alternate futures</t>
  </si>
  <si>
    <t>Antarctica; Africa; Literature; Future; Anthropocene</t>
  </si>
  <si>
    <t>Africa has been marginalised in the history of Antarctica, a politics of exclusion (with the exception of Apartheid South Africa) reflected unsurprisingly by a dearth of imaginative, cultural and literary engagement. But, in addition to paleontological and geophysical links, Antarctica has increasing interrelationship with Africa's climactic future. Africa is widely predicted to be the continent worst affected by climate change, and Antarctica and its surrounding Southern Ocean are uniquely implicated as crucial mediators for changing global climate and currents, rainfall patterns, and sea level rise. This paper proposes that there are in fact several ways of imagining the far South from Africa in literary and cultural terms. One is to read against the grain for southern-directed perspectives in existing African literature and the arts, from southern coastlines looking south; another is to reexamine both familiar and new, speculative narratives of African weather - drought, flood and change - for their Antarctic entanglements. In the context of ongoing work on postcolonial Antarctica and calls to decolonise Antarctic studies - such readings can begin to bridge the Antarctica-Africa divide.</t>
  </si>
  <si>
    <t>[Lavery, Charne] Univ Pretoria, Dept English, Private Bag X20, ZA-0028 Hatfield, South Africa; [Lavery, Charne] Univ Witwatersrand, Wits Inst Social &amp; Econ Res, Private Bag 3,POB Wits, ZA-2050 Johannesburg, South Africa</t>
  </si>
  <si>
    <t>University of Pretoria; University of Witwatersrand</t>
  </si>
  <si>
    <t>Lavery, C (corresponding author), Univ Pretoria, Dept English, Private Bag X20, ZA-0028 Hatfield, South Africa.;Lavery, C (corresponding author), Univ Witwatersrand, Wits Inst Social &amp; Econ Res, Private Bag 3,POB Wits, ZA-2050 Johannesburg, South Africa.</t>
  </si>
  <si>
    <t>charnelavery@gmail.com</t>
  </si>
  <si>
    <t>Lavery, Charne/KFB-1151-2024</t>
  </si>
  <si>
    <t>Lavery, Charne/0000-0002-9907-4143</t>
  </si>
  <si>
    <t>South African National Antarctic Programme grant, Southern Oceanic Humanities, from South African National Research Foundation</t>
  </si>
  <si>
    <t>This work was supported by a South African National Antarctic Programme grant, Southern Oceanic Humanities, from the South African National Research Foundation.</t>
  </si>
  <si>
    <t>10.1017/S0032247419000743</t>
  </si>
  <si>
    <t>WOS:000508432300010</t>
  </si>
  <si>
    <t>Vanstappen, N</t>
  </si>
  <si>
    <t>Vanstappen, Nils</t>
  </si>
  <si>
    <t>Legitimacy in Antarctic governance: The stewardship model</t>
  </si>
  <si>
    <t>Stewardship; Antarctic Treaty System; Legitimacy; Authority</t>
  </si>
  <si>
    <t>The international community's interest in the governance of Antarctica has long been recognised. Consideration of this interest has even been one of the pillars of the Antarctic Treaty System's legitimacy. The Antarctic Treaty, for example, famously claims to serve the interest of all mankind. Yet, exactly how the international community is given a voice in Antarctic deliberations remains unclear. This contribution argues that - with the idea of direct United Nations involvement having been squarely rejected - stewardship could best describe the existing governance model as well as offer a normative framework to assess the system's legitimacy.</t>
  </si>
  <si>
    <t>[Vanstappen, Nils] Katholieke Univ Leuven, Leuven Ctr Global Governance Studies, Charles Deberiotstr 34, B-3000 Leuven, Belgium</t>
  </si>
  <si>
    <t>KU Leuven</t>
  </si>
  <si>
    <t>Vanstappen, N (corresponding author), Katholieke Univ Leuven, Leuven Ctr Global Governance Studies, Charles Deberiotstr 34, B-3000 Leuven, Belgium.</t>
  </si>
  <si>
    <t>nils.vanstappen@telenet.be</t>
  </si>
  <si>
    <t>Vanstappen, Nils/0000-0002-4272-335X</t>
  </si>
  <si>
    <t>10.1017/S0032247419000627</t>
  </si>
  <si>
    <t>WOS:000508432300012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</si>
</sst>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75</v>
      </c>
      <c r="F2" t="s">
        <v>76</v>
      </c>
      <c r="G2" t="s">
        <v>74</v>
      </c>
      <c r="H2" t="s">
        <v>74</v>
      </c>
      <c r="I2" t="s">
        <v>77</v>
      </c>
      <c r="J2" t="s">
        <v>78</v>
      </c>
      <c r="K2" t="s">
        <v>79</v>
      </c>
      <c r="L2" t="s">
        <v>74</v>
      </c>
      <c r="M2" t="s">
        <v>80</v>
      </c>
      <c r="N2" t="s">
        <v>81</v>
      </c>
      <c r="O2" t="s">
        <v>82</v>
      </c>
      <c r="P2" t="s">
        <v>83</v>
      </c>
      <c r="Q2" t="s">
        <v>84</v>
      </c>
      <c r="R2" t="s">
        <v>74</v>
      </c>
      <c r="S2" t="s">
        <v>85</v>
      </c>
      <c r="T2" t="s">
        <v>74</v>
      </c>
      <c r="U2" t="s">
        <v>74</v>
      </c>
      <c r="V2" t="s">
        <v>86</v>
      </c>
      <c r="W2" t="s">
        <v>87</v>
      </c>
      <c r="X2" t="s">
        <v>88</v>
      </c>
      <c r="Y2" t="s">
        <v>89</v>
      </c>
      <c r="Z2" t="s">
        <v>90</v>
      </c>
      <c r="AA2" t="s">
        <v>91</v>
      </c>
      <c r="AB2" t="s">
        <v>92</v>
      </c>
      <c r="AC2" t="s">
        <v>93</v>
      </c>
      <c r="AD2" t="s">
        <v>94</v>
      </c>
      <c r="AE2" t="s">
        <v>95</v>
      </c>
      <c r="AF2" t="s">
        <v>74</v>
      </c>
      <c r="AG2">
        <v>20</v>
      </c>
      <c r="AH2">
        <v>5</v>
      </c>
      <c r="AI2">
        <v>5</v>
      </c>
      <c r="AJ2">
        <v>0</v>
      </c>
      <c r="AK2">
        <v>2</v>
      </c>
      <c r="AL2" t="s">
        <v>96</v>
      </c>
      <c r="AM2" t="s">
        <v>97</v>
      </c>
      <c r="AN2" t="s">
        <v>98</v>
      </c>
      <c r="AO2" t="s">
        <v>99</v>
      </c>
      <c r="AP2" t="s">
        <v>74</v>
      </c>
      <c r="AQ2" t="s">
        <v>74</v>
      </c>
      <c r="AR2" t="s">
        <v>100</v>
      </c>
      <c r="AS2" t="s">
        <v>101</v>
      </c>
      <c r="AT2" t="s">
        <v>74</v>
      </c>
      <c r="AU2">
        <v>2020</v>
      </c>
      <c r="AV2">
        <v>606</v>
      </c>
      <c r="AW2" t="s">
        <v>74</v>
      </c>
      <c r="AX2" t="s">
        <v>74</v>
      </c>
      <c r="AY2" t="s">
        <v>74</v>
      </c>
      <c r="AZ2" t="s">
        <v>74</v>
      </c>
      <c r="BA2" t="s">
        <v>74</v>
      </c>
      <c r="BB2" t="s">
        <v>74</v>
      </c>
      <c r="BC2" t="s">
        <v>74</v>
      </c>
      <c r="BD2">
        <v>12060</v>
      </c>
      <c r="BE2" t="s">
        <v>102</v>
      </c>
      <c r="BF2" t="str">
        <f>HYPERLINK("http://dx.doi.org/10.1088/1755-1315/606/1/012060","http://dx.doi.org/10.1088/1755-1315/606/1/012060")</f>
        <v>http://dx.doi.org/10.1088/1755-1315/606/1/012060</v>
      </c>
      <c r="BG2" t="s">
        <v>74</v>
      </c>
      <c r="BH2" t="s">
        <v>74</v>
      </c>
      <c r="BI2">
        <v>10</v>
      </c>
      <c r="BJ2" t="s">
        <v>103</v>
      </c>
      <c r="BK2" t="s">
        <v>104</v>
      </c>
      <c r="BL2" t="s">
        <v>105</v>
      </c>
      <c r="BM2" t="s">
        <v>106</v>
      </c>
      <c r="BN2" t="s">
        <v>74</v>
      </c>
      <c r="BO2" t="s">
        <v>107</v>
      </c>
      <c r="BP2" t="s">
        <v>74</v>
      </c>
      <c r="BQ2" t="s">
        <v>74</v>
      </c>
      <c r="BR2" t="s">
        <v>108</v>
      </c>
      <c r="BS2" t="s">
        <v>109</v>
      </c>
      <c r="BT2" t="str">
        <f>HYPERLINK("https%3A%2F%2Fwww.webofscience.com%2Fwos%2Fwoscc%2Ffull-record%2FWOS:000657330400061","View Full Record in Web of Science")</f>
        <v>View Full Record in Web of Science</v>
      </c>
    </row>
    <row r="3" spans="1:72" x14ac:dyDescent="0.15">
      <c r="A3" t="s">
        <v>110</v>
      </c>
      <c r="B3" t="s">
        <v>111</v>
      </c>
      <c r="C3" t="s">
        <v>74</v>
      </c>
      <c r="D3" t="s">
        <v>112</v>
      </c>
      <c r="E3" t="s">
        <v>74</v>
      </c>
      <c r="F3" t="s">
        <v>113</v>
      </c>
      <c r="G3" t="s">
        <v>74</v>
      </c>
      <c r="H3" t="s">
        <v>74</v>
      </c>
      <c r="I3" t="s">
        <v>114</v>
      </c>
      <c r="J3" t="s">
        <v>115</v>
      </c>
      <c r="K3" t="s">
        <v>116</v>
      </c>
      <c r="L3" t="s">
        <v>74</v>
      </c>
      <c r="M3" t="s">
        <v>80</v>
      </c>
      <c r="N3" t="s">
        <v>117</v>
      </c>
      <c r="O3" t="s">
        <v>74</v>
      </c>
      <c r="P3" t="s">
        <v>74</v>
      </c>
      <c r="Q3" t="s">
        <v>74</v>
      </c>
      <c r="R3" t="s">
        <v>74</v>
      </c>
      <c r="S3" t="s">
        <v>74</v>
      </c>
      <c r="T3" t="s">
        <v>118</v>
      </c>
      <c r="U3" t="s">
        <v>74</v>
      </c>
      <c r="V3" t="s">
        <v>119</v>
      </c>
      <c r="W3" t="s">
        <v>120</v>
      </c>
      <c r="X3" t="s">
        <v>121</v>
      </c>
      <c r="Y3" t="s">
        <v>122</v>
      </c>
      <c r="Z3" t="s">
        <v>74</v>
      </c>
      <c r="AA3" t="s">
        <v>74</v>
      </c>
      <c r="AB3" t="s">
        <v>74</v>
      </c>
      <c r="AC3" t="s">
        <v>74</v>
      </c>
      <c r="AD3" t="s">
        <v>74</v>
      </c>
      <c r="AE3" t="s">
        <v>74</v>
      </c>
      <c r="AF3" t="s">
        <v>74</v>
      </c>
      <c r="AG3">
        <v>16</v>
      </c>
      <c r="AH3">
        <v>0</v>
      </c>
      <c r="AI3">
        <v>0</v>
      </c>
      <c r="AJ3">
        <v>0</v>
      </c>
      <c r="AK3">
        <v>0</v>
      </c>
      <c r="AL3" t="s">
        <v>123</v>
      </c>
      <c r="AM3" t="s">
        <v>124</v>
      </c>
      <c r="AN3" t="s">
        <v>125</v>
      </c>
      <c r="AO3" t="s">
        <v>126</v>
      </c>
      <c r="AP3" t="s">
        <v>74</v>
      </c>
      <c r="AQ3" t="s">
        <v>127</v>
      </c>
      <c r="AR3" t="s">
        <v>128</v>
      </c>
      <c r="AS3" t="s">
        <v>74</v>
      </c>
      <c r="AT3" t="s">
        <v>74</v>
      </c>
      <c r="AU3">
        <v>2020</v>
      </c>
      <c r="AV3">
        <v>23</v>
      </c>
      <c r="AW3" t="s">
        <v>74</v>
      </c>
      <c r="AX3" t="s">
        <v>74</v>
      </c>
      <c r="AY3" t="s">
        <v>74</v>
      </c>
      <c r="AZ3" t="s">
        <v>74</v>
      </c>
      <c r="BA3" t="s">
        <v>74</v>
      </c>
      <c r="BB3">
        <v>125</v>
      </c>
      <c r="BC3">
        <v>138</v>
      </c>
      <c r="BD3" t="s">
        <v>74</v>
      </c>
      <c r="BE3" t="s">
        <v>129</v>
      </c>
      <c r="BF3" t="str">
        <f>HYPERLINK("http://dx.doi.org/10.1163/9789004412026_010","http://dx.doi.org/10.1163/9789004412026_010")</f>
        <v>http://dx.doi.org/10.1163/9789004412026_010</v>
      </c>
      <c r="BG3" t="s">
        <v>74</v>
      </c>
      <c r="BH3" t="s">
        <v>74</v>
      </c>
      <c r="BI3">
        <v>14</v>
      </c>
      <c r="BJ3" t="s">
        <v>74</v>
      </c>
      <c r="BK3" t="s">
        <v>130</v>
      </c>
      <c r="BL3" t="s">
        <v>74</v>
      </c>
      <c r="BM3" t="s">
        <v>131</v>
      </c>
      <c r="BN3" t="s">
        <v>74</v>
      </c>
      <c r="BO3" t="s">
        <v>74</v>
      </c>
      <c r="BP3" t="s">
        <v>74</v>
      </c>
      <c r="BQ3" t="s">
        <v>74</v>
      </c>
      <c r="BR3" t="s">
        <v>108</v>
      </c>
      <c r="BS3" t="s">
        <v>132</v>
      </c>
      <c r="BT3" t="str">
        <f>HYPERLINK("https%3A%2F%2Fwww.webofscience.com%2Fwos%2Fwoscc%2Ffull-record%2FWOS:000876281600008","View Full Record in Web of Science")</f>
        <v>View Full Record in Web of Science</v>
      </c>
    </row>
    <row r="4" spans="1:72" x14ac:dyDescent="0.15">
      <c r="A4" t="s">
        <v>133</v>
      </c>
      <c r="B4" t="s">
        <v>134</v>
      </c>
      <c r="C4" t="s">
        <v>74</v>
      </c>
      <c r="D4" t="s">
        <v>74</v>
      </c>
      <c r="E4" t="s">
        <v>74</v>
      </c>
      <c r="F4" t="s">
        <v>135</v>
      </c>
      <c r="G4" t="s">
        <v>74</v>
      </c>
      <c r="H4" t="s">
        <v>74</v>
      </c>
      <c r="I4" t="s">
        <v>136</v>
      </c>
      <c r="J4" t="s">
        <v>137</v>
      </c>
      <c r="K4" t="s">
        <v>74</v>
      </c>
      <c r="L4" t="s">
        <v>74</v>
      </c>
      <c r="M4" t="s">
        <v>80</v>
      </c>
      <c r="N4" t="s">
        <v>138</v>
      </c>
      <c r="O4" t="s">
        <v>74</v>
      </c>
      <c r="P4" t="s">
        <v>74</v>
      </c>
      <c r="Q4" t="s">
        <v>74</v>
      </c>
      <c r="R4" t="s">
        <v>74</v>
      </c>
      <c r="S4" t="s">
        <v>74</v>
      </c>
      <c r="T4" t="s">
        <v>139</v>
      </c>
      <c r="U4" t="s">
        <v>140</v>
      </c>
      <c r="V4" t="s">
        <v>141</v>
      </c>
      <c r="W4" t="s">
        <v>142</v>
      </c>
      <c r="X4" t="s">
        <v>143</v>
      </c>
      <c r="Y4" t="s">
        <v>144</v>
      </c>
      <c r="Z4" t="s">
        <v>145</v>
      </c>
      <c r="AA4" t="s">
        <v>146</v>
      </c>
      <c r="AB4" t="s">
        <v>147</v>
      </c>
      <c r="AC4" t="s">
        <v>148</v>
      </c>
      <c r="AD4" t="s">
        <v>149</v>
      </c>
      <c r="AE4" t="s">
        <v>150</v>
      </c>
      <c r="AF4" t="s">
        <v>74</v>
      </c>
      <c r="AG4">
        <v>45</v>
      </c>
      <c r="AH4">
        <v>5</v>
      </c>
      <c r="AI4">
        <v>5</v>
      </c>
      <c r="AJ4">
        <v>0</v>
      </c>
      <c r="AK4">
        <v>0</v>
      </c>
      <c r="AL4" t="s">
        <v>151</v>
      </c>
      <c r="AM4" t="s">
        <v>152</v>
      </c>
      <c r="AN4" t="s">
        <v>153</v>
      </c>
      <c r="AO4" t="s">
        <v>154</v>
      </c>
      <c r="AP4" t="s">
        <v>155</v>
      </c>
      <c r="AQ4" t="s">
        <v>74</v>
      </c>
      <c r="AR4" t="s">
        <v>156</v>
      </c>
      <c r="AS4" t="s">
        <v>157</v>
      </c>
      <c r="AT4" t="s">
        <v>74</v>
      </c>
      <c r="AU4">
        <v>2020</v>
      </c>
      <c r="AV4">
        <v>10</v>
      </c>
      <c r="AW4">
        <v>1</v>
      </c>
      <c r="AX4" t="s">
        <v>74</v>
      </c>
      <c r="AY4" t="s">
        <v>74</v>
      </c>
      <c r="AZ4" t="s">
        <v>74</v>
      </c>
      <c r="BA4" t="s">
        <v>74</v>
      </c>
      <c r="BB4">
        <v>7</v>
      </c>
      <c r="BC4">
        <v>22</v>
      </c>
      <c r="BD4" t="s">
        <v>74</v>
      </c>
      <c r="BE4" t="s">
        <v>158</v>
      </c>
      <c r="BF4" t="str">
        <f>HYPERLINK("http://dx.doi.org/10.5817/CPR2020-1-2","http://dx.doi.org/10.5817/CPR2020-1-2")</f>
        <v>http://dx.doi.org/10.5817/CPR2020-1-2</v>
      </c>
      <c r="BG4" t="s">
        <v>74</v>
      </c>
      <c r="BH4" t="s">
        <v>74</v>
      </c>
      <c r="BI4">
        <v>16</v>
      </c>
      <c r="BJ4" t="s">
        <v>159</v>
      </c>
      <c r="BK4" t="s">
        <v>160</v>
      </c>
      <c r="BL4" t="s">
        <v>161</v>
      </c>
      <c r="BM4" t="s">
        <v>162</v>
      </c>
      <c r="BN4" t="s">
        <v>74</v>
      </c>
      <c r="BO4" t="s">
        <v>107</v>
      </c>
      <c r="BP4" t="s">
        <v>74</v>
      </c>
      <c r="BQ4" t="s">
        <v>74</v>
      </c>
      <c r="BR4" t="s">
        <v>108</v>
      </c>
      <c r="BS4" t="s">
        <v>163</v>
      </c>
      <c r="BT4" t="str">
        <f>HYPERLINK("https%3A%2F%2Fwww.webofscience.com%2Fwos%2Fwoscc%2Ffull-record%2FWOS:000937824300002","View Full Record in Web of Science")</f>
        <v>View Full Record in Web of Science</v>
      </c>
    </row>
    <row r="5" spans="1:72" x14ac:dyDescent="0.15">
      <c r="A5" t="s">
        <v>133</v>
      </c>
      <c r="B5" t="s">
        <v>164</v>
      </c>
      <c r="C5" t="s">
        <v>74</v>
      </c>
      <c r="D5" t="s">
        <v>74</v>
      </c>
      <c r="E5" t="s">
        <v>74</v>
      </c>
      <c r="F5" t="s">
        <v>165</v>
      </c>
      <c r="G5" t="s">
        <v>74</v>
      </c>
      <c r="H5" t="s">
        <v>74</v>
      </c>
      <c r="I5" t="s">
        <v>166</v>
      </c>
      <c r="J5" t="s">
        <v>137</v>
      </c>
      <c r="K5" t="s">
        <v>74</v>
      </c>
      <c r="L5" t="s">
        <v>74</v>
      </c>
      <c r="M5" t="s">
        <v>80</v>
      </c>
      <c r="N5" t="s">
        <v>138</v>
      </c>
      <c r="O5" t="s">
        <v>74</v>
      </c>
      <c r="P5" t="s">
        <v>74</v>
      </c>
      <c r="Q5" t="s">
        <v>74</v>
      </c>
      <c r="R5" t="s">
        <v>74</v>
      </c>
      <c r="S5" t="s">
        <v>74</v>
      </c>
      <c r="T5" t="s">
        <v>167</v>
      </c>
      <c r="U5" t="s">
        <v>74</v>
      </c>
      <c r="V5" t="s">
        <v>168</v>
      </c>
      <c r="W5" t="s">
        <v>169</v>
      </c>
      <c r="X5" t="s">
        <v>170</v>
      </c>
      <c r="Y5" t="s">
        <v>171</v>
      </c>
      <c r="Z5" t="s">
        <v>172</v>
      </c>
      <c r="AA5" t="s">
        <v>74</v>
      </c>
      <c r="AB5" t="s">
        <v>74</v>
      </c>
      <c r="AC5" t="s">
        <v>173</v>
      </c>
      <c r="AD5" t="s">
        <v>174</v>
      </c>
      <c r="AE5" t="s">
        <v>175</v>
      </c>
      <c r="AF5" t="s">
        <v>74</v>
      </c>
      <c r="AG5">
        <v>29</v>
      </c>
      <c r="AH5">
        <v>6</v>
      </c>
      <c r="AI5">
        <v>6</v>
      </c>
      <c r="AJ5">
        <v>1</v>
      </c>
      <c r="AK5">
        <v>2</v>
      </c>
      <c r="AL5" t="s">
        <v>151</v>
      </c>
      <c r="AM5" t="s">
        <v>152</v>
      </c>
      <c r="AN5" t="s">
        <v>153</v>
      </c>
      <c r="AO5" t="s">
        <v>154</v>
      </c>
      <c r="AP5" t="s">
        <v>155</v>
      </c>
      <c r="AQ5" t="s">
        <v>74</v>
      </c>
      <c r="AR5" t="s">
        <v>156</v>
      </c>
      <c r="AS5" t="s">
        <v>157</v>
      </c>
      <c r="AT5" t="s">
        <v>74</v>
      </c>
      <c r="AU5">
        <v>2020</v>
      </c>
      <c r="AV5">
        <v>10</v>
      </c>
      <c r="AW5">
        <v>1</v>
      </c>
      <c r="AX5" t="s">
        <v>74</v>
      </c>
      <c r="AY5" t="s">
        <v>74</v>
      </c>
      <c r="AZ5" t="s">
        <v>74</v>
      </c>
      <c r="BA5" t="s">
        <v>74</v>
      </c>
      <c r="BB5">
        <v>50</v>
      </c>
      <c r="BC5">
        <v>58</v>
      </c>
      <c r="BD5" t="s">
        <v>74</v>
      </c>
      <c r="BE5" t="s">
        <v>176</v>
      </c>
      <c r="BF5" t="str">
        <f>HYPERLINK("http://dx.doi.org/10.5817/CPR2020-1-5","http://dx.doi.org/10.5817/CPR2020-1-5")</f>
        <v>http://dx.doi.org/10.5817/CPR2020-1-5</v>
      </c>
      <c r="BG5" t="s">
        <v>74</v>
      </c>
      <c r="BH5" t="s">
        <v>74</v>
      </c>
      <c r="BI5">
        <v>9</v>
      </c>
      <c r="BJ5" t="s">
        <v>159</v>
      </c>
      <c r="BK5" t="s">
        <v>160</v>
      </c>
      <c r="BL5" t="s">
        <v>161</v>
      </c>
      <c r="BM5" t="s">
        <v>162</v>
      </c>
      <c r="BN5" t="s">
        <v>74</v>
      </c>
      <c r="BO5" t="s">
        <v>107</v>
      </c>
      <c r="BP5" t="s">
        <v>74</v>
      </c>
      <c r="BQ5" t="s">
        <v>74</v>
      </c>
      <c r="BR5" t="s">
        <v>108</v>
      </c>
      <c r="BS5" t="s">
        <v>177</v>
      </c>
      <c r="BT5" t="str">
        <f>HYPERLINK("https%3A%2F%2Fwww.webofscience.com%2Fwos%2Fwoscc%2Ffull-record%2FWOS:000937824300005","View Full Record in Web of Science")</f>
        <v>View Full Record in Web of Science</v>
      </c>
    </row>
    <row r="6" spans="1:72" x14ac:dyDescent="0.15">
      <c r="A6" t="s">
        <v>133</v>
      </c>
      <c r="B6" t="s">
        <v>178</v>
      </c>
      <c r="C6" t="s">
        <v>74</v>
      </c>
      <c r="D6" t="s">
        <v>74</v>
      </c>
      <c r="E6" t="s">
        <v>74</v>
      </c>
      <c r="F6" t="s">
        <v>179</v>
      </c>
      <c r="G6" t="s">
        <v>74</v>
      </c>
      <c r="H6" t="s">
        <v>74</v>
      </c>
      <c r="I6" t="s">
        <v>180</v>
      </c>
      <c r="J6" t="s">
        <v>137</v>
      </c>
      <c r="K6" t="s">
        <v>74</v>
      </c>
      <c r="L6" t="s">
        <v>74</v>
      </c>
      <c r="M6" t="s">
        <v>80</v>
      </c>
      <c r="N6" t="s">
        <v>138</v>
      </c>
      <c r="O6" t="s">
        <v>74</v>
      </c>
      <c r="P6" t="s">
        <v>74</v>
      </c>
      <c r="Q6" t="s">
        <v>74</v>
      </c>
      <c r="R6" t="s">
        <v>74</v>
      </c>
      <c r="S6" t="s">
        <v>74</v>
      </c>
      <c r="T6" t="s">
        <v>181</v>
      </c>
      <c r="U6" t="s">
        <v>74</v>
      </c>
      <c r="V6" t="s">
        <v>182</v>
      </c>
      <c r="W6" t="s">
        <v>183</v>
      </c>
      <c r="X6" t="s">
        <v>184</v>
      </c>
      <c r="Y6" t="s">
        <v>185</v>
      </c>
      <c r="Z6" t="s">
        <v>186</v>
      </c>
      <c r="AA6" t="s">
        <v>187</v>
      </c>
      <c r="AB6" t="s">
        <v>188</v>
      </c>
      <c r="AC6" t="s">
        <v>189</v>
      </c>
      <c r="AD6" t="s">
        <v>190</v>
      </c>
      <c r="AE6" t="s">
        <v>191</v>
      </c>
      <c r="AF6" t="s">
        <v>74</v>
      </c>
      <c r="AG6">
        <v>27</v>
      </c>
      <c r="AH6">
        <v>4</v>
      </c>
      <c r="AI6">
        <v>4</v>
      </c>
      <c r="AJ6">
        <v>0</v>
      </c>
      <c r="AK6">
        <v>0</v>
      </c>
      <c r="AL6" t="s">
        <v>151</v>
      </c>
      <c r="AM6" t="s">
        <v>152</v>
      </c>
      <c r="AN6" t="s">
        <v>153</v>
      </c>
      <c r="AO6" t="s">
        <v>154</v>
      </c>
      <c r="AP6" t="s">
        <v>155</v>
      </c>
      <c r="AQ6" t="s">
        <v>74</v>
      </c>
      <c r="AR6" t="s">
        <v>156</v>
      </c>
      <c r="AS6" t="s">
        <v>157</v>
      </c>
      <c r="AT6" t="s">
        <v>74</v>
      </c>
      <c r="AU6">
        <v>2020</v>
      </c>
      <c r="AV6">
        <v>10</v>
      </c>
      <c r="AW6">
        <v>2</v>
      </c>
      <c r="AX6" t="s">
        <v>74</v>
      </c>
      <c r="AY6" t="s">
        <v>74</v>
      </c>
      <c r="AZ6" t="s">
        <v>74</v>
      </c>
      <c r="BA6" t="s">
        <v>74</v>
      </c>
      <c r="BB6">
        <v>147</v>
      </c>
      <c r="BC6">
        <v>152</v>
      </c>
      <c r="BD6" t="s">
        <v>74</v>
      </c>
      <c r="BE6" t="s">
        <v>192</v>
      </c>
      <c r="BF6" t="str">
        <f>HYPERLINK("http://dx.doi.org/10.5817/CPR2020-2-11","http://dx.doi.org/10.5817/CPR2020-2-11")</f>
        <v>http://dx.doi.org/10.5817/CPR2020-2-11</v>
      </c>
      <c r="BG6" t="s">
        <v>74</v>
      </c>
      <c r="BH6" t="s">
        <v>74</v>
      </c>
      <c r="BI6">
        <v>6</v>
      </c>
      <c r="BJ6" t="s">
        <v>159</v>
      </c>
      <c r="BK6" t="s">
        <v>160</v>
      </c>
      <c r="BL6" t="s">
        <v>161</v>
      </c>
      <c r="BM6" t="s">
        <v>193</v>
      </c>
      <c r="BN6" t="s">
        <v>74</v>
      </c>
      <c r="BO6" t="s">
        <v>107</v>
      </c>
      <c r="BP6" t="s">
        <v>74</v>
      </c>
      <c r="BQ6" t="s">
        <v>74</v>
      </c>
      <c r="BR6" t="s">
        <v>108</v>
      </c>
      <c r="BS6" t="s">
        <v>194</v>
      </c>
      <c r="BT6" t="str">
        <f>HYPERLINK("https%3A%2F%2Fwww.webofscience.com%2Fwos%2Fwoscc%2Ffull-record%2FWOS:000937831200001","View Full Record in Web of Science")</f>
        <v>View Full Record in Web of Science</v>
      </c>
    </row>
    <row r="7" spans="1:72" x14ac:dyDescent="0.15">
      <c r="A7" t="s">
        <v>133</v>
      </c>
      <c r="B7" t="s">
        <v>195</v>
      </c>
      <c r="C7" t="s">
        <v>74</v>
      </c>
      <c r="D7" t="s">
        <v>74</v>
      </c>
      <c r="E7" t="s">
        <v>74</v>
      </c>
      <c r="F7" t="s">
        <v>196</v>
      </c>
      <c r="G7" t="s">
        <v>74</v>
      </c>
      <c r="H7" t="s">
        <v>74</v>
      </c>
      <c r="I7" t="s">
        <v>197</v>
      </c>
      <c r="J7" t="s">
        <v>137</v>
      </c>
      <c r="K7" t="s">
        <v>74</v>
      </c>
      <c r="L7" t="s">
        <v>74</v>
      </c>
      <c r="M7" t="s">
        <v>80</v>
      </c>
      <c r="N7" t="s">
        <v>138</v>
      </c>
      <c r="O7" t="s">
        <v>74</v>
      </c>
      <c r="P7" t="s">
        <v>74</v>
      </c>
      <c r="Q7" t="s">
        <v>74</v>
      </c>
      <c r="R7" t="s">
        <v>74</v>
      </c>
      <c r="S7" t="s">
        <v>74</v>
      </c>
      <c r="T7" t="s">
        <v>198</v>
      </c>
      <c r="U7" t="s">
        <v>74</v>
      </c>
      <c r="V7" t="s">
        <v>199</v>
      </c>
      <c r="W7" t="s">
        <v>200</v>
      </c>
      <c r="X7" t="s">
        <v>201</v>
      </c>
      <c r="Y7" t="s">
        <v>202</v>
      </c>
      <c r="Z7" t="s">
        <v>203</v>
      </c>
      <c r="AA7" t="s">
        <v>74</v>
      </c>
      <c r="AB7" t="s">
        <v>74</v>
      </c>
      <c r="AC7" t="s">
        <v>204</v>
      </c>
      <c r="AD7" t="s">
        <v>205</v>
      </c>
      <c r="AE7" t="s">
        <v>206</v>
      </c>
      <c r="AF7" t="s">
        <v>74</v>
      </c>
      <c r="AG7">
        <v>24</v>
      </c>
      <c r="AH7">
        <v>0</v>
      </c>
      <c r="AI7">
        <v>0</v>
      </c>
      <c r="AJ7">
        <v>0</v>
      </c>
      <c r="AK7">
        <v>1</v>
      </c>
      <c r="AL7" t="s">
        <v>151</v>
      </c>
      <c r="AM7" t="s">
        <v>152</v>
      </c>
      <c r="AN7" t="s">
        <v>153</v>
      </c>
      <c r="AO7" t="s">
        <v>154</v>
      </c>
      <c r="AP7" t="s">
        <v>155</v>
      </c>
      <c r="AQ7" t="s">
        <v>74</v>
      </c>
      <c r="AR7" t="s">
        <v>156</v>
      </c>
      <c r="AS7" t="s">
        <v>157</v>
      </c>
      <c r="AT7" t="s">
        <v>74</v>
      </c>
      <c r="AU7">
        <v>2020</v>
      </c>
      <c r="AV7">
        <v>10</v>
      </c>
      <c r="AW7">
        <v>2</v>
      </c>
      <c r="AX7" t="s">
        <v>74</v>
      </c>
      <c r="AY7" t="s">
        <v>74</v>
      </c>
      <c r="AZ7" t="s">
        <v>74</v>
      </c>
      <c r="BA7" t="s">
        <v>74</v>
      </c>
      <c r="BB7">
        <v>161</v>
      </c>
      <c r="BC7">
        <v>168</v>
      </c>
      <c r="BD7" t="s">
        <v>74</v>
      </c>
      <c r="BE7" t="s">
        <v>207</v>
      </c>
      <c r="BF7" t="str">
        <f>HYPERLINK("http://dx.doi.org/10.5817/CPR2020-2-13","http://dx.doi.org/10.5817/CPR2020-2-13")</f>
        <v>http://dx.doi.org/10.5817/CPR2020-2-13</v>
      </c>
      <c r="BG7" t="s">
        <v>74</v>
      </c>
      <c r="BH7" t="s">
        <v>74</v>
      </c>
      <c r="BI7">
        <v>8</v>
      </c>
      <c r="BJ7" t="s">
        <v>159</v>
      </c>
      <c r="BK7" t="s">
        <v>160</v>
      </c>
      <c r="BL7" t="s">
        <v>161</v>
      </c>
      <c r="BM7" t="s">
        <v>193</v>
      </c>
      <c r="BN7" t="s">
        <v>74</v>
      </c>
      <c r="BO7" t="s">
        <v>107</v>
      </c>
      <c r="BP7" t="s">
        <v>74</v>
      </c>
      <c r="BQ7" t="s">
        <v>74</v>
      </c>
      <c r="BR7" t="s">
        <v>108</v>
      </c>
      <c r="BS7" t="s">
        <v>208</v>
      </c>
      <c r="BT7" t="str">
        <f>HYPERLINK("https%3A%2F%2Fwww.webofscience.com%2Fwos%2Fwoscc%2Ffull-record%2FWOS:000937831200003","View Full Record in Web of Science")</f>
        <v>View Full Record in Web of Science</v>
      </c>
    </row>
    <row r="8" spans="1:72" x14ac:dyDescent="0.15">
      <c r="A8" t="s">
        <v>133</v>
      </c>
      <c r="B8" t="s">
        <v>209</v>
      </c>
      <c r="C8" t="s">
        <v>74</v>
      </c>
      <c r="D8" t="s">
        <v>74</v>
      </c>
      <c r="E8" t="s">
        <v>74</v>
      </c>
      <c r="F8" t="s">
        <v>210</v>
      </c>
      <c r="G8" t="s">
        <v>74</v>
      </c>
      <c r="H8" t="s">
        <v>74</v>
      </c>
      <c r="I8" t="s">
        <v>211</v>
      </c>
      <c r="J8" t="s">
        <v>137</v>
      </c>
      <c r="K8" t="s">
        <v>74</v>
      </c>
      <c r="L8" t="s">
        <v>74</v>
      </c>
      <c r="M8" t="s">
        <v>80</v>
      </c>
      <c r="N8" t="s">
        <v>138</v>
      </c>
      <c r="O8" t="s">
        <v>74</v>
      </c>
      <c r="P8" t="s">
        <v>74</v>
      </c>
      <c r="Q8" t="s">
        <v>74</v>
      </c>
      <c r="R8" t="s">
        <v>74</v>
      </c>
      <c r="S8" t="s">
        <v>74</v>
      </c>
      <c r="T8" t="s">
        <v>212</v>
      </c>
      <c r="U8" t="s">
        <v>74</v>
      </c>
      <c r="V8" t="s">
        <v>213</v>
      </c>
      <c r="W8" t="s">
        <v>214</v>
      </c>
      <c r="X8" t="s">
        <v>184</v>
      </c>
      <c r="Y8" t="s">
        <v>215</v>
      </c>
      <c r="Z8" t="s">
        <v>216</v>
      </c>
      <c r="AA8" t="s">
        <v>217</v>
      </c>
      <c r="AB8" t="s">
        <v>218</v>
      </c>
      <c r="AC8" t="s">
        <v>219</v>
      </c>
      <c r="AD8" t="s">
        <v>220</v>
      </c>
      <c r="AE8" t="s">
        <v>221</v>
      </c>
      <c r="AF8" t="s">
        <v>74</v>
      </c>
      <c r="AG8">
        <v>80</v>
      </c>
      <c r="AH8">
        <v>1</v>
      </c>
      <c r="AI8">
        <v>2</v>
      </c>
      <c r="AJ8">
        <v>0</v>
      </c>
      <c r="AK8">
        <v>0</v>
      </c>
      <c r="AL8" t="s">
        <v>151</v>
      </c>
      <c r="AM8" t="s">
        <v>152</v>
      </c>
      <c r="AN8" t="s">
        <v>153</v>
      </c>
      <c r="AO8" t="s">
        <v>154</v>
      </c>
      <c r="AP8" t="s">
        <v>155</v>
      </c>
      <c r="AQ8" t="s">
        <v>74</v>
      </c>
      <c r="AR8" t="s">
        <v>156</v>
      </c>
      <c r="AS8" t="s">
        <v>157</v>
      </c>
      <c r="AT8" t="s">
        <v>74</v>
      </c>
      <c r="AU8">
        <v>2020</v>
      </c>
      <c r="AV8">
        <v>10</v>
      </c>
      <c r="AW8">
        <v>2</v>
      </c>
      <c r="AX8" t="s">
        <v>74</v>
      </c>
      <c r="AY8" t="s">
        <v>74</v>
      </c>
      <c r="AZ8" t="s">
        <v>74</v>
      </c>
      <c r="BA8" t="s">
        <v>74</v>
      </c>
      <c r="BB8">
        <v>203</v>
      </c>
      <c r="BC8">
        <v>225</v>
      </c>
      <c r="BD8" t="s">
        <v>74</v>
      </c>
      <c r="BE8" t="s">
        <v>222</v>
      </c>
      <c r="BF8" t="str">
        <f>HYPERLINK("http://dx.doi.org/10.5817/CPR2020-2-16","http://dx.doi.org/10.5817/CPR2020-2-16")</f>
        <v>http://dx.doi.org/10.5817/CPR2020-2-16</v>
      </c>
      <c r="BG8" t="s">
        <v>74</v>
      </c>
      <c r="BH8" t="s">
        <v>74</v>
      </c>
      <c r="BI8">
        <v>23</v>
      </c>
      <c r="BJ8" t="s">
        <v>159</v>
      </c>
      <c r="BK8" t="s">
        <v>160</v>
      </c>
      <c r="BL8" t="s">
        <v>161</v>
      </c>
      <c r="BM8" t="s">
        <v>193</v>
      </c>
      <c r="BN8" t="s">
        <v>74</v>
      </c>
      <c r="BO8" t="s">
        <v>107</v>
      </c>
      <c r="BP8" t="s">
        <v>74</v>
      </c>
      <c r="BQ8" t="s">
        <v>74</v>
      </c>
      <c r="BR8" t="s">
        <v>108</v>
      </c>
      <c r="BS8" t="s">
        <v>223</v>
      </c>
      <c r="BT8" t="str">
        <f>HYPERLINK("https%3A%2F%2Fwww.webofscience.com%2Fwos%2Fwoscc%2Ffull-record%2FWOS:000937831200006","View Full Record in Web of Science")</f>
        <v>View Full Record in Web of Science</v>
      </c>
    </row>
    <row r="9" spans="1:72" x14ac:dyDescent="0.15">
      <c r="A9" t="s">
        <v>133</v>
      </c>
      <c r="B9" t="s">
        <v>224</v>
      </c>
      <c r="C9" t="s">
        <v>74</v>
      </c>
      <c r="D9" t="s">
        <v>74</v>
      </c>
      <c r="E9" t="s">
        <v>74</v>
      </c>
      <c r="F9" t="s">
        <v>225</v>
      </c>
      <c r="G9" t="s">
        <v>74</v>
      </c>
      <c r="H9" t="s">
        <v>74</v>
      </c>
      <c r="I9" t="s">
        <v>226</v>
      </c>
      <c r="J9" t="s">
        <v>137</v>
      </c>
      <c r="K9" t="s">
        <v>74</v>
      </c>
      <c r="L9" t="s">
        <v>74</v>
      </c>
      <c r="M9" t="s">
        <v>80</v>
      </c>
      <c r="N9" t="s">
        <v>138</v>
      </c>
      <c r="O9" t="s">
        <v>74</v>
      </c>
      <c r="P9" t="s">
        <v>74</v>
      </c>
      <c r="Q9" t="s">
        <v>74</v>
      </c>
      <c r="R9" t="s">
        <v>74</v>
      </c>
      <c r="S9" t="s">
        <v>74</v>
      </c>
      <c r="T9" t="s">
        <v>227</v>
      </c>
      <c r="U9" t="s">
        <v>74</v>
      </c>
      <c r="V9" t="s">
        <v>228</v>
      </c>
      <c r="W9" t="s">
        <v>229</v>
      </c>
      <c r="X9" t="s">
        <v>230</v>
      </c>
      <c r="Y9" t="s">
        <v>231</v>
      </c>
      <c r="Z9" t="s">
        <v>232</v>
      </c>
      <c r="AA9" t="s">
        <v>74</v>
      </c>
      <c r="AB9" t="s">
        <v>74</v>
      </c>
      <c r="AC9" t="s">
        <v>233</v>
      </c>
      <c r="AD9" t="s">
        <v>234</v>
      </c>
      <c r="AE9" t="s">
        <v>235</v>
      </c>
      <c r="AF9" t="s">
        <v>74</v>
      </c>
      <c r="AG9">
        <v>34</v>
      </c>
      <c r="AH9">
        <v>2</v>
      </c>
      <c r="AI9">
        <v>2</v>
      </c>
      <c r="AJ9">
        <v>1</v>
      </c>
      <c r="AK9">
        <v>3</v>
      </c>
      <c r="AL9" t="s">
        <v>151</v>
      </c>
      <c r="AM9" t="s">
        <v>152</v>
      </c>
      <c r="AN9" t="s">
        <v>153</v>
      </c>
      <c r="AO9" t="s">
        <v>154</v>
      </c>
      <c r="AP9" t="s">
        <v>155</v>
      </c>
      <c r="AQ9" t="s">
        <v>74</v>
      </c>
      <c r="AR9" t="s">
        <v>156</v>
      </c>
      <c r="AS9" t="s">
        <v>157</v>
      </c>
      <c r="AT9" t="s">
        <v>74</v>
      </c>
      <c r="AU9">
        <v>2020</v>
      </c>
      <c r="AV9">
        <v>10</v>
      </c>
      <c r="AW9">
        <v>2</v>
      </c>
      <c r="AX9" t="s">
        <v>74</v>
      </c>
      <c r="AY9" t="s">
        <v>74</v>
      </c>
      <c r="AZ9" t="s">
        <v>74</v>
      </c>
      <c r="BA9" t="s">
        <v>74</v>
      </c>
      <c r="BB9">
        <v>226</v>
      </c>
      <c r="BC9">
        <v>235</v>
      </c>
      <c r="BD9" t="s">
        <v>74</v>
      </c>
      <c r="BE9" t="s">
        <v>236</v>
      </c>
      <c r="BF9" t="str">
        <f>HYPERLINK("http://dx.doi.org/10.5817/CPR2020-2-17","http://dx.doi.org/10.5817/CPR2020-2-17")</f>
        <v>http://dx.doi.org/10.5817/CPR2020-2-17</v>
      </c>
      <c r="BG9" t="s">
        <v>74</v>
      </c>
      <c r="BH9" t="s">
        <v>74</v>
      </c>
      <c r="BI9">
        <v>10</v>
      </c>
      <c r="BJ9" t="s">
        <v>159</v>
      </c>
      <c r="BK9" t="s">
        <v>160</v>
      </c>
      <c r="BL9" t="s">
        <v>161</v>
      </c>
      <c r="BM9" t="s">
        <v>193</v>
      </c>
      <c r="BN9" t="s">
        <v>74</v>
      </c>
      <c r="BO9" t="s">
        <v>107</v>
      </c>
      <c r="BP9" t="s">
        <v>74</v>
      </c>
      <c r="BQ9" t="s">
        <v>74</v>
      </c>
      <c r="BR9" t="s">
        <v>108</v>
      </c>
      <c r="BS9" t="s">
        <v>237</v>
      </c>
      <c r="BT9" t="str">
        <f>HYPERLINK("https%3A%2F%2Fwww.webofscience.com%2Fwos%2Fwoscc%2Ffull-record%2FWOS:000937831200007","View Full Record in Web of Science")</f>
        <v>View Full Record in Web of Science</v>
      </c>
    </row>
    <row r="10" spans="1:72" x14ac:dyDescent="0.15">
      <c r="A10" t="s">
        <v>133</v>
      </c>
      <c r="B10" t="s">
        <v>238</v>
      </c>
      <c r="C10" t="s">
        <v>74</v>
      </c>
      <c r="D10" t="s">
        <v>74</v>
      </c>
      <c r="E10" t="s">
        <v>74</v>
      </c>
      <c r="F10" t="s">
        <v>239</v>
      </c>
      <c r="G10" t="s">
        <v>74</v>
      </c>
      <c r="H10" t="s">
        <v>74</v>
      </c>
      <c r="I10" t="s">
        <v>240</v>
      </c>
      <c r="J10" t="s">
        <v>137</v>
      </c>
      <c r="K10" t="s">
        <v>74</v>
      </c>
      <c r="L10" t="s">
        <v>74</v>
      </c>
      <c r="M10" t="s">
        <v>80</v>
      </c>
      <c r="N10" t="s">
        <v>138</v>
      </c>
      <c r="O10" t="s">
        <v>74</v>
      </c>
      <c r="P10" t="s">
        <v>74</v>
      </c>
      <c r="Q10" t="s">
        <v>74</v>
      </c>
      <c r="R10" t="s">
        <v>74</v>
      </c>
      <c r="S10" t="s">
        <v>74</v>
      </c>
      <c r="T10" t="s">
        <v>241</v>
      </c>
      <c r="U10" t="s">
        <v>74</v>
      </c>
      <c r="V10" t="s">
        <v>242</v>
      </c>
      <c r="W10" t="s">
        <v>243</v>
      </c>
      <c r="X10" t="s">
        <v>244</v>
      </c>
      <c r="Y10" t="s">
        <v>245</v>
      </c>
      <c r="Z10" t="s">
        <v>246</v>
      </c>
      <c r="AA10" t="s">
        <v>74</v>
      </c>
      <c r="AB10" t="s">
        <v>74</v>
      </c>
      <c r="AC10" t="s">
        <v>247</v>
      </c>
      <c r="AD10" t="s">
        <v>248</v>
      </c>
      <c r="AE10" t="s">
        <v>249</v>
      </c>
      <c r="AF10" t="s">
        <v>74</v>
      </c>
      <c r="AG10">
        <v>42</v>
      </c>
      <c r="AH10">
        <v>0</v>
      </c>
      <c r="AI10">
        <v>0</v>
      </c>
      <c r="AJ10">
        <v>1</v>
      </c>
      <c r="AK10">
        <v>3</v>
      </c>
      <c r="AL10" t="s">
        <v>151</v>
      </c>
      <c r="AM10" t="s">
        <v>152</v>
      </c>
      <c r="AN10" t="s">
        <v>153</v>
      </c>
      <c r="AO10" t="s">
        <v>154</v>
      </c>
      <c r="AP10" t="s">
        <v>155</v>
      </c>
      <c r="AQ10" t="s">
        <v>74</v>
      </c>
      <c r="AR10" t="s">
        <v>156</v>
      </c>
      <c r="AS10" t="s">
        <v>157</v>
      </c>
      <c r="AT10" t="s">
        <v>74</v>
      </c>
      <c r="AU10">
        <v>2020</v>
      </c>
      <c r="AV10">
        <v>10</v>
      </c>
      <c r="AW10">
        <v>2</v>
      </c>
      <c r="AX10" t="s">
        <v>74</v>
      </c>
      <c r="AY10" t="s">
        <v>74</v>
      </c>
      <c r="AZ10" t="s">
        <v>74</v>
      </c>
      <c r="BA10" t="s">
        <v>74</v>
      </c>
      <c r="BB10">
        <v>281</v>
      </c>
      <c r="BC10">
        <v>296</v>
      </c>
      <c r="BD10" t="s">
        <v>74</v>
      </c>
      <c r="BE10" t="s">
        <v>250</v>
      </c>
      <c r="BF10" t="str">
        <f>HYPERLINK("http://dx.doi.org/10.5817/CPR2020-2-21","http://dx.doi.org/10.5817/CPR2020-2-21")</f>
        <v>http://dx.doi.org/10.5817/CPR2020-2-21</v>
      </c>
      <c r="BG10" t="s">
        <v>74</v>
      </c>
      <c r="BH10" t="s">
        <v>74</v>
      </c>
      <c r="BI10">
        <v>16</v>
      </c>
      <c r="BJ10" t="s">
        <v>159</v>
      </c>
      <c r="BK10" t="s">
        <v>160</v>
      </c>
      <c r="BL10" t="s">
        <v>161</v>
      </c>
      <c r="BM10" t="s">
        <v>193</v>
      </c>
      <c r="BN10" t="s">
        <v>74</v>
      </c>
      <c r="BO10" t="s">
        <v>107</v>
      </c>
      <c r="BP10" t="s">
        <v>74</v>
      </c>
      <c r="BQ10" t="s">
        <v>74</v>
      </c>
      <c r="BR10" t="s">
        <v>108</v>
      </c>
      <c r="BS10" t="s">
        <v>251</v>
      </c>
      <c r="BT10" t="str">
        <f>HYPERLINK("https%3A%2F%2Fwww.webofscience.com%2Fwos%2Fwoscc%2Ffull-record%2FWOS:000937831200011","View Full Record in Web of Science")</f>
        <v>View Full Record in Web of Science</v>
      </c>
    </row>
    <row r="11" spans="1:72" x14ac:dyDescent="0.15">
      <c r="A11" t="s">
        <v>133</v>
      </c>
      <c r="B11" t="s">
        <v>252</v>
      </c>
      <c r="C11" t="s">
        <v>74</v>
      </c>
      <c r="D11" t="s">
        <v>74</v>
      </c>
      <c r="E11" t="s">
        <v>74</v>
      </c>
      <c r="F11" t="s">
        <v>253</v>
      </c>
      <c r="G11" t="s">
        <v>74</v>
      </c>
      <c r="H11" t="s">
        <v>74</v>
      </c>
      <c r="I11" t="s">
        <v>254</v>
      </c>
      <c r="J11" t="s">
        <v>137</v>
      </c>
      <c r="K11" t="s">
        <v>74</v>
      </c>
      <c r="L11" t="s">
        <v>74</v>
      </c>
      <c r="M11" t="s">
        <v>80</v>
      </c>
      <c r="N11" t="s">
        <v>138</v>
      </c>
      <c r="O11" t="s">
        <v>74</v>
      </c>
      <c r="P11" t="s">
        <v>74</v>
      </c>
      <c r="Q11" t="s">
        <v>74</v>
      </c>
      <c r="R11" t="s">
        <v>74</v>
      </c>
      <c r="S11" t="s">
        <v>74</v>
      </c>
      <c r="T11" t="s">
        <v>255</v>
      </c>
      <c r="U11" t="s">
        <v>74</v>
      </c>
      <c r="V11" t="s">
        <v>256</v>
      </c>
      <c r="W11" t="s">
        <v>257</v>
      </c>
      <c r="X11" t="s">
        <v>258</v>
      </c>
      <c r="Y11" t="s">
        <v>259</v>
      </c>
      <c r="Z11" t="s">
        <v>260</v>
      </c>
      <c r="AA11" t="s">
        <v>261</v>
      </c>
      <c r="AB11" t="s">
        <v>262</v>
      </c>
      <c r="AC11" t="s">
        <v>263</v>
      </c>
      <c r="AD11" t="s">
        <v>264</v>
      </c>
      <c r="AE11" t="s">
        <v>265</v>
      </c>
      <c r="AF11" t="s">
        <v>74</v>
      </c>
      <c r="AG11">
        <v>34</v>
      </c>
      <c r="AH11">
        <v>5</v>
      </c>
      <c r="AI11">
        <v>5</v>
      </c>
      <c r="AJ11">
        <v>0</v>
      </c>
      <c r="AK11">
        <v>3</v>
      </c>
      <c r="AL11" t="s">
        <v>151</v>
      </c>
      <c r="AM11" t="s">
        <v>152</v>
      </c>
      <c r="AN11" t="s">
        <v>153</v>
      </c>
      <c r="AO11" t="s">
        <v>154</v>
      </c>
      <c r="AP11" t="s">
        <v>155</v>
      </c>
      <c r="AQ11" t="s">
        <v>74</v>
      </c>
      <c r="AR11" t="s">
        <v>156</v>
      </c>
      <c r="AS11" t="s">
        <v>157</v>
      </c>
      <c r="AT11" t="s">
        <v>74</v>
      </c>
      <c r="AU11">
        <v>2020</v>
      </c>
      <c r="AV11">
        <v>10</v>
      </c>
      <c r="AW11">
        <v>2</v>
      </c>
      <c r="AX11" t="s">
        <v>74</v>
      </c>
      <c r="AY11" t="s">
        <v>74</v>
      </c>
      <c r="AZ11" t="s">
        <v>74</v>
      </c>
      <c r="BA11" t="s">
        <v>74</v>
      </c>
      <c r="BB11">
        <v>297</v>
      </c>
      <c r="BC11">
        <v>312</v>
      </c>
      <c r="BD11" t="s">
        <v>74</v>
      </c>
      <c r="BE11" t="s">
        <v>266</v>
      </c>
      <c r="BF11" t="str">
        <f>HYPERLINK("http://dx.doi.org/10.5817/CPR2020-2-22","http://dx.doi.org/10.5817/CPR2020-2-22")</f>
        <v>http://dx.doi.org/10.5817/CPR2020-2-22</v>
      </c>
      <c r="BG11" t="s">
        <v>74</v>
      </c>
      <c r="BH11" t="s">
        <v>74</v>
      </c>
      <c r="BI11">
        <v>16</v>
      </c>
      <c r="BJ11" t="s">
        <v>159</v>
      </c>
      <c r="BK11" t="s">
        <v>160</v>
      </c>
      <c r="BL11" t="s">
        <v>161</v>
      </c>
      <c r="BM11" t="s">
        <v>193</v>
      </c>
      <c r="BN11" t="s">
        <v>74</v>
      </c>
      <c r="BO11" t="s">
        <v>107</v>
      </c>
      <c r="BP11" t="s">
        <v>74</v>
      </c>
      <c r="BQ11" t="s">
        <v>74</v>
      </c>
      <c r="BR11" t="s">
        <v>108</v>
      </c>
      <c r="BS11" t="s">
        <v>267</v>
      </c>
      <c r="BT11" t="str">
        <f>HYPERLINK("https%3A%2F%2Fwww.webofscience.com%2Fwos%2Fwoscc%2Ffull-record%2FWOS:000937831200012","View Full Record in Web of Science")</f>
        <v>View Full Record in Web of Science</v>
      </c>
    </row>
    <row r="12" spans="1:72" x14ac:dyDescent="0.15">
      <c r="A12" t="s">
        <v>133</v>
      </c>
      <c r="B12" t="s">
        <v>268</v>
      </c>
      <c r="C12" t="s">
        <v>74</v>
      </c>
      <c r="D12" t="s">
        <v>74</v>
      </c>
      <c r="E12" t="s">
        <v>74</v>
      </c>
      <c r="F12" t="s">
        <v>269</v>
      </c>
      <c r="G12" t="s">
        <v>74</v>
      </c>
      <c r="H12" t="s">
        <v>74</v>
      </c>
      <c r="I12" t="s">
        <v>270</v>
      </c>
      <c r="J12" t="s">
        <v>271</v>
      </c>
      <c r="K12" t="s">
        <v>74</v>
      </c>
      <c r="L12" t="s">
        <v>74</v>
      </c>
      <c r="M12" t="s">
        <v>80</v>
      </c>
      <c r="N12" t="s">
        <v>138</v>
      </c>
      <c r="O12" t="s">
        <v>74</v>
      </c>
      <c r="P12" t="s">
        <v>74</v>
      </c>
      <c r="Q12" t="s">
        <v>74</v>
      </c>
      <c r="R12" t="s">
        <v>74</v>
      </c>
      <c r="S12" t="s">
        <v>74</v>
      </c>
      <c r="T12" t="s">
        <v>272</v>
      </c>
      <c r="U12" t="s">
        <v>273</v>
      </c>
      <c r="V12" t="s">
        <v>274</v>
      </c>
      <c r="W12" t="s">
        <v>275</v>
      </c>
      <c r="X12" t="s">
        <v>276</v>
      </c>
      <c r="Y12" t="s">
        <v>277</v>
      </c>
      <c r="Z12" t="s">
        <v>278</v>
      </c>
      <c r="AA12" t="s">
        <v>279</v>
      </c>
      <c r="AB12" t="s">
        <v>280</v>
      </c>
      <c r="AC12" t="s">
        <v>281</v>
      </c>
      <c r="AD12" t="s">
        <v>282</v>
      </c>
      <c r="AE12" t="s">
        <v>283</v>
      </c>
      <c r="AF12" t="s">
        <v>74</v>
      </c>
      <c r="AG12">
        <v>88</v>
      </c>
      <c r="AH12">
        <v>31</v>
      </c>
      <c r="AI12">
        <v>33</v>
      </c>
      <c r="AJ12">
        <v>2</v>
      </c>
      <c r="AK12">
        <v>18</v>
      </c>
      <c r="AL12" t="s">
        <v>284</v>
      </c>
      <c r="AM12" t="s">
        <v>285</v>
      </c>
      <c r="AN12" t="s">
        <v>286</v>
      </c>
      <c r="AO12" t="s">
        <v>287</v>
      </c>
      <c r="AP12" t="s">
        <v>288</v>
      </c>
      <c r="AQ12" t="s">
        <v>74</v>
      </c>
      <c r="AR12" t="s">
        <v>289</v>
      </c>
      <c r="AS12" t="s">
        <v>290</v>
      </c>
      <c r="AT12" t="s">
        <v>291</v>
      </c>
      <c r="AU12">
        <v>2020</v>
      </c>
      <c r="AV12">
        <v>108</v>
      </c>
      <c r="AW12" t="s">
        <v>74</v>
      </c>
      <c r="AX12" t="s">
        <v>74</v>
      </c>
      <c r="AY12" t="s">
        <v>74</v>
      </c>
      <c r="AZ12" t="s">
        <v>74</v>
      </c>
      <c r="BA12" t="s">
        <v>74</v>
      </c>
      <c r="BB12" t="s">
        <v>74</v>
      </c>
      <c r="BC12" t="s">
        <v>74</v>
      </c>
      <c r="BD12">
        <v>105726</v>
      </c>
      <c r="BE12" t="s">
        <v>292</v>
      </c>
      <c r="BF12" t="str">
        <f>HYPERLINK("http://dx.doi.org/10.1016/j.ecolind.2019.105726","http://dx.doi.org/10.1016/j.ecolind.2019.105726")</f>
        <v>http://dx.doi.org/10.1016/j.ecolind.2019.105726</v>
      </c>
      <c r="BG12" t="s">
        <v>74</v>
      </c>
      <c r="BH12" t="s">
        <v>74</v>
      </c>
      <c r="BI12">
        <v>14</v>
      </c>
      <c r="BJ12" t="s">
        <v>293</v>
      </c>
      <c r="BK12" t="s">
        <v>294</v>
      </c>
      <c r="BL12" t="s">
        <v>295</v>
      </c>
      <c r="BM12" t="s">
        <v>296</v>
      </c>
      <c r="BN12" t="s">
        <v>74</v>
      </c>
      <c r="BO12" t="s">
        <v>74</v>
      </c>
      <c r="BP12" t="s">
        <v>74</v>
      </c>
      <c r="BQ12" t="s">
        <v>74</v>
      </c>
      <c r="BR12" t="s">
        <v>108</v>
      </c>
      <c r="BS12" t="s">
        <v>297</v>
      </c>
      <c r="BT12" t="str">
        <f>HYPERLINK("https%3A%2F%2Fwww.webofscience.com%2Fwos%2Fwoscc%2Ffull-record%2FWOS:000493902400047","View Full Record in Web of Science")</f>
        <v>View Full Record in Web of Science</v>
      </c>
    </row>
    <row r="13" spans="1:72" x14ac:dyDescent="0.15">
      <c r="A13" t="s">
        <v>133</v>
      </c>
      <c r="B13" t="s">
        <v>298</v>
      </c>
      <c r="C13" t="s">
        <v>74</v>
      </c>
      <c r="D13" t="s">
        <v>74</v>
      </c>
      <c r="E13" t="s">
        <v>74</v>
      </c>
      <c r="F13" t="s">
        <v>299</v>
      </c>
      <c r="G13" t="s">
        <v>74</v>
      </c>
      <c r="H13" t="s">
        <v>74</v>
      </c>
      <c r="I13" t="s">
        <v>300</v>
      </c>
      <c r="J13" t="s">
        <v>301</v>
      </c>
      <c r="K13" t="s">
        <v>74</v>
      </c>
      <c r="L13" t="s">
        <v>74</v>
      </c>
      <c r="M13" t="s">
        <v>80</v>
      </c>
      <c r="N13" t="s">
        <v>138</v>
      </c>
      <c r="O13" t="s">
        <v>74</v>
      </c>
      <c r="P13" t="s">
        <v>74</v>
      </c>
      <c r="Q13" t="s">
        <v>74</v>
      </c>
      <c r="R13" t="s">
        <v>74</v>
      </c>
      <c r="S13" t="s">
        <v>74</v>
      </c>
      <c r="T13" t="s">
        <v>302</v>
      </c>
      <c r="U13" t="s">
        <v>303</v>
      </c>
      <c r="V13" t="s">
        <v>304</v>
      </c>
      <c r="W13" t="s">
        <v>305</v>
      </c>
      <c r="X13" t="s">
        <v>306</v>
      </c>
      <c r="Y13" t="s">
        <v>307</v>
      </c>
      <c r="Z13" t="s">
        <v>308</v>
      </c>
      <c r="AA13" t="s">
        <v>309</v>
      </c>
      <c r="AB13" t="s">
        <v>310</v>
      </c>
      <c r="AC13" t="s">
        <v>311</v>
      </c>
      <c r="AD13" t="s">
        <v>312</v>
      </c>
      <c r="AE13" t="s">
        <v>313</v>
      </c>
      <c r="AF13" t="s">
        <v>74</v>
      </c>
      <c r="AG13">
        <v>91</v>
      </c>
      <c r="AH13">
        <v>20</v>
      </c>
      <c r="AI13">
        <v>20</v>
      </c>
      <c r="AJ13">
        <v>3</v>
      </c>
      <c r="AK13">
        <v>12</v>
      </c>
      <c r="AL13" t="s">
        <v>314</v>
      </c>
      <c r="AM13" t="s">
        <v>315</v>
      </c>
      <c r="AN13" t="s">
        <v>316</v>
      </c>
      <c r="AO13" t="s">
        <v>317</v>
      </c>
      <c r="AP13" t="s">
        <v>318</v>
      </c>
      <c r="AQ13" t="s">
        <v>74</v>
      </c>
      <c r="AR13" t="s">
        <v>319</v>
      </c>
      <c r="AS13" t="s">
        <v>320</v>
      </c>
      <c r="AT13" t="s">
        <v>74</v>
      </c>
      <c r="AU13">
        <v>2020</v>
      </c>
      <c r="AV13">
        <v>43</v>
      </c>
      <c r="AW13" t="s">
        <v>74</v>
      </c>
      <c r="AX13" t="s">
        <v>74</v>
      </c>
      <c r="AY13" t="s">
        <v>74</v>
      </c>
      <c r="AZ13" t="s">
        <v>74</v>
      </c>
      <c r="BA13" t="s">
        <v>74</v>
      </c>
      <c r="BB13">
        <v>21</v>
      </c>
      <c r="BC13">
        <v>37</v>
      </c>
      <c r="BD13" t="s">
        <v>74</v>
      </c>
      <c r="BE13" t="s">
        <v>321</v>
      </c>
      <c r="BF13" t="str">
        <f>HYPERLINK("http://dx.doi.org/10.3354/esr01050","http://dx.doi.org/10.3354/esr01050")</f>
        <v>http://dx.doi.org/10.3354/esr01050</v>
      </c>
      <c r="BG13" t="s">
        <v>74</v>
      </c>
      <c r="BH13" t="s">
        <v>74</v>
      </c>
      <c r="BI13">
        <v>17</v>
      </c>
      <c r="BJ13" t="s">
        <v>322</v>
      </c>
      <c r="BK13" t="s">
        <v>294</v>
      </c>
      <c r="BL13" t="s">
        <v>323</v>
      </c>
      <c r="BM13" t="s">
        <v>324</v>
      </c>
      <c r="BN13" t="s">
        <v>74</v>
      </c>
      <c r="BO13" t="s">
        <v>107</v>
      </c>
      <c r="BP13" t="s">
        <v>74</v>
      </c>
      <c r="BQ13" t="s">
        <v>74</v>
      </c>
      <c r="BR13" t="s">
        <v>108</v>
      </c>
      <c r="BS13" t="s">
        <v>325</v>
      </c>
      <c r="BT13" t="str">
        <f>HYPERLINK("https%3A%2F%2Fwww.webofscience.com%2Fwos%2Fwoscc%2Ffull-record%2FWOS:000619516900002","View Full Record in Web of Science")</f>
        <v>View Full Record in Web of Science</v>
      </c>
    </row>
    <row r="14" spans="1:72" x14ac:dyDescent="0.15">
      <c r="A14" t="s">
        <v>133</v>
      </c>
      <c r="B14" t="s">
        <v>326</v>
      </c>
      <c r="C14" t="s">
        <v>74</v>
      </c>
      <c r="D14" t="s">
        <v>74</v>
      </c>
      <c r="E14" t="s">
        <v>74</v>
      </c>
      <c r="F14" t="s">
        <v>327</v>
      </c>
      <c r="G14" t="s">
        <v>74</v>
      </c>
      <c r="H14" t="s">
        <v>74</v>
      </c>
      <c r="I14" t="s">
        <v>328</v>
      </c>
      <c r="J14" t="s">
        <v>301</v>
      </c>
      <c r="K14" t="s">
        <v>74</v>
      </c>
      <c r="L14" t="s">
        <v>74</v>
      </c>
      <c r="M14" t="s">
        <v>80</v>
      </c>
      <c r="N14" t="s">
        <v>138</v>
      </c>
      <c r="O14" t="s">
        <v>74</v>
      </c>
      <c r="P14" t="s">
        <v>74</v>
      </c>
      <c r="Q14" t="s">
        <v>74</v>
      </c>
      <c r="R14" t="s">
        <v>74</v>
      </c>
      <c r="S14" t="s">
        <v>74</v>
      </c>
      <c r="T14" t="s">
        <v>329</v>
      </c>
      <c r="U14" t="s">
        <v>330</v>
      </c>
      <c r="V14" t="s">
        <v>331</v>
      </c>
      <c r="W14" t="s">
        <v>332</v>
      </c>
      <c r="X14" t="s">
        <v>333</v>
      </c>
      <c r="Y14" t="s">
        <v>334</v>
      </c>
      <c r="Z14" t="s">
        <v>335</v>
      </c>
      <c r="AA14" t="s">
        <v>336</v>
      </c>
      <c r="AB14" t="s">
        <v>337</v>
      </c>
      <c r="AC14" t="s">
        <v>338</v>
      </c>
      <c r="AD14" t="s">
        <v>339</v>
      </c>
      <c r="AE14" t="s">
        <v>340</v>
      </c>
      <c r="AF14" t="s">
        <v>74</v>
      </c>
      <c r="AG14">
        <v>65</v>
      </c>
      <c r="AH14">
        <v>25</v>
      </c>
      <c r="AI14">
        <v>26</v>
      </c>
      <c r="AJ14">
        <v>14</v>
      </c>
      <c r="AK14">
        <v>72</v>
      </c>
      <c r="AL14" t="s">
        <v>314</v>
      </c>
      <c r="AM14" t="s">
        <v>315</v>
      </c>
      <c r="AN14" t="s">
        <v>316</v>
      </c>
      <c r="AO14" t="s">
        <v>317</v>
      </c>
      <c r="AP14" t="s">
        <v>318</v>
      </c>
      <c r="AQ14" t="s">
        <v>74</v>
      </c>
      <c r="AR14" t="s">
        <v>319</v>
      </c>
      <c r="AS14" t="s">
        <v>320</v>
      </c>
      <c r="AT14" t="s">
        <v>74</v>
      </c>
      <c r="AU14">
        <v>2020</v>
      </c>
      <c r="AV14">
        <v>43</v>
      </c>
      <c r="AW14" t="s">
        <v>74</v>
      </c>
      <c r="AX14" t="s">
        <v>74</v>
      </c>
      <c r="AY14" t="s">
        <v>74</v>
      </c>
      <c r="AZ14" t="s">
        <v>74</v>
      </c>
      <c r="BA14" t="s">
        <v>74</v>
      </c>
      <c r="BB14">
        <v>359</v>
      </c>
      <c r="BC14">
        <v>373</v>
      </c>
      <c r="BD14" t="s">
        <v>74</v>
      </c>
      <c r="BE14" t="s">
        <v>341</v>
      </c>
      <c r="BF14" t="str">
        <f>HYPERLINK("http://dx.doi.org/10.3354/esr01077","http://dx.doi.org/10.3354/esr01077")</f>
        <v>http://dx.doi.org/10.3354/esr01077</v>
      </c>
      <c r="BG14" t="s">
        <v>74</v>
      </c>
      <c r="BH14" t="s">
        <v>74</v>
      </c>
      <c r="BI14">
        <v>15</v>
      </c>
      <c r="BJ14" t="s">
        <v>322</v>
      </c>
      <c r="BK14" t="s">
        <v>294</v>
      </c>
      <c r="BL14" t="s">
        <v>323</v>
      </c>
      <c r="BM14" t="s">
        <v>324</v>
      </c>
      <c r="BN14" t="s">
        <v>74</v>
      </c>
      <c r="BO14" t="s">
        <v>342</v>
      </c>
      <c r="BP14" t="s">
        <v>74</v>
      </c>
      <c r="BQ14" t="s">
        <v>74</v>
      </c>
      <c r="BR14" t="s">
        <v>108</v>
      </c>
      <c r="BS14" t="s">
        <v>343</v>
      </c>
      <c r="BT14" t="str">
        <f>HYPERLINK("https%3A%2F%2Fwww.webofscience.com%2Fwos%2Fwoscc%2Ffull-record%2FWOS:000619516900027","View Full Record in Web of Science")</f>
        <v>View Full Record in Web of Science</v>
      </c>
    </row>
    <row r="15" spans="1:72" x14ac:dyDescent="0.15">
      <c r="A15" t="s">
        <v>133</v>
      </c>
      <c r="B15" t="s">
        <v>344</v>
      </c>
      <c r="C15" t="s">
        <v>74</v>
      </c>
      <c r="D15" t="s">
        <v>74</v>
      </c>
      <c r="E15" t="s">
        <v>74</v>
      </c>
      <c r="F15" t="s">
        <v>345</v>
      </c>
      <c r="G15" t="s">
        <v>74</v>
      </c>
      <c r="H15" t="s">
        <v>74</v>
      </c>
      <c r="I15" t="s">
        <v>346</v>
      </c>
      <c r="J15" t="s">
        <v>301</v>
      </c>
      <c r="K15" t="s">
        <v>74</v>
      </c>
      <c r="L15" t="s">
        <v>74</v>
      </c>
      <c r="M15" t="s">
        <v>80</v>
      </c>
      <c r="N15" t="s">
        <v>138</v>
      </c>
      <c r="O15" t="s">
        <v>74</v>
      </c>
      <c r="P15" t="s">
        <v>74</v>
      </c>
      <c r="Q15" t="s">
        <v>74</v>
      </c>
      <c r="R15" t="s">
        <v>74</v>
      </c>
      <c r="S15" t="s">
        <v>74</v>
      </c>
      <c r="T15" t="s">
        <v>347</v>
      </c>
      <c r="U15" t="s">
        <v>348</v>
      </c>
      <c r="V15" t="s">
        <v>349</v>
      </c>
      <c r="W15" t="s">
        <v>350</v>
      </c>
      <c r="X15" t="s">
        <v>351</v>
      </c>
      <c r="Y15" t="s">
        <v>352</v>
      </c>
      <c r="Z15" t="s">
        <v>353</v>
      </c>
      <c r="AA15" t="s">
        <v>354</v>
      </c>
      <c r="AB15" t="s">
        <v>355</v>
      </c>
      <c r="AC15" t="s">
        <v>356</v>
      </c>
      <c r="AD15" t="s">
        <v>357</v>
      </c>
      <c r="AE15" t="s">
        <v>358</v>
      </c>
      <c r="AF15" t="s">
        <v>74</v>
      </c>
      <c r="AG15">
        <v>74</v>
      </c>
      <c r="AH15">
        <v>1</v>
      </c>
      <c r="AI15">
        <v>1</v>
      </c>
      <c r="AJ15">
        <v>2</v>
      </c>
      <c r="AK15">
        <v>13</v>
      </c>
      <c r="AL15" t="s">
        <v>314</v>
      </c>
      <c r="AM15" t="s">
        <v>315</v>
      </c>
      <c r="AN15" t="s">
        <v>316</v>
      </c>
      <c r="AO15" t="s">
        <v>317</v>
      </c>
      <c r="AP15" t="s">
        <v>318</v>
      </c>
      <c r="AQ15" t="s">
        <v>74</v>
      </c>
      <c r="AR15" t="s">
        <v>319</v>
      </c>
      <c r="AS15" t="s">
        <v>320</v>
      </c>
      <c r="AT15" t="s">
        <v>74</v>
      </c>
      <c r="AU15">
        <v>2020</v>
      </c>
      <c r="AV15">
        <v>43</v>
      </c>
      <c r="AW15" t="s">
        <v>74</v>
      </c>
      <c r="AX15" t="s">
        <v>74</v>
      </c>
      <c r="AY15" t="s">
        <v>74</v>
      </c>
      <c r="AZ15" t="s">
        <v>74</v>
      </c>
      <c r="BA15" t="s">
        <v>74</v>
      </c>
      <c r="BB15">
        <v>409</v>
      </c>
      <c r="BC15">
        <v>420</v>
      </c>
      <c r="BD15" t="s">
        <v>74</v>
      </c>
      <c r="BE15" t="s">
        <v>359</v>
      </c>
      <c r="BF15" t="str">
        <f>HYPERLINK("http://dx.doi.org/10.3354/esr01076","http://dx.doi.org/10.3354/esr01076")</f>
        <v>http://dx.doi.org/10.3354/esr01076</v>
      </c>
      <c r="BG15" t="s">
        <v>74</v>
      </c>
      <c r="BH15" t="s">
        <v>74</v>
      </c>
      <c r="BI15">
        <v>12</v>
      </c>
      <c r="BJ15" t="s">
        <v>322</v>
      </c>
      <c r="BK15" t="s">
        <v>360</v>
      </c>
      <c r="BL15" t="s">
        <v>323</v>
      </c>
      <c r="BM15" t="s">
        <v>324</v>
      </c>
      <c r="BN15" t="s">
        <v>74</v>
      </c>
      <c r="BO15" t="s">
        <v>361</v>
      </c>
      <c r="BP15" t="s">
        <v>74</v>
      </c>
      <c r="BQ15" t="s">
        <v>74</v>
      </c>
      <c r="BR15" t="s">
        <v>108</v>
      </c>
      <c r="BS15" t="s">
        <v>362</v>
      </c>
      <c r="BT15" t="str">
        <f>HYPERLINK("https%3A%2F%2Fwww.webofscience.com%2Fwos%2Fwoscc%2Ffull-record%2FWOS:000619516900031","View Full Record in Web of Science")</f>
        <v>View Full Record in Web of Science</v>
      </c>
    </row>
    <row r="16" spans="1:72" x14ac:dyDescent="0.15">
      <c r="A16" t="s">
        <v>133</v>
      </c>
      <c r="B16" t="s">
        <v>363</v>
      </c>
      <c r="C16" t="s">
        <v>74</v>
      </c>
      <c r="D16" t="s">
        <v>74</v>
      </c>
      <c r="E16" t="s">
        <v>74</v>
      </c>
      <c r="F16" t="s">
        <v>364</v>
      </c>
      <c r="G16" t="s">
        <v>74</v>
      </c>
      <c r="H16" t="s">
        <v>74</v>
      </c>
      <c r="I16" t="s">
        <v>365</v>
      </c>
      <c r="J16" t="s">
        <v>366</v>
      </c>
      <c r="K16" t="s">
        <v>74</v>
      </c>
      <c r="L16" t="s">
        <v>74</v>
      </c>
      <c r="M16" t="s">
        <v>80</v>
      </c>
      <c r="N16" t="s">
        <v>138</v>
      </c>
      <c r="O16" t="s">
        <v>74</v>
      </c>
      <c r="P16" t="s">
        <v>74</v>
      </c>
      <c r="Q16" t="s">
        <v>74</v>
      </c>
      <c r="R16" t="s">
        <v>74</v>
      </c>
      <c r="S16" t="s">
        <v>74</v>
      </c>
      <c r="T16" t="s">
        <v>367</v>
      </c>
      <c r="U16" t="s">
        <v>368</v>
      </c>
      <c r="V16" t="s">
        <v>369</v>
      </c>
      <c r="W16" t="s">
        <v>370</v>
      </c>
      <c r="X16" t="s">
        <v>371</v>
      </c>
      <c r="Y16" t="s">
        <v>372</v>
      </c>
      <c r="Z16" t="s">
        <v>373</v>
      </c>
      <c r="AA16" t="s">
        <v>374</v>
      </c>
      <c r="AB16" t="s">
        <v>375</v>
      </c>
      <c r="AC16" t="s">
        <v>376</v>
      </c>
      <c r="AD16" t="s">
        <v>377</v>
      </c>
      <c r="AE16" t="s">
        <v>378</v>
      </c>
      <c r="AF16" t="s">
        <v>74</v>
      </c>
      <c r="AG16">
        <v>108</v>
      </c>
      <c r="AH16">
        <v>100</v>
      </c>
      <c r="AI16">
        <v>106</v>
      </c>
      <c r="AJ16">
        <v>15</v>
      </c>
      <c r="AK16">
        <v>126</v>
      </c>
      <c r="AL16" t="s">
        <v>379</v>
      </c>
      <c r="AM16" t="s">
        <v>380</v>
      </c>
      <c r="AN16" t="s">
        <v>381</v>
      </c>
      <c r="AO16" t="s">
        <v>382</v>
      </c>
      <c r="AP16" t="s">
        <v>383</v>
      </c>
      <c r="AQ16" t="s">
        <v>74</v>
      </c>
      <c r="AR16" t="s">
        <v>384</v>
      </c>
      <c r="AS16" t="s">
        <v>385</v>
      </c>
      <c r="AT16" t="s">
        <v>291</v>
      </c>
      <c r="AU16">
        <v>2020</v>
      </c>
      <c r="AV16">
        <v>134</v>
      </c>
      <c r="AW16" t="s">
        <v>74</v>
      </c>
      <c r="AX16" t="s">
        <v>74</v>
      </c>
      <c r="AY16" t="s">
        <v>74</v>
      </c>
      <c r="AZ16" t="s">
        <v>74</v>
      </c>
      <c r="BA16" t="s">
        <v>74</v>
      </c>
      <c r="BB16" t="s">
        <v>74</v>
      </c>
      <c r="BC16" t="s">
        <v>74</v>
      </c>
      <c r="BD16">
        <v>105303</v>
      </c>
      <c r="BE16" t="s">
        <v>386</v>
      </c>
      <c r="BF16" t="str">
        <f>HYPERLINK("http://dx.doi.org/10.1016/j.envint.2019.105303","http://dx.doi.org/10.1016/j.envint.2019.105303")</f>
        <v>http://dx.doi.org/10.1016/j.envint.2019.105303</v>
      </c>
      <c r="BG16" t="s">
        <v>74</v>
      </c>
      <c r="BH16" t="s">
        <v>74</v>
      </c>
      <c r="BI16">
        <v>9</v>
      </c>
      <c r="BJ16" t="s">
        <v>387</v>
      </c>
      <c r="BK16" t="s">
        <v>294</v>
      </c>
      <c r="BL16" t="s">
        <v>388</v>
      </c>
      <c r="BM16" t="s">
        <v>389</v>
      </c>
      <c r="BN16">
        <v>31726359</v>
      </c>
      <c r="BO16" t="s">
        <v>107</v>
      </c>
      <c r="BP16" t="s">
        <v>74</v>
      </c>
      <c r="BQ16" t="s">
        <v>74</v>
      </c>
      <c r="BR16" t="s">
        <v>108</v>
      </c>
      <c r="BS16" t="s">
        <v>390</v>
      </c>
      <c r="BT16" t="str">
        <f>HYPERLINK("https%3A%2F%2Fwww.webofscience.com%2Fwos%2Fwoscc%2Ffull-record%2FWOS:000501344500051","View Full Record in Web of Science")</f>
        <v>View Full Record in Web of Science</v>
      </c>
    </row>
    <row r="17" spans="1:72" x14ac:dyDescent="0.15">
      <c r="A17" t="s">
        <v>133</v>
      </c>
      <c r="B17" t="s">
        <v>391</v>
      </c>
      <c r="C17" t="s">
        <v>74</v>
      </c>
      <c r="D17" t="s">
        <v>74</v>
      </c>
      <c r="E17" t="s">
        <v>74</v>
      </c>
      <c r="F17" t="s">
        <v>392</v>
      </c>
      <c r="G17" t="s">
        <v>74</v>
      </c>
      <c r="H17" t="s">
        <v>74</v>
      </c>
      <c r="I17" t="s">
        <v>393</v>
      </c>
      <c r="J17" t="s">
        <v>394</v>
      </c>
      <c r="K17" t="s">
        <v>74</v>
      </c>
      <c r="L17" t="s">
        <v>74</v>
      </c>
      <c r="M17" t="s">
        <v>80</v>
      </c>
      <c r="N17" t="s">
        <v>138</v>
      </c>
      <c r="O17" t="s">
        <v>74</v>
      </c>
      <c r="P17" t="s">
        <v>74</v>
      </c>
      <c r="Q17" t="s">
        <v>74</v>
      </c>
      <c r="R17" t="s">
        <v>74</v>
      </c>
      <c r="S17" t="s">
        <v>74</v>
      </c>
      <c r="T17" t="s">
        <v>395</v>
      </c>
      <c r="U17" t="s">
        <v>396</v>
      </c>
      <c r="V17" t="s">
        <v>397</v>
      </c>
      <c r="W17" t="s">
        <v>398</v>
      </c>
      <c r="X17" t="s">
        <v>399</v>
      </c>
      <c r="Y17" t="s">
        <v>400</v>
      </c>
      <c r="Z17" t="s">
        <v>401</v>
      </c>
      <c r="AA17" t="s">
        <v>402</v>
      </c>
      <c r="AB17" t="s">
        <v>403</v>
      </c>
      <c r="AC17" t="s">
        <v>404</v>
      </c>
      <c r="AD17" t="s">
        <v>405</v>
      </c>
      <c r="AE17" t="s">
        <v>406</v>
      </c>
      <c r="AF17" t="s">
        <v>74</v>
      </c>
      <c r="AG17">
        <v>35</v>
      </c>
      <c r="AH17">
        <v>18</v>
      </c>
      <c r="AI17">
        <v>19</v>
      </c>
      <c r="AJ17">
        <v>4</v>
      </c>
      <c r="AK17">
        <v>31</v>
      </c>
      <c r="AL17" t="s">
        <v>284</v>
      </c>
      <c r="AM17" t="s">
        <v>285</v>
      </c>
      <c r="AN17" t="s">
        <v>407</v>
      </c>
      <c r="AO17" t="s">
        <v>408</v>
      </c>
      <c r="AP17" t="s">
        <v>409</v>
      </c>
      <c r="AQ17" t="s">
        <v>74</v>
      </c>
      <c r="AR17" t="s">
        <v>410</v>
      </c>
      <c r="AS17" t="s">
        <v>411</v>
      </c>
      <c r="AT17" t="s">
        <v>291</v>
      </c>
      <c r="AU17">
        <v>2020</v>
      </c>
      <c r="AV17">
        <v>221</v>
      </c>
      <c r="AW17" t="s">
        <v>74</v>
      </c>
      <c r="AX17" t="s">
        <v>74</v>
      </c>
      <c r="AY17" t="s">
        <v>74</v>
      </c>
      <c r="AZ17" t="s">
        <v>74</v>
      </c>
      <c r="BA17" t="s">
        <v>74</v>
      </c>
      <c r="BB17" t="s">
        <v>74</v>
      </c>
      <c r="BC17" t="s">
        <v>74</v>
      </c>
      <c r="BD17">
        <v>105403</v>
      </c>
      <c r="BE17" t="s">
        <v>412</v>
      </c>
      <c r="BF17" t="str">
        <f>HYPERLINK("http://dx.doi.org/10.1016/j.fishres.2019.105403","http://dx.doi.org/10.1016/j.fishres.2019.105403")</f>
        <v>http://dx.doi.org/10.1016/j.fishres.2019.105403</v>
      </c>
      <c r="BG17" t="s">
        <v>74</v>
      </c>
      <c r="BH17" t="s">
        <v>74</v>
      </c>
      <c r="BI17">
        <v>11</v>
      </c>
      <c r="BJ17" t="s">
        <v>413</v>
      </c>
      <c r="BK17" t="s">
        <v>294</v>
      </c>
      <c r="BL17" t="s">
        <v>413</v>
      </c>
      <c r="BM17" t="s">
        <v>414</v>
      </c>
      <c r="BN17" t="s">
        <v>74</v>
      </c>
      <c r="BO17" t="s">
        <v>74</v>
      </c>
      <c r="BP17" t="s">
        <v>74</v>
      </c>
      <c r="BQ17" t="s">
        <v>74</v>
      </c>
      <c r="BR17" t="s">
        <v>108</v>
      </c>
      <c r="BS17" t="s">
        <v>415</v>
      </c>
      <c r="BT17" t="str">
        <f>HYPERLINK("https%3A%2F%2Fwww.webofscience.com%2Fwos%2Fwoscc%2Ffull-record%2FWOS:000496874700029","View Full Record in Web of Science")</f>
        <v>View Full Record in Web of Science</v>
      </c>
    </row>
    <row r="18" spans="1:72" x14ac:dyDescent="0.15">
      <c r="A18" t="s">
        <v>133</v>
      </c>
      <c r="B18" t="s">
        <v>416</v>
      </c>
      <c r="C18" t="s">
        <v>74</v>
      </c>
      <c r="D18" t="s">
        <v>74</v>
      </c>
      <c r="E18" t="s">
        <v>74</v>
      </c>
      <c r="F18" t="s">
        <v>417</v>
      </c>
      <c r="G18" t="s">
        <v>74</v>
      </c>
      <c r="H18" t="s">
        <v>74</v>
      </c>
      <c r="I18" t="s">
        <v>418</v>
      </c>
      <c r="J18" t="s">
        <v>419</v>
      </c>
      <c r="K18" t="s">
        <v>74</v>
      </c>
      <c r="L18" t="s">
        <v>74</v>
      </c>
      <c r="M18" t="s">
        <v>80</v>
      </c>
      <c r="N18" t="s">
        <v>138</v>
      </c>
      <c r="O18" t="s">
        <v>74</v>
      </c>
      <c r="P18" t="s">
        <v>74</v>
      </c>
      <c r="Q18" t="s">
        <v>74</v>
      </c>
      <c r="R18" t="s">
        <v>74</v>
      </c>
      <c r="S18" t="s">
        <v>74</v>
      </c>
      <c r="T18" t="s">
        <v>420</v>
      </c>
      <c r="U18" t="s">
        <v>421</v>
      </c>
      <c r="V18" t="s">
        <v>422</v>
      </c>
      <c r="W18" t="s">
        <v>423</v>
      </c>
      <c r="X18" t="s">
        <v>424</v>
      </c>
      <c r="Y18" t="s">
        <v>425</v>
      </c>
      <c r="Z18" t="s">
        <v>426</v>
      </c>
      <c r="AA18" t="s">
        <v>427</v>
      </c>
      <c r="AB18" t="s">
        <v>428</v>
      </c>
      <c r="AC18" t="s">
        <v>74</v>
      </c>
      <c r="AD18" t="s">
        <v>74</v>
      </c>
      <c r="AE18" t="s">
        <v>74</v>
      </c>
      <c r="AF18" t="s">
        <v>74</v>
      </c>
      <c r="AG18">
        <v>90</v>
      </c>
      <c r="AH18">
        <v>27</v>
      </c>
      <c r="AI18">
        <v>33</v>
      </c>
      <c r="AJ18">
        <v>4</v>
      </c>
      <c r="AK18">
        <v>32</v>
      </c>
      <c r="AL18" t="s">
        <v>429</v>
      </c>
      <c r="AM18" t="s">
        <v>430</v>
      </c>
      <c r="AN18" t="s">
        <v>431</v>
      </c>
      <c r="AO18" t="s">
        <v>432</v>
      </c>
      <c r="AP18" t="s">
        <v>433</v>
      </c>
      <c r="AQ18" t="s">
        <v>74</v>
      </c>
      <c r="AR18" t="s">
        <v>434</v>
      </c>
      <c r="AS18" t="s">
        <v>435</v>
      </c>
      <c r="AT18" t="s">
        <v>291</v>
      </c>
      <c r="AU18">
        <v>2020</v>
      </c>
      <c r="AV18">
        <v>34</v>
      </c>
      <c r="AW18">
        <v>1</v>
      </c>
      <c r="AX18" t="s">
        <v>74</v>
      </c>
      <c r="AY18" t="s">
        <v>74</v>
      </c>
      <c r="AZ18" t="s">
        <v>74</v>
      </c>
      <c r="BA18" t="s">
        <v>74</v>
      </c>
      <c r="BB18">
        <v>240</v>
      </c>
      <c r="BC18">
        <v>251</v>
      </c>
      <c r="BD18" t="s">
        <v>74</v>
      </c>
      <c r="BE18" t="s">
        <v>436</v>
      </c>
      <c r="BF18" t="str">
        <f>HYPERLINK("http://dx.doi.org/10.1111/1365-2435.13457","http://dx.doi.org/10.1111/1365-2435.13457")</f>
        <v>http://dx.doi.org/10.1111/1365-2435.13457</v>
      </c>
      <c r="BG18" t="s">
        <v>74</v>
      </c>
      <c r="BH18" t="s">
        <v>74</v>
      </c>
      <c r="BI18">
        <v>12</v>
      </c>
      <c r="BJ18" t="s">
        <v>437</v>
      </c>
      <c r="BK18" t="s">
        <v>294</v>
      </c>
      <c r="BL18" t="s">
        <v>388</v>
      </c>
      <c r="BM18" t="s">
        <v>438</v>
      </c>
      <c r="BN18" t="s">
        <v>74</v>
      </c>
      <c r="BO18" t="s">
        <v>439</v>
      </c>
      <c r="BP18" t="s">
        <v>74</v>
      </c>
      <c r="BQ18" t="s">
        <v>74</v>
      </c>
      <c r="BR18" t="s">
        <v>108</v>
      </c>
      <c r="BS18" t="s">
        <v>440</v>
      </c>
      <c r="BT18" t="str">
        <f>HYPERLINK("https%3A%2F%2Fwww.webofscience.com%2Fwos%2Fwoscc%2Ffull-record%2FWOS:000506881100019","View Full Record in Web of Science")</f>
        <v>View Full Record in Web of Science</v>
      </c>
    </row>
    <row r="19" spans="1:72" x14ac:dyDescent="0.15">
      <c r="A19" t="s">
        <v>133</v>
      </c>
      <c r="B19" t="s">
        <v>441</v>
      </c>
      <c r="C19" t="s">
        <v>74</v>
      </c>
      <c r="D19" t="s">
        <v>74</v>
      </c>
      <c r="E19" t="s">
        <v>74</v>
      </c>
      <c r="F19" t="s">
        <v>442</v>
      </c>
      <c r="G19" t="s">
        <v>74</v>
      </c>
      <c r="H19" t="s">
        <v>74</v>
      </c>
      <c r="I19" t="s">
        <v>443</v>
      </c>
      <c r="J19" t="s">
        <v>444</v>
      </c>
      <c r="K19" t="s">
        <v>74</v>
      </c>
      <c r="L19" t="s">
        <v>74</v>
      </c>
      <c r="M19" t="s">
        <v>80</v>
      </c>
      <c r="N19" t="s">
        <v>138</v>
      </c>
      <c r="O19" t="s">
        <v>74</v>
      </c>
      <c r="P19" t="s">
        <v>74</v>
      </c>
      <c r="Q19" t="s">
        <v>74</v>
      </c>
      <c r="R19" t="s">
        <v>74</v>
      </c>
      <c r="S19" t="s">
        <v>74</v>
      </c>
      <c r="T19" t="s">
        <v>445</v>
      </c>
      <c r="U19" t="s">
        <v>446</v>
      </c>
      <c r="V19" t="s">
        <v>447</v>
      </c>
      <c r="W19" t="s">
        <v>448</v>
      </c>
      <c r="X19" t="s">
        <v>449</v>
      </c>
      <c r="Y19" t="s">
        <v>450</v>
      </c>
      <c r="Z19" t="s">
        <v>451</v>
      </c>
      <c r="AA19" t="s">
        <v>452</v>
      </c>
      <c r="AB19" t="s">
        <v>453</v>
      </c>
      <c r="AC19" t="s">
        <v>454</v>
      </c>
      <c r="AD19" t="s">
        <v>455</v>
      </c>
      <c r="AE19" t="s">
        <v>456</v>
      </c>
      <c r="AF19" t="s">
        <v>74</v>
      </c>
      <c r="AG19">
        <v>93</v>
      </c>
      <c r="AH19">
        <v>24</v>
      </c>
      <c r="AI19">
        <v>24</v>
      </c>
      <c r="AJ19">
        <v>0</v>
      </c>
      <c r="AK19">
        <v>28</v>
      </c>
      <c r="AL19" t="s">
        <v>284</v>
      </c>
      <c r="AM19" t="s">
        <v>285</v>
      </c>
      <c r="AN19" t="s">
        <v>286</v>
      </c>
      <c r="AO19" t="s">
        <v>457</v>
      </c>
      <c r="AP19" t="s">
        <v>458</v>
      </c>
      <c r="AQ19" t="s">
        <v>74</v>
      </c>
      <c r="AR19" t="s">
        <v>459</v>
      </c>
      <c r="AS19" t="s">
        <v>460</v>
      </c>
      <c r="AT19" t="s">
        <v>291</v>
      </c>
      <c r="AU19">
        <v>2020</v>
      </c>
      <c r="AV19">
        <v>184</v>
      </c>
      <c r="AW19" t="s">
        <v>74</v>
      </c>
      <c r="AX19" t="s">
        <v>74</v>
      </c>
      <c r="AY19" t="s">
        <v>74</v>
      </c>
      <c r="AZ19" t="s">
        <v>74</v>
      </c>
      <c r="BA19" t="s">
        <v>74</v>
      </c>
      <c r="BB19" t="s">
        <v>74</v>
      </c>
      <c r="BC19" t="s">
        <v>74</v>
      </c>
      <c r="BD19">
        <v>103079</v>
      </c>
      <c r="BE19" t="s">
        <v>461</v>
      </c>
      <c r="BF19" t="str">
        <f>HYPERLINK("http://dx.doi.org/10.1016/j.gloplacha.2019.103079","http://dx.doi.org/10.1016/j.gloplacha.2019.103079")</f>
        <v>http://dx.doi.org/10.1016/j.gloplacha.2019.103079</v>
      </c>
      <c r="BG19" t="s">
        <v>74</v>
      </c>
      <c r="BH19" t="s">
        <v>74</v>
      </c>
      <c r="BI19">
        <v>12</v>
      </c>
      <c r="BJ19" t="s">
        <v>462</v>
      </c>
      <c r="BK19" t="s">
        <v>294</v>
      </c>
      <c r="BL19" t="s">
        <v>463</v>
      </c>
      <c r="BM19" t="s">
        <v>464</v>
      </c>
      <c r="BN19" t="s">
        <v>74</v>
      </c>
      <c r="BO19" t="s">
        <v>74</v>
      </c>
      <c r="BP19" t="s">
        <v>74</v>
      </c>
      <c r="BQ19" t="s">
        <v>74</v>
      </c>
      <c r="BR19" t="s">
        <v>108</v>
      </c>
      <c r="BS19" t="s">
        <v>465</v>
      </c>
      <c r="BT19" t="str">
        <f>HYPERLINK("https%3A%2F%2Fwww.webofscience.com%2Fwos%2Fwoscc%2Ffull-record%2FWOS:000508491500025","View Full Record in Web of Science")</f>
        <v>View Full Record in Web of Science</v>
      </c>
    </row>
    <row r="20" spans="1:72" x14ac:dyDescent="0.15">
      <c r="A20" t="s">
        <v>72</v>
      </c>
      <c r="B20" t="s">
        <v>466</v>
      </c>
      <c r="C20" t="s">
        <v>74</v>
      </c>
      <c r="D20" t="s">
        <v>467</v>
      </c>
      <c r="E20" t="s">
        <v>74</v>
      </c>
      <c r="F20" t="s">
        <v>468</v>
      </c>
      <c r="G20" t="s">
        <v>74</v>
      </c>
      <c r="H20" t="s">
        <v>74</v>
      </c>
      <c r="I20" t="s">
        <v>469</v>
      </c>
      <c r="J20" t="s">
        <v>470</v>
      </c>
      <c r="K20" t="s">
        <v>471</v>
      </c>
      <c r="L20" t="s">
        <v>74</v>
      </c>
      <c r="M20" t="s">
        <v>80</v>
      </c>
      <c r="N20" t="s">
        <v>81</v>
      </c>
      <c r="O20" t="s">
        <v>472</v>
      </c>
      <c r="P20" t="s">
        <v>473</v>
      </c>
      <c r="Q20" t="s">
        <v>474</v>
      </c>
      <c r="R20" t="s">
        <v>74</v>
      </c>
      <c r="S20" t="s">
        <v>74</v>
      </c>
      <c r="T20" t="s">
        <v>475</v>
      </c>
      <c r="U20" t="s">
        <v>476</v>
      </c>
      <c r="V20" t="s">
        <v>477</v>
      </c>
      <c r="W20" t="s">
        <v>478</v>
      </c>
      <c r="X20" t="s">
        <v>479</v>
      </c>
      <c r="Y20" t="s">
        <v>480</v>
      </c>
      <c r="Z20" t="s">
        <v>481</v>
      </c>
      <c r="AA20" t="s">
        <v>74</v>
      </c>
      <c r="AB20" t="s">
        <v>482</v>
      </c>
      <c r="AC20" t="s">
        <v>483</v>
      </c>
      <c r="AD20" t="s">
        <v>484</v>
      </c>
      <c r="AE20" t="s">
        <v>485</v>
      </c>
      <c r="AF20" t="s">
        <v>74</v>
      </c>
      <c r="AG20">
        <v>21</v>
      </c>
      <c r="AH20">
        <v>0</v>
      </c>
      <c r="AI20">
        <v>0</v>
      </c>
      <c r="AJ20">
        <v>0</v>
      </c>
      <c r="AK20">
        <v>1</v>
      </c>
      <c r="AL20" t="s">
        <v>486</v>
      </c>
      <c r="AM20" t="s">
        <v>487</v>
      </c>
      <c r="AN20" t="s">
        <v>488</v>
      </c>
      <c r="AO20" t="s">
        <v>489</v>
      </c>
      <c r="AP20" t="s">
        <v>490</v>
      </c>
      <c r="AQ20" t="s">
        <v>491</v>
      </c>
      <c r="AR20" t="s">
        <v>492</v>
      </c>
      <c r="AS20" t="s">
        <v>74</v>
      </c>
      <c r="AT20" t="s">
        <v>74</v>
      </c>
      <c r="AU20">
        <v>2020</v>
      </c>
      <c r="AV20">
        <v>11447</v>
      </c>
      <c r="AW20" t="s">
        <v>74</v>
      </c>
      <c r="AX20" t="s">
        <v>74</v>
      </c>
      <c r="AY20" t="s">
        <v>74</v>
      </c>
      <c r="AZ20" t="s">
        <v>74</v>
      </c>
      <c r="BA20" t="s">
        <v>74</v>
      </c>
      <c r="BB20" t="s">
        <v>74</v>
      </c>
      <c r="BC20" t="s">
        <v>74</v>
      </c>
      <c r="BD20" t="s">
        <v>493</v>
      </c>
      <c r="BE20" t="s">
        <v>494</v>
      </c>
      <c r="BF20" t="str">
        <f>HYPERLINK("http://dx.doi.org/10.1117/12.2576301","http://dx.doi.org/10.1117/12.2576301")</f>
        <v>http://dx.doi.org/10.1117/12.2576301</v>
      </c>
      <c r="BG20" t="s">
        <v>74</v>
      </c>
      <c r="BH20" t="s">
        <v>74</v>
      </c>
      <c r="BI20">
        <v>12</v>
      </c>
      <c r="BJ20" t="s">
        <v>495</v>
      </c>
      <c r="BK20" t="s">
        <v>104</v>
      </c>
      <c r="BL20" t="s">
        <v>496</v>
      </c>
      <c r="BM20" t="s">
        <v>497</v>
      </c>
      <c r="BN20" t="s">
        <v>74</v>
      </c>
      <c r="BO20" t="s">
        <v>74</v>
      </c>
      <c r="BP20" t="s">
        <v>74</v>
      </c>
      <c r="BQ20" t="s">
        <v>74</v>
      </c>
      <c r="BR20" t="s">
        <v>108</v>
      </c>
      <c r="BS20" t="s">
        <v>498</v>
      </c>
      <c r="BT20" t="str">
        <f>HYPERLINK("https%3A%2F%2Fwww.webofscience.com%2Fwos%2Fwoscc%2Ffull-record%2FWOS:000850778200010","View Full Record in Web of Science")</f>
        <v>View Full Record in Web of Science</v>
      </c>
    </row>
    <row r="21" spans="1:72" x14ac:dyDescent="0.15">
      <c r="A21" t="s">
        <v>72</v>
      </c>
      <c r="B21" t="s">
        <v>499</v>
      </c>
      <c r="C21" t="s">
        <v>74</v>
      </c>
      <c r="D21" t="s">
        <v>500</v>
      </c>
      <c r="E21" t="s">
        <v>74</v>
      </c>
      <c r="F21" t="s">
        <v>501</v>
      </c>
      <c r="G21" t="s">
        <v>74</v>
      </c>
      <c r="H21" t="s">
        <v>74</v>
      </c>
      <c r="I21" t="s">
        <v>502</v>
      </c>
      <c r="J21" t="s">
        <v>503</v>
      </c>
      <c r="K21" t="s">
        <v>471</v>
      </c>
      <c r="L21" t="s">
        <v>74</v>
      </c>
      <c r="M21" t="s">
        <v>80</v>
      </c>
      <c r="N21" t="s">
        <v>81</v>
      </c>
      <c r="O21" t="s">
        <v>504</v>
      </c>
      <c r="P21" t="s">
        <v>473</v>
      </c>
      <c r="Q21" t="s">
        <v>474</v>
      </c>
      <c r="R21" t="s">
        <v>74</v>
      </c>
      <c r="S21" t="s">
        <v>74</v>
      </c>
      <c r="T21" t="s">
        <v>505</v>
      </c>
      <c r="U21" t="s">
        <v>506</v>
      </c>
      <c r="V21" t="s">
        <v>507</v>
      </c>
      <c r="W21" t="s">
        <v>508</v>
      </c>
      <c r="X21" t="s">
        <v>509</v>
      </c>
      <c r="Y21" t="s">
        <v>510</v>
      </c>
      <c r="Z21" t="s">
        <v>74</v>
      </c>
      <c r="AA21" t="s">
        <v>74</v>
      </c>
      <c r="AB21" t="s">
        <v>74</v>
      </c>
      <c r="AC21" t="s">
        <v>511</v>
      </c>
      <c r="AD21" t="s">
        <v>512</v>
      </c>
      <c r="AE21" t="s">
        <v>513</v>
      </c>
      <c r="AF21" t="s">
        <v>74</v>
      </c>
      <c r="AG21">
        <v>8</v>
      </c>
      <c r="AH21">
        <v>0</v>
      </c>
      <c r="AI21">
        <v>0</v>
      </c>
      <c r="AJ21">
        <v>0</v>
      </c>
      <c r="AK21">
        <v>4</v>
      </c>
      <c r="AL21" t="s">
        <v>486</v>
      </c>
      <c r="AM21" t="s">
        <v>487</v>
      </c>
      <c r="AN21" t="s">
        <v>488</v>
      </c>
      <c r="AO21" t="s">
        <v>489</v>
      </c>
      <c r="AP21" t="s">
        <v>490</v>
      </c>
      <c r="AQ21" t="s">
        <v>514</v>
      </c>
      <c r="AR21" t="s">
        <v>492</v>
      </c>
      <c r="AS21" t="s">
        <v>74</v>
      </c>
      <c r="AT21" t="s">
        <v>74</v>
      </c>
      <c r="AU21">
        <v>2020</v>
      </c>
      <c r="AV21">
        <v>11445</v>
      </c>
      <c r="AW21" t="s">
        <v>74</v>
      </c>
      <c r="AX21" t="s">
        <v>74</v>
      </c>
      <c r="AY21" t="s">
        <v>74</v>
      </c>
      <c r="AZ21" t="s">
        <v>74</v>
      </c>
      <c r="BA21" t="s">
        <v>74</v>
      </c>
      <c r="BB21" t="s">
        <v>74</v>
      </c>
      <c r="BC21" t="s">
        <v>74</v>
      </c>
      <c r="BD21" t="s">
        <v>515</v>
      </c>
      <c r="BE21" t="s">
        <v>516</v>
      </c>
      <c r="BF21" t="str">
        <f>HYPERLINK("http://dx.doi.org/10.1117/12.2560645","http://dx.doi.org/10.1117/12.2560645")</f>
        <v>http://dx.doi.org/10.1117/12.2560645</v>
      </c>
      <c r="BG21" t="s">
        <v>74</v>
      </c>
      <c r="BH21" t="s">
        <v>74</v>
      </c>
      <c r="BI21">
        <v>7</v>
      </c>
      <c r="BJ21" t="s">
        <v>517</v>
      </c>
      <c r="BK21" t="s">
        <v>104</v>
      </c>
      <c r="BL21" t="s">
        <v>517</v>
      </c>
      <c r="BM21" t="s">
        <v>518</v>
      </c>
      <c r="BN21" t="s">
        <v>74</v>
      </c>
      <c r="BO21" t="s">
        <v>74</v>
      </c>
      <c r="BP21" t="s">
        <v>74</v>
      </c>
      <c r="BQ21" t="s">
        <v>74</v>
      </c>
      <c r="BR21" t="s">
        <v>108</v>
      </c>
      <c r="BS21" t="s">
        <v>519</v>
      </c>
      <c r="BT21" t="str">
        <f>HYPERLINK("https%3A%2F%2Fwww.webofscience.com%2Fwos%2Fwoscc%2Ffull-record%2FWOS:000769070400086","View Full Record in Web of Science")</f>
        <v>View Full Record in Web of Science</v>
      </c>
    </row>
    <row r="22" spans="1:72" x14ac:dyDescent="0.15">
      <c r="A22" t="s">
        <v>72</v>
      </c>
      <c r="B22" t="s">
        <v>520</v>
      </c>
      <c r="C22" t="s">
        <v>74</v>
      </c>
      <c r="D22" t="s">
        <v>500</v>
      </c>
      <c r="E22" t="s">
        <v>74</v>
      </c>
      <c r="F22" t="s">
        <v>521</v>
      </c>
      <c r="G22" t="s">
        <v>74</v>
      </c>
      <c r="H22" t="s">
        <v>74</v>
      </c>
      <c r="I22" t="s">
        <v>522</v>
      </c>
      <c r="J22" t="s">
        <v>503</v>
      </c>
      <c r="K22" t="s">
        <v>471</v>
      </c>
      <c r="L22" t="s">
        <v>74</v>
      </c>
      <c r="M22" t="s">
        <v>80</v>
      </c>
      <c r="N22" t="s">
        <v>81</v>
      </c>
      <c r="O22" t="s">
        <v>504</v>
      </c>
      <c r="P22" t="s">
        <v>473</v>
      </c>
      <c r="Q22" t="s">
        <v>474</v>
      </c>
      <c r="R22" t="s">
        <v>74</v>
      </c>
      <c r="S22" t="s">
        <v>74</v>
      </c>
      <c r="T22" t="s">
        <v>523</v>
      </c>
      <c r="U22" t="s">
        <v>524</v>
      </c>
      <c r="V22" t="s">
        <v>525</v>
      </c>
      <c r="W22" t="s">
        <v>526</v>
      </c>
      <c r="X22" t="s">
        <v>527</v>
      </c>
      <c r="Y22" t="s">
        <v>528</v>
      </c>
      <c r="Z22" t="s">
        <v>529</v>
      </c>
      <c r="AA22" t="s">
        <v>530</v>
      </c>
      <c r="AB22" t="s">
        <v>482</v>
      </c>
      <c r="AC22" t="s">
        <v>531</v>
      </c>
      <c r="AD22" t="s">
        <v>532</v>
      </c>
      <c r="AE22" t="s">
        <v>533</v>
      </c>
      <c r="AF22" t="s">
        <v>74</v>
      </c>
      <c r="AG22">
        <v>17</v>
      </c>
      <c r="AH22">
        <v>0</v>
      </c>
      <c r="AI22">
        <v>0</v>
      </c>
      <c r="AJ22">
        <v>0</v>
      </c>
      <c r="AK22">
        <v>2</v>
      </c>
      <c r="AL22" t="s">
        <v>486</v>
      </c>
      <c r="AM22" t="s">
        <v>487</v>
      </c>
      <c r="AN22" t="s">
        <v>488</v>
      </c>
      <c r="AO22" t="s">
        <v>489</v>
      </c>
      <c r="AP22" t="s">
        <v>490</v>
      </c>
      <c r="AQ22" t="s">
        <v>514</v>
      </c>
      <c r="AR22" t="s">
        <v>492</v>
      </c>
      <c r="AS22" t="s">
        <v>74</v>
      </c>
      <c r="AT22" t="s">
        <v>74</v>
      </c>
      <c r="AU22">
        <v>2020</v>
      </c>
      <c r="AV22">
        <v>11445</v>
      </c>
      <c r="AW22" t="s">
        <v>74</v>
      </c>
      <c r="AX22" t="s">
        <v>74</v>
      </c>
      <c r="AY22" t="s">
        <v>74</v>
      </c>
      <c r="AZ22" t="s">
        <v>74</v>
      </c>
      <c r="BA22" t="s">
        <v>74</v>
      </c>
      <c r="BB22" t="s">
        <v>74</v>
      </c>
      <c r="BC22" t="s">
        <v>74</v>
      </c>
      <c r="BD22">
        <v>1144582</v>
      </c>
      <c r="BE22" t="s">
        <v>534</v>
      </c>
      <c r="BF22" t="str">
        <f>HYPERLINK("http://dx.doi.org/10.1117/12.2562511","http://dx.doi.org/10.1117/12.2562511")</f>
        <v>http://dx.doi.org/10.1117/12.2562511</v>
      </c>
      <c r="BG22" t="s">
        <v>74</v>
      </c>
      <c r="BH22" t="s">
        <v>74</v>
      </c>
      <c r="BI22">
        <v>12</v>
      </c>
      <c r="BJ22" t="s">
        <v>517</v>
      </c>
      <c r="BK22" t="s">
        <v>104</v>
      </c>
      <c r="BL22" t="s">
        <v>517</v>
      </c>
      <c r="BM22" t="s">
        <v>518</v>
      </c>
      <c r="BN22" t="s">
        <v>74</v>
      </c>
      <c r="BO22" t="s">
        <v>74</v>
      </c>
      <c r="BP22" t="s">
        <v>74</v>
      </c>
      <c r="BQ22" t="s">
        <v>74</v>
      </c>
      <c r="BR22" t="s">
        <v>108</v>
      </c>
      <c r="BS22" t="s">
        <v>535</v>
      </c>
      <c r="BT22" t="str">
        <f>HYPERLINK("https%3A%2F%2Fwww.webofscience.com%2Fwos%2Fwoscc%2Ffull-record%2FWOS:000769070400124","View Full Record in Web of Science")</f>
        <v>View Full Record in Web of Science</v>
      </c>
    </row>
    <row r="23" spans="1:72" x14ac:dyDescent="0.15">
      <c r="A23" t="s">
        <v>133</v>
      </c>
      <c r="B23" t="s">
        <v>536</v>
      </c>
      <c r="C23" t="s">
        <v>74</v>
      </c>
      <c r="D23" t="s">
        <v>74</v>
      </c>
      <c r="E23" t="s">
        <v>74</v>
      </c>
      <c r="F23" t="s">
        <v>537</v>
      </c>
      <c r="G23" t="s">
        <v>74</v>
      </c>
      <c r="H23" t="s">
        <v>74</v>
      </c>
      <c r="I23" t="s">
        <v>538</v>
      </c>
      <c r="J23" t="s">
        <v>539</v>
      </c>
      <c r="K23" t="s">
        <v>74</v>
      </c>
      <c r="L23" t="s">
        <v>74</v>
      </c>
      <c r="M23" t="s">
        <v>80</v>
      </c>
      <c r="N23" t="s">
        <v>138</v>
      </c>
      <c r="O23" t="s">
        <v>74</v>
      </c>
      <c r="P23" t="s">
        <v>74</v>
      </c>
      <c r="Q23" t="s">
        <v>74</v>
      </c>
      <c r="R23" t="s">
        <v>74</v>
      </c>
      <c r="S23" t="s">
        <v>74</v>
      </c>
      <c r="T23" t="s">
        <v>540</v>
      </c>
      <c r="U23" t="s">
        <v>541</v>
      </c>
      <c r="V23" t="s">
        <v>542</v>
      </c>
      <c r="W23" t="s">
        <v>543</v>
      </c>
      <c r="X23" t="s">
        <v>544</v>
      </c>
      <c r="Y23" t="s">
        <v>545</v>
      </c>
      <c r="Z23" t="s">
        <v>546</v>
      </c>
      <c r="AA23" t="s">
        <v>547</v>
      </c>
      <c r="AB23" t="s">
        <v>548</v>
      </c>
      <c r="AC23" t="s">
        <v>549</v>
      </c>
      <c r="AD23" t="s">
        <v>550</v>
      </c>
      <c r="AE23" t="s">
        <v>551</v>
      </c>
      <c r="AF23" t="s">
        <v>74</v>
      </c>
      <c r="AG23">
        <v>99</v>
      </c>
      <c r="AH23">
        <v>149</v>
      </c>
      <c r="AI23">
        <v>168</v>
      </c>
      <c r="AJ23">
        <v>37</v>
      </c>
      <c r="AK23">
        <v>229</v>
      </c>
      <c r="AL23" t="s">
        <v>284</v>
      </c>
      <c r="AM23" t="s">
        <v>285</v>
      </c>
      <c r="AN23" t="s">
        <v>286</v>
      </c>
      <c r="AO23" t="s">
        <v>552</v>
      </c>
      <c r="AP23" t="s">
        <v>553</v>
      </c>
      <c r="AQ23" t="s">
        <v>74</v>
      </c>
      <c r="AR23" t="s">
        <v>539</v>
      </c>
      <c r="AS23" t="s">
        <v>554</v>
      </c>
      <c r="AT23" t="s">
        <v>291</v>
      </c>
      <c r="AU23">
        <v>2020</v>
      </c>
      <c r="AV23">
        <v>91</v>
      </c>
      <c r="AW23" t="s">
        <v>74</v>
      </c>
      <c r="AX23" t="s">
        <v>74</v>
      </c>
      <c r="AY23" t="s">
        <v>74</v>
      </c>
      <c r="AZ23" t="s">
        <v>555</v>
      </c>
      <c r="BA23" t="s">
        <v>74</v>
      </c>
      <c r="BB23" t="s">
        <v>74</v>
      </c>
      <c r="BC23" t="s">
        <v>74</v>
      </c>
      <c r="BD23">
        <v>101591</v>
      </c>
      <c r="BE23" t="s">
        <v>556</v>
      </c>
      <c r="BF23" t="str">
        <f>HYPERLINK("http://dx.doi.org/10.1016/j.hal.2019.03.009","http://dx.doi.org/10.1016/j.hal.2019.03.009")</f>
        <v>http://dx.doi.org/10.1016/j.hal.2019.03.009</v>
      </c>
      <c r="BG23" t="s">
        <v>74</v>
      </c>
      <c r="BH23" t="s">
        <v>74</v>
      </c>
      <c r="BI23">
        <v>14</v>
      </c>
      <c r="BJ23" t="s">
        <v>557</v>
      </c>
      <c r="BK23" t="s">
        <v>294</v>
      </c>
      <c r="BL23" t="s">
        <v>557</v>
      </c>
      <c r="BM23" t="s">
        <v>558</v>
      </c>
      <c r="BN23">
        <v>32057339</v>
      </c>
      <c r="BO23" t="s">
        <v>559</v>
      </c>
      <c r="BP23" t="s">
        <v>560</v>
      </c>
      <c r="BQ23" t="s">
        <v>561</v>
      </c>
      <c r="BR23" t="s">
        <v>108</v>
      </c>
      <c r="BS23" t="s">
        <v>562</v>
      </c>
      <c r="BT23" t="str">
        <f>HYPERLINK("https%3A%2F%2Fwww.webofscience.com%2Fwos%2Fwoscc%2Ffull-record%2FWOS:000518705600002","View Full Record in Web of Science")</f>
        <v>View Full Record in Web of Science</v>
      </c>
    </row>
    <row r="24" spans="1:72" x14ac:dyDescent="0.15">
      <c r="A24" t="s">
        <v>133</v>
      </c>
      <c r="B24" t="s">
        <v>563</v>
      </c>
      <c r="C24" t="s">
        <v>74</v>
      </c>
      <c r="D24" t="s">
        <v>74</v>
      </c>
      <c r="E24" t="s">
        <v>74</v>
      </c>
      <c r="F24" t="s">
        <v>564</v>
      </c>
      <c r="G24" t="s">
        <v>74</v>
      </c>
      <c r="H24" t="s">
        <v>74</v>
      </c>
      <c r="I24" t="s">
        <v>565</v>
      </c>
      <c r="J24" t="s">
        <v>566</v>
      </c>
      <c r="K24" t="s">
        <v>74</v>
      </c>
      <c r="L24" t="s">
        <v>74</v>
      </c>
      <c r="M24" t="s">
        <v>80</v>
      </c>
      <c r="N24" t="s">
        <v>138</v>
      </c>
      <c r="O24" t="s">
        <v>74</v>
      </c>
      <c r="P24" t="s">
        <v>74</v>
      </c>
      <c r="Q24" t="s">
        <v>74</v>
      </c>
      <c r="R24" t="s">
        <v>74</v>
      </c>
      <c r="S24" t="s">
        <v>74</v>
      </c>
      <c r="T24" t="s">
        <v>567</v>
      </c>
      <c r="U24" t="s">
        <v>568</v>
      </c>
      <c r="V24" t="s">
        <v>569</v>
      </c>
      <c r="W24" t="s">
        <v>570</v>
      </c>
      <c r="X24" t="s">
        <v>571</v>
      </c>
      <c r="Y24" t="s">
        <v>572</v>
      </c>
      <c r="Z24" t="s">
        <v>573</v>
      </c>
      <c r="AA24" t="s">
        <v>574</v>
      </c>
      <c r="AB24" t="s">
        <v>575</v>
      </c>
      <c r="AC24" t="s">
        <v>576</v>
      </c>
      <c r="AD24" t="s">
        <v>576</v>
      </c>
      <c r="AE24" t="s">
        <v>577</v>
      </c>
      <c r="AF24" t="s">
        <v>74</v>
      </c>
      <c r="AG24">
        <v>72</v>
      </c>
      <c r="AH24">
        <v>26</v>
      </c>
      <c r="AI24">
        <v>29</v>
      </c>
      <c r="AJ24">
        <v>3</v>
      </c>
      <c r="AK24">
        <v>15</v>
      </c>
      <c r="AL24" t="s">
        <v>578</v>
      </c>
      <c r="AM24" t="s">
        <v>380</v>
      </c>
      <c r="AN24" t="s">
        <v>579</v>
      </c>
      <c r="AO24" t="s">
        <v>580</v>
      </c>
      <c r="AP24" t="s">
        <v>581</v>
      </c>
      <c r="AQ24" t="s">
        <v>74</v>
      </c>
      <c r="AR24" t="s">
        <v>582</v>
      </c>
      <c r="AS24" t="s">
        <v>583</v>
      </c>
      <c r="AT24" t="s">
        <v>584</v>
      </c>
      <c r="AU24">
        <v>2020</v>
      </c>
      <c r="AV24">
        <v>77</v>
      </c>
      <c r="AW24">
        <v>1</v>
      </c>
      <c r="AX24" t="s">
        <v>74</v>
      </c>
      <c r="AY24" t="s">
        <v>74</v>
      </c>
      <c r="AZ24" t="s">
        <v>74</v>
      </c>
      <c r="BA24" t="s">
        <v>74</v>
      </c>
      <c r="BB24">
        <v>109</v>
      </c>
      <c r="BC24">
        <v>118</v>
      </c>
      <c r="BD24" t="s">
        <v>74</v>
      </c>
      <c r="BE24" t="s">
        <v>585</v>
      </c>
      <c r="BF24" t="str">
        <f>HYPERLINK("http://dx.doi.org/10.1093/icesjms/fsz251","http://dx.doi.org/10.1093/icesjms/fsz251")</f>
        <v>http://dx.doi.org/10.1093/icesjms/fsz251</v>
      </c>
      <c r="BG24" t="s">
        <v>74</v>
      </c>
      <c r="BH24" t="s">
        <v>74</v>
      </c>
      <c r="BI24">
        <v>10</v>
      </c>
      <c r="BJ24" t="s">
        <v>586</v>
      </c>
      <c r="BK24" t="s">
        <v>294</v>
      </c>
      <c r="BL24" t="s">
        <v>586</v>
      </c>
      <c r="BM24" t="s">
        <v>587</v>
      </c>
      <c r="BN24" t="s">
        <v>74</v>
      </c>
      <c r="BO24" t="s">
        <v>588</v>
      </c>
      <c r="BP24" t="s">
        <v>74</v>
      </c>
      <c r="BQ24" t="s">
        <v>74</v>
      </c>
      <c r="BR24" t="s">
        <v>108</v>
      </c>
      <c r="BS24" t="s">
        <v>589</v>
      </c>
      <c r="BT24" t="str">
        <f>HYPERLINK("https%3A%2F%2Fwww.webofscience.com%2Fwos%2Fwoscc%2Ffull-record%2FWOS:000518530200010","View Full Record in Web of Science")</f>
        <v>View Full Record in Web of Science</v>
      </c>
    </row>
    <row r="25" spans="1:72" x14ac:dyDescent="0.15">
      <c r="A25" t="s">
        <v>590</v>
      </c>
      <c r="B25" t="s">
        <v>591</v>
      </c>
      <c r="C25" t="s">
        <v>74</v>
      </c>
      <c r="D25" t="s">
        <v>592</v>
      </c>
      <c r="E25" t="s">
        <v>74</v>
      </c>
      <c r="F25" t="s">
        <v>593</v>
      </c>
      <c r="G25" t="s">
        <v>74</v>
      </c>
      <c r="H25" t="s">
        <v>74</v>
      </c>
      <c r="I25" t="s">
        <v>594</v>
      </c>
      <c r="J25" t="s">
        <v>595</v>
      </c>
      <c r="K25" t="s">
        <v>74</v>
      </c>
      <c r="L25" t="s">
        <v>74</v>
      </c>
      <c r="M25" t="s">
        <v>80</v>
      </c>
      <c r="N25" t="s">
        <v>117</v>
      </c>
      <c r="O25" t="s">
        <v>74</v>
      </c>
      <c r="P25" t="s">
        <v>74</v>
      </c>
      <c r="Q25" t="s">
        <v>74</v>
      </c>
      <c r="R25" t="s">
        <v>74</v>
      </c>
      <c r="S25" t="s">
        <v>74</v>
      </c>
      <c r="T25" t="s">
        <v>74</v>
      </c>
      <c r="U25" t="s">
        <v>596</v>
      </c>
      <c r="V25" t="s">
        <v>74</v>
      </c>
      <c r="W25" t="s">
        <v>597</v>
      </c>
      <c r="X25" t="s">
        <v>598</v>
      </c>
      <c r="Y25" t="s">
        <v>599</v>
      </c>
      <c r="Z25" t="s">
        <v>74</v>
      </c>
      <c r="AA25" t="s">
        <v>600</v>
      </c>
      <c r="AB25" t="s">
        <v>601</v>
      </c>
      <c r="AC25" t="s">
        <v>602</v>
      </c>
      <c r="AD25" t="s">
        <v>603</v>
      </c>
      <c r="AE25" t="s">
        <v>604</v>
      </c>
      <c r="AF25" t="s">
        <v>74</v>
      </c>
      <c r="AG25">
        <v>382</v>
      </c>
      <c r="AH25">
        <v>1</v>
      </c>
      <c r="AI25">
        <v>1</v>
      </c>
      <c r="AJ25">
        <v>0</v>
      </c>
      <c r="AK25">
        <v>0</v>
      </c>
      <c r="AL25" t="s">
        <v>605</v>
      </c>
      <c r="AM25" t="s">
        <v>606</v>
      </c>
      <c r="AN25" t="s">
        <v>607</v>
      </c>
      <c r="AO25" t="s">
        <v>74</v>
      </c>
      <c r="AP25" t="s">
        <v>74</v>
      </c>
      <c r="AQ25" t="s">
        <v>608</v>
      </c>
      <c r="AR25" t="s">
        <v>74</v>
      </c>
      <c r="AS25" t="s">
        <v>74</v>
      </c>
      <c r="AT25" t="s">
        <v>74</v>
      </c>
      <c r="AU25">
        <v>2020</v>
      </c>
      <c r="AV25" t="s">
        <v>74</v>
      </c>
      <c r="AW25" t="s">
        <v>74</v>
      </c>
      <c r="AX25" t="s">
        <v>74</v>
      </c>
      <c r="AY25" t="s">
        <v>74</v>
      </c>
      <c r="AZ25" t="s">
        <v>74</v>
      </c>
      <c r="BA25" t="s">
        <v>74</v>
      </c>
      <c r="BB25">
        <v>1</v>
      </c>
      <c r="BC25">
        <v>53</v>
      </c>
      <c r="BD25" t="s">
        <v>74</v>
      </c>
      <c r="BE25" t="s">
        <v>74</v>
      </c>
      <c r="BF25" t="s">
        <v>74</v>
      </c>
      <c r="BG25" t="s">
        <v>609</v>
      </c>
      <c r="BH25" t="s">
        <v>74</v>
      </c>
      <c r="BI25">
        <v>53</v>
      </c>
      <c r="BJ25" t="s">
        <v>610</v>
      </c>
      <c r="BK25" t="s">
        <v>611</v>
      </c>
      <c r="BL25" t="s">
        <v>610</v>
      </c>
      <c r="BM25" t="s">
        <v>612</v>
      </c>
      <c r="BN25" t="s">
        <v>74</v>
      </c>
      <c r="BO25" t="s">
        <v>74</v>
      </c>
      <c r="BP25" t="s">
        <v>74</v>
      </c>
      <c r="BQ25" t="s">
        <v>74</v>
      </c>
      <c r="BR25" t="s">
        <v>108</v>
      </c>
      <c r="BS25" t="s">
        <v>613</v>
      </c>
      <c r="BT25" t="str">
        <f>HYPERLINK("https%3A%2F%2Fwww.webofscience.com%2Fwos%2Fwoscc%2Ffull-record%2FWOS:001105801500002","View Full Record in Web of Science")</f>
        <v>View Full Record in Web of Science</v>
      </c>
    </row>
    <row r="26" spans="1:72" x14ac:dyDescent="0.15">
      <c r="A26" t="s">
        <v>133</v>
      </c>
      <c r="B26" t="s">
        <v>614</v>
      </c>
      <c r="C26" t="s">
        <v>74</v>
      </c>
      <c r="D26" t="s">
        <v>74</v>
      </c>
      <c r="E26" t="s">
        <v>74</v>
      </c>
      <c r="F26" t="s">
        <v>615</v>
      </c>
      <c r="G26" t="s">
        <v>74</v>
      </c>
      <c r="H26" t="s">
        <v>74</v>
      </c>
      <c r="I26" t="s">
        <v>616</v>
      </c>
      <c r="J26" t="s">
        <v>617</v>
      </c>
      <c r="K26" t="s">
        <v>74</v>
      </c>
      <c r="L26" t="s">
        <v>74</v>
      </c>
      <c r="M26" t="s">
        <v>80</v>
      </c>
      <c r="N26" t="s">
        <v>138</v>
      </c>
      <c r="O26" t="s">
        <v>74</v>
      </c>
      <c r="P26" t="s">
        <v>74</v>
      </c>
      <c r="Q26" t="s">
        <v>74</v>
      </c>
      <c r="R26" t="s">
        <v>74</v>
      </c>
      <c r="S26" t="s">
        <v>74</v>
      </c>
      <c r="T26" t="s">
        <v>618</v>
      </c>
      <c r="U26" t="s">
        <v>619</v>
      </c>
      <c r="V26" t="s">
        <v>620</v>
      </c>
      <c r="W26" t="s">
        <v>621</v>
      </c>
      <c r="X26" t="s">
        <v>622</v>
      </c>
      <c r="Y26" t="s">
        <v>623</v>
      </c>
      <c r="Z26" t="s">
        <v>624</v>
      </c>
      <c r="AA26" t="s">
        <v>625</v>
      </c>
      <c r="AB26" t="s">
        <v>626</v>
      </c>
      <c r="AC26" t="s">
        <v>627</v>
      </c>
      <c r="AD26" t="s">
        <v>627</v>
      </c>
      <c r="AE26" t="s">
        <v>628</v>
      </c>
      <c r="AF26" t="s">
        <v>74</v>
      </c>
      <c r="AG26">
        <v>55</v>
      </c>
      <c r="AH26">
        <v>5</v>
      </c>
      <c r="AI26">
        <v>5</v>
      </c>
      <c r="AJ26">
        <v>0</v>
      </c>
      <c r="AK26">
        <v>18</v>
      </c>
      <c r="AL26" t="s">
        <v>605</v>
      </c>
      <c r="AM26" t="s">
        <v>606</v>
      </c>
      <c r="AN26" t="s">
        <v>629</v>
      </c>
      <c r="AO26" t="s">
        <v>630</v>
      </c>
      <c r="AP26" t="s">
        <v>631</v>
      </c>
      <c r="AQ26" t="s">
        <v>74</v>
      </c>
      <c r="AR26" t="s">
        <v>632</v>
      </c>
      <c r="AS26" t="s">
        <v>633</v>
      </c>
      <c r="AT26" t="s">
        <v>74</v>
      </c>
      <c r="AU26">
        <v>2020</v>
      </c>
      <c r="AV26">
        <v>94</v>
      </c>
      <c r="AW26" t="s">
        <v>74</v>
      </c>
      <c r="AX26" t="s">
        <v>74</v>
      </c>
      <c r="AY26" t="s">
        <v>74</v>
      </c>
      <c r="AZ26" t="s">
        <v>74</v>
      </c>
      <c r="BA26" t="s">
        <v>74</v>
      </c>
      <c r="BB26" t="s">
        <v>74</v>
      </c>
      <c r="BC26" t="s">
        <v>74</v>
      </c>
      <c r="BD26" t="s">
        <v>634</v>
      </c>
      <c r="BE26" t="s">
        <v>635</v>
      </c>
      <c r="BF26" t="str">
        <f>HYPERLINK("http://dx.doi.org/10.1017/S0022149X19000981","http://dx.doi.org/10.1017/S0022149X19000981")</f>
        <v>http://dx.doi.org/10.1017/S0022149X19000981</v>
      </c>
      <c r="BG26" t="s">
        <v>74</v>
      </c>
      <c r="BH26" t="s">
        <v>74</v>
      </c>
      <c r="BI26">
        <v>10</v>
      </c>
      <c r="BJ26" t="s">
        <v>636</v>
      </c>
      <c r="BK26" t="s">
        <v>294</v>
      </c>
      <c r="BL26" t="s">
        <v>636</v>
      </c>
      <c r="BM26" t="s">
        <v>637</v>
      </c>
      <c r="BN26">
        <v>31735179</v>
      </c>
      <c r="BO26" t="s">
        <v>638</v>
      </c>
      <c r="BP26" t="s">
        <v>74</v>
      </c>
      <c r="BQ26" t="s">
        <v>74</v>
      </c>
      <c r="BR26" t="s">
        <v>108</v>
      </c>
      <c r="BS26" t="s">
        <v>639</v>
      </c>
      <c r="BT26" t="str">
        <f>HYPERLINK("https%3A%2F%2Fwww.webofscience.com%2Fwos%2Fwoscc%2Ffull-record%2FWOS:000538814800055","View Full Record in Web of Science")</f>
        <v>View Full Record in Web of Science</v>
      </c>
    </row>
    <row r="27" spans="1:72" x14ac:dyDescent="0.15">
      <c r="A27" t="s">
        <v>133</v>
      </c>
      <c r="B27" t="s">
        <v>640</v>
      </c>
      <c r="C27" t="s">
        <v>74</v>
      </c>
      <c r="D27" t="s">
        <v>74</v>
      </c>
      <c r="E27" t="s">
        <v>74</v>
      </c>
      <c r="F27" t="s">
        <v>641</v>
      </c>
      <c r="G27" t="s">
        <v>74</v>
      </c>
      <c r="H27" t="s">
        <v>74</v>
      </c>
      <c r="I27" t="s">
        <v>642</v>
      </c>
      <c r="J27" t="s">
        <v>643</v>
      </c>
      <c r="K27" t="s">
        <v>74</v>
      </c>
      <c r="L27" t="s">
        <v>74</v>
      </c>
      <c r="M27" t="s">
        <v>80</v>
      </c>
      <c r="N27" t="s">
        <v>138</v>
      </c>
      <c r="O27" t="s">
        <v>74</v>
      </c>
      <c r="P27" t="s">
        <v>74</v>
      </c>
      <c r="Q27" t="s">
        <v>74</v>
      </c>
      <c r="R27" t="s">
        <v>74</v>
      </c>
      <c r="S27" t="s">
        <v>74</v>
      </c>
      <c r="T27" t="s">
        <v>644</v>
      </c>
      <c r="U27" t="s">
        <v>645</v>
      </c>
      <c r="V27" t="s">
        <v>646</v>
      </c>
      <c r="W27" t="s">
        <v>647</v>
      </c>
      <c r="X27" t="s">
        <v>648</v>
      </c>
      <c r="Y27" t="s">
        <v>649</v>
      </c>
      <c r="Z27" t="s">
        <v>650</v>
      </c>
      <c r="AA27" t="s">
        <v>651</v>
      </c>
      <c r="AB27" t="s">
        <v>652</v>
      </c>
      <c r="AC27" t="s">
        <v>653</v>
      </c>
      <c r="AD27" t="s">
        <v>654</v>
      </c>
      <c r="AE27" t="s">
        <v>655</v>
      </c>
      <c r="AF27" t="s">
        <v>74</v>
      </c>
      <c r="AG27">
        <v>139</v>
      </c>
      <c r="AH27">
        <v>55</v>
      </c>
      <c r="AI27">
        <v>62</v>
      </c>
      <c r="AJ27">
        <v>5</v>
      </c>
      <c r="AK27">
        <v>95</v>
      </c>
      <c r="AL27" t="s">
        <v>656</v>
      </c>
      <c r="AM27" t="s">
        <v>657</v>
      </c>
      <c r="AN27" t="s">
        <v>658</v>
      </c>
      <c r="AO27" t="s">
        <v>659</v>
      </c>
      <c r="AP27" t="s">
        <v>660</v>
      </c>
      <c r="AQ27" t="s">
        <v>74</v>
      </c>
      <c r="AR27" t="s">
        <v>661</v>
      </c>
      <c r="AS27" t="s">
        <v>662</v>
      </c>
      <c r="AT27" t="s">
        <v>74</v>
      </c>
      <c r="AU27">
        <v>2020</v>
      </c>
      <c r="AV27">
        <v>71</v>
      </c>
      <c r="AW27">
        <v>3</v>
      </c>
      <c r="AX27" t="s">
        <v>74</v>
      </c>
      <c r="AY27" t="s">
        <v>74</v>
      </c>
      <c r="AZ27" t="s">
        <v>74</v>
      </c>
      <c r="BA27" t="s">
        <v>74</v>
      </c>
      <c r="BB27">
        <v>263</v>
      </c>
      <c r="BC27">
        <v>274</v>
      </c>
      <c r="BD27" t="s">
        <v>74</v>
      </c>
      <c r="BE27" t="s">
        <v>663</v>
      </c>
      <c r="BF27" t="str">
        <f>HYPERLINK("http://dx.doi.org/10.1071/MF19267","http://dx.doi.org/10.1071/MF19267")</f>
        <v>http://dx.doi.org/10.1071/MF19267</v>
      </c>
      <c r="BG27" t="s">
        <v>74</v>
      </c>
      <c r="BH27" t="s">
        <v>74</v>
      </c>
      <c r="BI27">
        <v>12</v>
      </c>
      <c r="BJ27" t="s">
        <v>664</v>
      </c>
      <c r="BK27" t="s">
        <v>294</v>
      </c>
      <c r="BL27" t="s">
        <v>586</v>
      </c>
      <c r="BM27" t="s">
        <v>665</v>
      </c>
      <c r="BN27" t="s">
        <v>74</v>
      </c>
      <c r="BO27" t="s">
        <v>666</v>
      </c>
      <c r="BP27" t="s">
        <v>74</v>
      </c>
      <c r="BQ27" t="s">
        <v>74</v>
      </c>
      <c r="BR27" t="s">
        <v>108</v>
      </c>
      <c r="BS27" t="s">
        <v>667</v>
      </c>
      <c r="BT27" t="str">
        <f>HYPERLINK("https%3A%2F%2Fwww.webofscience.com%2Fwos%2Fwoscc%2Ffull-record%2FWOS:000517577700002","View Full Record in Web of Science")</f>
        <v>View Full Record in Web of Science</v>
      </c>
    </row>
    <row r="28" spans="1:72" x14ac:dyDescent="0.15">
      <c r="A28" t="s">
        <v>133</v>
      </c>
      <c r="B28" t="s">
        <v>668</v>
      </c>
      <c r="C28" t="s">
        <v>74</v>
      </c>
      <c r="D28" t="s">
        <v>74</v>
      </c>
      <c r="E28" t="s">
        <v>74</v>
      </c>
      <c r="F28" t="s">
        <v>669</v>
      </c>
      <c r="G28" t="s">
        <v>74</v>
      </c>
      <c r="H28" t="s">
        <v>74</v>
      </c>
      <c r="I28" t="s">
        <v>670</v>
      </c>
      <c r="J28" t="s">
        <v>671</v>
      </c>
      <c r="K28" t="s">
        <v>74</v>
      </c>
      <c r="L28" t="s">
        <v>74</v>
      </c>
      <c r="M28" t="s">
        <v>80</v>
      </c>
      <c r="N28" t="s">
        <v>138</v>
      </c>
      <c r="O28" t="s">
        <v>74</v>
      </c>
      <c r="P28" t="s">
        <v>74</v>
      </c>
      <c r="Q28" t="s">
        <v>74</v>
      </c>
      <c r="R28" t="s">
        <v>74</v>
      </c>
      <c r="S28" t="s">
        <v>74</v>
      </c>
      <c r="T28" t="s">
        <v>672</v>
      </c>
      <c r="U28" t="s">
        <v>673</v>
      </c>
      <c r="V28" t="s">
        <v>674</v>
      </c>
      <c r="W28" t="s">
        <v>675</v>
      </c>
      <c r="X28" t="s">
        <v>676</v>
      </c>
      <c r="Y28" t="s">
        <v>677</v>
      </c>
      <c r="Z28" t="s">
        <v>678</v>
      </c>
      <c r="AA28" t="s">
        <v>679</v>
      </c>
      <c r="AB28" t="s">
        <v>680</v>
      </c>
      <c r="AC28" t="s">
        <v>681</v>
      </c>
      <c r="AD28" t="s">
        <v>681</v>
      </c>
      <c r="AE28" t="s">
        <v>682</v>
      </c>
      <c r="AF28" t="s">
        <v>74</v>
      </c>
      <c r="AG28">
        <v>62</v>
      </c>
      <c r="AH28">
        <v>71</v>
      </c>
      <c r="AI28">
        <v>73</v>
      </c>
      <c r="AJ28">
        <v>1</v>
      </c>
      <c r="AK28">
        <v>13</v>
      </c>
      <c r="AL28" t="s">
        <v>683</v>
      </c>
      <c r="AM28" t="s">
        <v>684</v>
      </c>
      <c r="AN28" t="s">
        <v>685</v>
      </c>
      <c r="AO28" t="s">
        <v>74</v>
      </c>
      <c r="AP28" t="s">
        <v>686</v>
      </c>
      <c r="AQ28" t="s">
        <v>74</v>
      </c>
      <c r="AR28" t="s">
        <v>687</v>
      </c>
      <c r="AS28" t="s">
        <v>688</v>
      </c>
      <c r="AT28" t="s">
        <v>291</v>
      </c>
      <c r="AU28">
        <v>2020</v>
      </c>
      <c r="AV28">
        <v>18</v>
      </c>
      <c r="AW28">
        <v>1</v>
      </c>
      <c r="AX28" t="s">
        <v>74</v>
      </c>
      <c r="AY28" t="s">
        <v>74</v>
      </c>
      <c r="AZ28" t="s">
        <v>74</v>
      </c>
      <c r="BA28" t="s">
        <v>74</v>
      </c>
      <c r="BB28" t="s">
        <v>74</v>
      </c>
      <c r="BC28" t="s">
        <v>74</v>
      </c>
      <c r="BD28">
        <v>38</v>
      </c>
      <c r="BE28" t="s">
        <v>689</v>
      </c>
      <c r="BF28" t="str">
        <f>HYPERLINK("http://dx.doi.org/10.3390/md18010038","http://dx.doi.org/10.3390/md18010038")</f>
        <v>http://dx.doi.org/10.3390/md18010038</v>
      </c>
      <c r="BG28" t="s">
        <v>74</v>
      </c>
      <c r="BH28" t="s">
        <v>74</v>
      </c>
      <c r="BI28">
        <v>13</v>
      </c>
      <c r="BJ28" t="s">
        <v>690</v>
      </c>
      <c r="BK28" t="s">
        <v>294</v>
      </c>
      <c r="BL28" t="s">
        <v>691</v>
      </c>
      <c r="BM28" t="s">
        <v>692</v>
      </c>
      <c r="BN28">
        <v>31947807</v>
      </c>
      <c r="BO28" t="s">
        <v>693</v>
      </c>
      <c r="BP28" t="s">
        <v>74</v>
      </c>
      <c r="BQ28" t="s">
        <v>74</v>
      </c>
      <c r="BR28" t="s">
        <v>108</v>
      </c>
      <c r="BS28" t="s">
        <v>694</v>
      </c>
      <c r="BT28" t="str">
        <f>HYPERLINK("https%3A%2F%2Fwww.webofscience.com%2Fwos%2Fwoscc%2Ffull-record%2FWOS:000513184600042","View Full Record in Web of Science")</f>
        <v>View Full Record in Web of Science</v>
      </c>
    </row>
    <row r="29" spans="1:72" x14ac:dyDescent="0.15">
      <c r="A29" t="s">
        <v>133</v>
      </c>
      <c r="B29" t="s">
        <v>695</v>
      </c>
      <c r="C29" t="s">
        <v>74</v>
      </c>
      <c r="D29" t="s">
        <v>74</v>
      </c>
      <c r="E29" t="s">
        <v>74</v>
      </c>
      <c r="F29" t="s">
        <v>696</v>
      </c>
      <c r="G29" t="s">
        <v>74</v>
      </c>
      <c r="H29" t="s">
        <v>74</v>
      </c>
      <c r="I29" t="s">
        <v>697</v>
      </c>
      <c r="J29" t="s">
        <v>698</v>
      </c>
      <c r="K29" t="s">
        <v>74</v>
      </c>
      <c r="L29" t="s">
        <v>74</v>
      </c>
      <c r="M29" t="s">
        <v>80</v>
      </c>
      <c r="N29" t="s">
        <v>138</v>
      </c>
      <c r="O29" t="s">
        <v>74</v>
      </c>
      <c r="P29" t="s">
        <v>74</v>
      </c>
      <c r="Q29" t="s">
        <v>74</v>
      </c>
      <c r="R29" t="s">
        <v>74</v>
      </c>
      <c r="S29" t="s">
        <v>74</v>
      </c>
      <c r="T29" t="s">
        <v>699</v>
      </c>
      <c r="U29" t="s">
        <v>700</v>
      </c>
      <c r="V29" t="s">
        <v>701</v>
      </c>
      <c r="W29" t="s">
        <v>702</v>
      </c>
      <c r="X29" t="s">
        <v>703</v>
      </c>
      <c r="Y29" t="s">
        <v>704</v>
      </c>
      <c r="Z29" t="s">
        <v>705</v>
      </c>
      <c r="AA29" t="s">
        <v>74</v>
      </c>
      <c r="AB29" t="s">
        <v>706</v>
      </c>
      <c r="AC29" t="s">
        <v>707</v>
      </c>
      <c r="AD29" t="s">
        <v>707</v>
      </c>
      <c r="AE29" t="s">
        <v>708</v>
      </c>
      <c r="AF29" t="s">
        <v>74</v>
      </c>
      <c r="AG29">
        <v>76</v>
      </c>
      <c r="AH29">
        <v>28</v>
      </c>
      <c r="AI29">
        <v>31</v>
      </c>
      <c r="AJ29">
        <v>0</v>
      </c>
      <c r="AK29">
        <v>28</v>
      </c>
      <c r="AL29" t="s">
        <v>709</v>
      </c>
      <c r="AM29" t="s">
        <v>380</v>
      </c>
      <c r="AN29" t="s">
        <v>710</v>
      </c>
      <c r="AO29" t="s">
        <v>711</v>
      </c>
      <c r="AP29" t="s">
        <v>712</v>
      </c>
      <c r="AQ29" t="s">
        <v>74</v>
      </c>
      <c r="AR29" t="s">
        <v>713</v>
      </c>
      <c r="AS29" t="s">
        <v>714</v>
      </c>
      <c r="AT29" t="s">
        <v>291</v>
      </c>
      <c r="AU29">
        <v>2020</v>
      </c>
      <c r="AV29">
        <v>111</v>
      </c>
      <c r="AW29" t="s">
        <v>74</v>
      </c>
      <c r="AX29" t="s">
        <v>74</v>
      </c>
      <c r="AY29" t="s">
        <v>74</v>
      </c>
      <c r="AZ29" t="s">
        <v>74</v>
      </c>
      <c r="BA29" t="s">
        <v>74</v>
      </c>
      <c r="BB29" t="s">
        <v>74</v>
      </c>
      <c r="BC29" t="s">
        <v>74</v>
      </c>
      <c r="BD29">
        <v>103720</v>
      </c>
      <c r="BE29" t="s">
        <v>715</v>
      </c>
      <c r="BF29" t="str">
        <f>HYPERLINK("http://dx.doi.org/10.1016/j.marpol.2019.103720","http://dx.doi.org/10.1016/j.marpol.2019.103720")</f>
        <v>http://dx.doi.org/10.1016/j.marpol.2019.103720</v>
      </c>
      <c r="BG29" t="s">
        <v>74</v>
      </c>
      <c r="BH29" t="s">
        <v>74</v>
      </c>
      <c r="BI29">
        <v>13</v>
      </c>
      <c r="BJ29" t="s">
        <v>716</v>
      </c>
      <c r="BK29" t="s">
        <v>717</v>
      </c>
      <c r="BL29" t="s">
        <v>718</v>
      </c>
      <c r="BM29" t="s">
        <v>719</v>
      </c>
      <c r="BN29" t="s">
        <v>74</v>
      </c>
      <c r="BO29" t="s">
        <v>74</v>
      </c>
      <c r="BP29" t="s">
        <v>74</v>
      </c>
      <c r="BQ29" t="s">
        <v>74</v>
      </c>
      <c r="BR29" t="s">
        <v>108</v>
      </c>
      <c r="BS29" t="s">
        <v>720</v>
      </c>
      <c r="BT29" t="str">
        <f>HYPERLINK("https%3A%2F%2Fwww.webofscience.com%2Fwos%2Fwoscc%2Ffull-record%2FWOS:000503319000007","View Full Record in Web of Science")</f>
        <v>View Full Record in Web of Science</v>
      </c>
    </row>
    <row r="30" spans="1:72" x14ac:dyDescent="0.15">
      <c r="A30" t="s">
        <v>72</v>
      </c>
      <c r="B30" t="s">
        <v>721</v>
      </c>
      <c r="C30" t="s">
        <v>74</v>
      </c>
      <c r="D30" t="s">
        <v>722</v>
      </c>
      <c r="E30" t="s">
        <v>74</v>
      </c>
      <c r="F30" t="s">
        <v>723</v>
      </c>
      <c r="G30" t="s">
        <v>74</v>
      </c>
      <c r="H30" t="s">
        <v>74</v>
      </c>
      <c r="I30" t="s">
        <v>724</v>
      </c>
      <c r="J30" t="s">
        <v>725</v>
      </c>
      <c r="K30" t="s">
        <v>471</v>
      </c>
      <c r="L30" t="s">
        <v>74</v>
      </c>
      <c r="M30" t="s">
        <v>80</v>
      </c>
      <c r="N30" t="s">
        <v>81</v>
      </c>
      <c r="O30" t="s">
        <v>726</v>
      </c>
      <c r="P30" t="s">
        <v>473</v>
      </c>
      <c r="Q30" t="s">
        <v>474</v>
      </c>
      <c r="R30" t="s">
        <v>74</v>
      </c>
      <c r="S30" t="s">
        <v>74</v>
      </c>
      <c r="T30" t="s">
        <v>727</v>
      </c>
      <c r="U30" t="s">
        <v>728</v>
      </c>
      <c r="V30" t="s">
        <v>729</v>
      </c>
      <c r="W30" t="s">
        <v>730</v>
      </c>
      <c r="X30" t="s">
        <v>731</v>
      </c>
      <c r="Y30" t="s">
        <v>732</v>
      </c>
      <c r="Z30" t="s">
        <v>74</v>
      </c>
      <c r="AA30" t="s">
        <v>733</v>
      </c>
      <c r="AB30" t="s">
        <v>734</v>
      </c>
      <c r="AC30" t="s">
        <v>735</v>
      </c>
      <c r="AD30" t="s">
        <v>736</v>
      </c>
      <c r="AE30" t="s">
        <v>737</v>
      </c>
      <c r="AF30" t="s">
        <v>74</v>
      </c>
      <c r="AG30">
        <v>20</v>
      </c>
      <c r="AH30">
        <v>3</v>
      </c>
      <c r="AI30">
        <v>3</v>
      </c>
      <c r="AJ30">
        <v>0</v>
      </c>
      <c r="AK30">
        <v>0</v>
      </c>
      <c r="AL30" t="s">
        <v>486</v>
      </c>
      <c r="AM30" t="s">
        <v>487</v>
      </c>
      <c r="AN30" t="s">
        <v>488</v>
      </c>
      <c r="AO30" t="s">
        <v>489</v>
      </c>
      <c r="AP30" t="s">
        <v>490</v>
      </c>
      <c r="AQ30" t="s">
        <v>738</v>
      </c>
      <c r="AR30" t="s">
        <v>492</v>
      </c>
      <c r="AS30" t="s">
        <v>74</v>
      </c>
      <c r="AT30" t="s">
        <v>74</v>
      </c>
      <c r="AU30">
        <v>2020</v>
      </c>
      <c r="AV30">
        <v>11453</v>
      </c>
      <c r="AW30" t="s">
        <v>74</v>
      </c>
      <c r="AX30" t="s">
        <v>74</v>
      </c>
      <c r="AY30" t="s">
        <v>74</v>
      </c>
      <c r="AZ30" t="s">
        <v>74</v>
      </c>
      <c r="BA30" t="s">
        <v>74</v>
      </c>
      <c r="BB30" t="s">
        <v>74</v>
      </c>
      <c r="BC30" t="s">
        <v>74</v>
      </c>
      <c r="BD30">
        <v>1145327</v>
      </c>
      <c r="BE30" t="s">
        <v>739</v>
      </c>
      <c r="BF30" t="str">
        <f>HYPERLINK("http://dx.doi.org/10.1117/12.2562905","http://dx.doi.org/10.1117/12.2562905")</f>
        <v>http://dx.doi.org/10.1117/12.2562905</v>
      </c>
      <c r="BG30" t="s">
        <v>74</v>
      </c>
      <c r="BH30" t="s">
        <v>74</v>
      </c>
      <c r="BI30">
        <v>12</v>
      </c>
      <c r="BJ30" t="s">
        <v>517</v>
      </c>
      <c r="BK30" t="s">
        <v>104</v>
      </c>
      <c r="BL30" t="s">
        <v>517</v>
      </c>
      <c r="BM30" t="s">
        <v>740</v>
      </c>
      <c r="BN30" t="s">
        <v>74</v>
      </c>
      <c r="BO30" t="s">
        <v>741</v>
      </c>
      <c r="BP30" t="s">
        <v>74</v>
      </c>
      <c r="BQ30" t="s">
        <v>74</v>
      </c>
      <c r="BR30" t="s">
        <v>108</v>
      </c>
      <c r="BS30" t="s">
        <v>742</v>
      </c>
      <c r="BT30" t="str">
        <f>HYPERLINK("https%3A%2F%2Fwww.webofscience.com%2Fwos%2Fwoscc%2Ffull-record%2FWOS:000850905600032","View Full Record in Web of Science")</f>
        <v>View Full Record in Web of Science</v>
      </c>
    </row>
    <row r="31" spans="1:72" x14ac:dyDescent="0.15">
      <c r="A31" t="s">
        <v>72</v>
      </c>
      <c r="B31" t="s">
        <v>743</v>
      </c>
      <c r="C31" t="s">
        <v>74</v>
      </c>
      <c r="D31" t="s">
        <v>722</v>
      </c>
      <c r="E31" t="s">
        <v>74</v>
      </c>
      <c r="F31" t="s">
        <v>744</v>
      </c>
      <c r="G31" t="s">
        <v>74</v>
      </c>
      <c r="H31" t="s">
        <v>74</v>
      </c>
      <c r="I31" t="s">
        <v>745</v>
      </c>
      <c r="J31" t="s">
        <v>725</v>
      </c>
      <c r="K31" t="s">
        <v>471</v>
      </c>
      <c r="L31" t="s">
        <v>74</v>
      </c>
      <c r="M31" t="s">
        <v>80</v>
      </c>
      <c r="N31" t="s">
        <v>81</v>
      </c>
      <c r="O31" t="s">
        <v>726</v>
      </c>
      <c r="P31" t="s">
        <v>473</v>
      </c>
      <c r="Q31" t="s">
        <v>474</v>
      </c>
      <c r="R31" t="s">
        <v>74</v>
      </c>
      <c r="S31" t="s">
        <v>74</v>
      </c>
      <c r="T31" t="s">
        <v>746</v>
      </c>
      <c r="U31" t="s">
        <v>747</v>
      </c>
      <c r="V31" t="s">
        <v>748</v>
      </c>
      <c r="W31" t="s">
        <v>749</v>
      </c>
      <c r="X31" t="s">
        <v>750</v>
      </c>
      <c r="Y31" t="s">
        <v>751</v>
      </c>
      <c r="Z31" t="s">
        <v>752</v>
      </c>
      <c r="AA31" t="s">
        <v>753</v>
      </c>
      <c r="AB31" t="s">
        <v>754</v>
      </c>
      <c r="AC31" t="s">
        <v>755</v>
      </c>
      <c r="AD31" t="s">
        <v>756</v>
      </c>
      <c r="AE31" t="s">
        <v>757</v>
      </c>
      <c r="AF31" t="s">
        <v>74</v>
      </c>
      <c r="AG31">
        <v>30</v>
      </c>
      <c r="AH31">
        <v>2</v>
      </c>
      <c r="AI31">
        <v>2</v>
      </c>
      <c r="AJ31">
        <v>0</v>
      </c>
      <c r="AK31">
        <v>0</v>
      </c>
      <c r="AL31" t="s">
        <v>486</v>
      </c>
      <c r="AM31" t="s">
        <v>487</v>
      </c>
      <c r="AN31" t="s">
        <v>488</v>
      </c>
      <c r="AO31" t="s">
        <v>489</v>
      </c>
      <c r="AP31" t="s">
        <v>490</v>
      </c>
      <c r="AQ31" t="s">
        <v>738</v>
      </c>
      <c r="AR31" t="s">
        <v>492</v>
      </c>
      <c r="AS31" t="s">
        <v>74</v>
      </c>
      <c r="AT31" t="s">
        <v>74</v>
      </c>
      <c r="AU31">
        <v>2020</v>
      </c>
      <c r="AV31">
        <v>11453</v>
      </c>
      <c r="AW31" t="s">
        <v>74</v>
      </c>
      <c r="AX31" t="s">
        <v>74</v>
      </c>
      <c r="AY31" t="s">
        <v>74</v>
      </c>
      <c r="AZ31" t="s">
        <v>74</v>
      </c>
      <c r="BA31" t="s">
        <v>74</v>
      </c>
      <c r="BB31" t="s">
        <v>74</v>
      </c>
      <c r="BC31" t="s">
        <v>74</v>
      </c>
      <c r="BD31" t="s">
        <v>758</v>
      </c>
      <c r="BE31" t="s">
        <v>759</v>
      </c>
      <c r="BF31" t="str">
        <f>HYPERLINK("http://dx.doi.org/10.1117/12.2562066","http://dx.doi.org/10.1117/12.2562066")</f>
        <v>http://dx.doi.org/10.1117/12.2562066</v>
      </c>
      <c r="BG31" t="s">
        <v>74</v>
      </c>
      <c r="BH31" t="s">
        <v>74</v>
      </c>
      <c r="BI31">
        <v>12</v>
      </c>
      <c r="BJ31" t="s">
        <v>517</v>
      </c>
      <c r="BK31" t="s">
        <v>104</v>
      </c>
      <c r="BL31" t="s">
        <v>517</v>
      </c>
      <c r="BM31" t="s">
        <v>740</v>
      </c>
      <c r="BN31" t="s">
        <v>74</v>
      </c>
      <c r="BO31" t="s">
        <v>741</v>
      </c>
      <c r="BP31" t="s">
        <v>74</v>
      </c>
      <c r="BQ31" t="s">
        <v>74</v>
      </c>
      <c r="BR31" t="s">
        <v>108</v>
      </c>
      <c r="BS31" t="s">
        <v>760</v>
      </c>
      <c r="BT31" t="str">
        <f>HYPERLINK("https%3A%2F%2Fwww.webofscience.com%2Fwos%2Fwoscc%2Ffull-record%2FWOS:000850905600037","View Full Record in Web of Science")</f>
        <v>View Full Record in Web of Science</v>
      </c>
    </row>
    <row r="32" spans="1:72" x14ac:dyDescent="0.15">
      <c r="A32" t="s">
        <v>72</v>
      </c>
      <c r="B32" t="s">
        <v>761</v>
      </c>
      <c r="C32" t="s">
        <v>74</v>
      </c>
      <c r="D32" t="s">
        <v>722</v>
      </c>
      <c r="E32" t="s">
        <v>74</v>
      </c>
      <c r="F32" t="s">
        <v>762</v>
      </c>
      <c r="G32" t="s">
        <v>74</v>
      </c>
      <c r="H32" t="s">
        <v>74</v>
      </c>
      <c r="I32" t="s">
        <v>763</v>
      </c>
      <c r="J32" t="s">
        <v>725</v>
      </c>
      <c r="K32" t="s">
        <v>471</v>
      </c>
      <c r="L32" t="s">
        <v>74</v>
      </c>
      <c r="M32" t="s">
        <v>80</v>
      </c>
      <c r="N32" t="s">
        <v>81</v>
      </c>
      <c r="O32" t="s">
        <v>726</v>
      </c>
      <c r="P32" t="s">
        <v>473</v>
      </c>
      <c r="Q32" t="s">
        <v>474</v>
      </c>
      <c r="R32" t="s">
        <v>74</v>
      </c>
      <c r="S32" t="s">
        <v>74</v>
      </c>
      <c r="T32" t="s">
        <v>74</v>
      </c>
      <c r="U32" t="s">
        <v>74</v>
      </c>
      <c r="V32" t="s">
        <v>764</v>
      </c>
      <c r="W32" t="s">
        <v>765</v>
      </c>
      <c r="X32" t="s">
        <v>766</v>
      </c>
      <c r="Y32" t="s">
        <v>767</v>
      </c>
      <c r="Z32" t="s">
        <v>768</v>
      </c>
      <c r="AA32" t="s">
        <v>769</v>
      </c>
      <c r="AB32" t="s">
        <v>770</v>
      </c>
      <c r="AC32" t="s">
        <v>74</v>
      </c>
      <c r="AD32" t="s">
        <v>74</v>
      </c>
      <c r="AE32" t="s">
        <v>74</v>
      </c>
      <c r="AF32" t="s">
        <v>74</v>
      </c>
      <c r="AG32">
        <v>22</v>
      </c>
      <c r="AH32">
        <v>7</v>
      </c>
      <c r="AI32">
        <v>8</v>
      </c>
      <c r="AJ32">
        <v>0</v>
      </c>
      <c r="AK32">
        <v>1</v>
      </c>
      <c r="AL32" t="s">
        <v>486</v>
      </c>
      <c r="AM32" t="s">
        <v>487</v>
      </c>
      <c r="AN32" t="s">
        <v>488</v>
      </c>
      <c r="AO32" t="s">
        <v>489</v>
      </c>
      <c r="AP32" t="s">
        <v>490</v>
      </c>
      <c r="AQ32" t="s">
        <v>738</v>
      </c>
      <c r="AR32" t="s">
        <v>492</v>
      </c>
      <c r="AS32" t="s">
        <v>74</v>
      </c>
      <c r="AT32" t="s">
        <v>74</v>
      </c>
      <c r="AU32">
        <v>2020</v>
      </c>
      <c r="AV32">
        <v>11453</v>
      </c>
      <c r="AW32" t="s">
        <v>74</v>
      </c>
      <c r="AX32" t="s">
        <v>74</v>
      </c>
      <c r="AY32" t="s">
        <v>74</v>
      </c>
      <c r="AZ32" t="s">
        <v>74</v>
      </c>
      <c r="BA32" t="s">
        <v>74</v>
      </c>
      <c r="BB32" t="s">
        <v>74</v>
      </c>
      <c r="BC32" t="s">
        <v>74</v>
      </c>
      <c r="BD32">
        <v>1145304</v>
      </c>
      <c r="BE32" t="s">
        <v>771</v>
      </c>
      <c r="BF32" t="str">
        <f>HYPERLINK("http://dx.doi.org/10.1117/12.2560854","http://dx.doi.org/10.1117/12.2560854")</f>
        <v>http://dx.doi.org/10.1117/12.2560854</v>
      </c>
      <c r="BG32" t="s">
        <v>74</v>
      </c>
      <c r="BH32" t="s">
        <v>74</v>
      </c>
      <c r="BI32">
        <v>12</v>
      </c>
      <c r="BJ32" t="s">
        <v>517</v>
      </c>
      <c r="BK32" t="s">
        <v>104</v>
      </c>
      <c r="BL32" t="s">
        <v>517</v>
      </c>
      <c r="BM32" t="s">
        <v>740</v>
      </c>
      <c r="BN32" t="s">
        <v>74</v>
      </c>
      <c r="BO32" t="s">
        <v>666</v>
      </c>
      <c r="BP32" t="s">
        <v>74</v>
      </c>
      <c r="BQ32" t="s">
        <v>74</v>
      </c>
      <c r="BR32" t="s">
        <v>108</v>
      </c>
      <c r="BS32" t="s">
        <v>772</v>
      </c>
      <c r="BT32" t="str">
        <f>HYPERLINK("https%3A%2F%2Fwww.webofscience.com%2Fwos%2Fwoscc%2Ffull-record%2FWOS:000850905600003","View Full Record in Web of Science")</f>
        <v>View Full Record in Web of Science</v>
      </c>
    </row>
    <row r="33" spans="1:72" x14ac:dyDescent="0.15">
      <c r="A33" t="s">
        <v>72</v>
      </c>
      <c r="B33" t="s">
        <v>773</v>
      </c>
      <c r="C33" t="s">
        <v>74</v>
      </c>
      <c r="D33" t="s">
        <v>722</v>
      </c>
      <c r="E33" t="s">
        <v>74</v>
      </c>
      <c r="F33" t="s">
        <v>774</v>
      </c>
      <c r="G33" t="s">
        <v>74</v>
      </c>
      <c r="H33" t="s">
        <v>74</v>
      </c>
      <c r="I33" t="s">
        <v>775</v>
      </c>
      <c r="J33" t="s">
        <v>725</v>
      </c>
      <c r="K33" t="s">
        <v>471</v>
      </c>
      <c r="L33" t="s">
        <v>74</v>
      </c>
      <c r="M33" t="s">
        <v>80</v>
      </c>
      <c r="N33" t="s">
        <v>81</v>
      </c>
      <c r="O33" t="s">
        <v>726</v>
      </c>
      <c r="P33" t="s">
        <v>473</v>
      </c>
      <c r="Q33" t="s">
        <v>474</v>
      </c>
      <c r="R33" t="s">
        <v>74</v>
      </c>
      <c r="S33" t="s">
        <v>74</v>
      </c>
      <c r="T33" t="s">
        <v>776</v>
      </c>
      <c r="U33" t="s">
        <v>777</v>
      </c>
      <c r="V33" t="s">
        <v>778</v>
      </c>
      <c r="W33" t="s">
        <v>779</v>
      </c>
      <c r="X33" t="s">
        <v>780</v>
      </c>
      <c r="Y33" t="s">
        <v>781</v>
      </c>
      <c r="Z33" t="s">
        <v>782</v>
      </c>
      <c r="AA33" t="s">
        <v>783</v>
      </c>
      <c r="AB33" t="s">
        <v>784</v>
      </c>
      <c r="AC33" t="s">
        <v>785</v>
      </c>
      <c r="AD33" t="s">
        <v>786</v>
      </c>
      <c r="AE33" t="s">
        <v>787</v>
      </c>
      <c r="AF33" t="s">
        <v>74</v>
      </c>
      <c r="AG33">
        <v>50</v>
      </c>
      <c r="AH33">
        <v>23</v>
      </c>
      <c r="AI33">
        <v>28</v>
      </c>
      <c r="AJ33">
        <v>0</v>
      </c>
      <c r="AK33">
        <v>0</v>
      </c>
      <c r="AL33" t="s">
        <v>486</v>
      </c>
      <c r="AM33" t="s">
        <v>487</v>
      </c>
      <c r="AN33" t="s">
        <v>488</v>
      </c>
      <c r="AO33" t="s">
        <v>489</v>
      </c>
      <c r="AP33" t="s">
        <v>490</v>
      </c>
      <c r="AQ33" t="s">
        <v>738</v>
      </c>
      <c r="AR33" t="s">
        <v>492</v>
      </c>
      <c r="AS33" t="s">
        <v>74</v>
      </c>
      <c r="AT33" t="s">
        <v>74</v>
      </c>
      <c r="AU33">
        <v>2020</v>
      </c>
      <c r="AV33">
        <v>11453</v>
      </c>
      <c r="AW33" t="s">
        <v>74</v>
      </c>
      <c r="AX33" t="s">
        <v>74</v>
      </c>
      <c r="AY33" t="s">
        <v>74</v>
      </c>
      <c r="AZ33" t="s">
        <v>74</v>
      </c>
      <c r="BA33" t="s">
        <v>74</v>
      </c>
      <c r="BB33" t="s">
        <v>74</v>
      </c>
      <c r="BC33" t="s">
        <v>74</v>
      </c>
      <c r="BD33">
        <v>1145314</v>
      </c>
      <c r="BE33" t="s">
        <v>788</v>
      </c>
      <c r="BF33" t="str">
        <f>HYPERLINK("http://dx.doi.org/10.1117/12.2561995","http://dx.doi.org/10.1117/12.2561995")</f>
        <v>http://dx.doi.org/10.1117/12.2561995</v>
      </c>
      <c r="BG33" t="s">
        <v>74</v>
      </c>
      <c r="BH33" t="s">
        <v>74</v>
      </c>
      <c r="BI33">
        <v>18</v>
      </c>
      <c r="BJ33" t="s">
        <v>517</v>
      </c>
      <c r="BK33" t="s">
        <v>104</v>
      </c>
      <c r="BL33" t="s">
        <v>517</v>
      </c>
      <c r="BM33" t="s">
        <v>740</v>
      </c>
      <c r="BN33" t="s">
        <v>74</v>
      </c>
      <c r="BO33" t="s">
        <v>789</v>
      </c>
      <c r="BP33" t="s">
        <v>74</v>
      </c>
      <c r="BQ33" t="s">
        <v>74</v>
      </c>
      <c r="BR33" t="s">
        <v>108</v>
      </c>
      <c r="BS33" t="s">
        <v>790</v>
      </c>
      <c r="BT33" t="str">
        <f>HYPERLINK("https%3A%2F%2Fwww.webofscience.com%2Fwos%2Fwoscc%2Ffull-record%2FWOS:000850905600018","View Full Record in Web of Science")</f>
        <v>View Full Record in Web of Science</v>
      </c>
    </row>
    <row r="34" spans="1:72" x14ac:dyDescent="0.15">
      <c r="A34" t="s">
        <v>72</v>
      </c>
      <c r="B34" t="s">
        <v>791</v>
      </c>
      <c r="C34" t="s">
        <v>74</v>
      </c>
      <c r="D34" t="s">
        <v>722</v>
      </c>
      <c r="E34" t="s">
        <v>74</v>
      </c>
      <c r="F34" t="s">
        <v>792</v>
      </c>
      <c r="G34" t="s">
        <v>74</v>
      </c>
      <c r="H34" t="s">
        <v>74</v>
      </c>
      <c r="I34" t="s">
        <v>793</v>
      </c>
      <c r="J34" t="s">
        <v>725</v>
      </c>
      <c r="K34" t="s">
        <v>471</v>
      </c>
      <c r="L34" t="s">
        <v>74</v>
      </c>
      <c r="M34" t="s">
        <v>80</v>
      </c>
      <c r="N34" t="s">
        <v>81</v>
      </c>
      <c r="O34" t="s">
        <v>726</v>
      </c>
      <c r="P34" t="s">
        <v>473</v>
      </c>
      <c r="Q34" t="s">
        <v>474</v>
      </c>
      <c r="R34" t="s">
        <v>74</v>
      </c>
      <c r="S34" t="s">
        <v>74</v>
      </c>
      <c r="T34" t="s">
        <v>794</v>
      </c>
      <c r="U34" t="s">
        <v>795</v>
      </c>
      <c r="V34" t="s">
        <v>796</v>
      </c>
      <c r="W34" t="s">
        <v>797</v>
      </c>
      <c r="X34" t="s">
        <v>798</v>
      </c>
      <c r="Y34" t="s">
        <v>799</v>
      </c>
      <c r="Z34" t="s">
        <v>800</v>
      </c>
      <c r="AA34" t="s">
        <v>801</v>
      </c>
      <c r="AB34" t="s">
        <v>802</v>
      </c>
      <c r="AC34" t="s">
        <v>803</v>
      </c>
      <c r="AD34" t="s">
        <v>804</v>
      </c>
      <c r="AE34" t="s">
        <v>805</v>
      </c>
      <c r="AF34" t="s">
        <v>74</v>
      </c>
      <c r="AG34">
        <v>21</v>
      </c>
      <c r="AH34">
        <v>3</v>
      </c>
      <c r="AI34">
        <v>3</v>
      </c>
      <c r="AJ34">
        <v>0</v>
      </c>
      <c r="AK34">
        <v>0</v>
      </c>
      <c r="AL34" t="s">
        <v>486</v>
      </c>
      <c r="AM34" t="s">
        <v>487</v>
      </c>
      <c r="AN34" t="s">
        <v>488</v>
      </c>
      <c r="AO34" t="s">
        <v>489</v>
      </c>
      <c r="AP34" t="s">
        <v>490</v>
      </c>
      <c r="AQ34" t="s">
        <v>738</v>
      </c>
      <c r="AR34" t="s">
        <v>492</v>
      </c>
      <c r="AS34" t="s">
        <v>74</v>
      </c>
      <c r="AT34" t="s">
        <v>74</v>
      </c>
      <c r="AU34">
        <v>2020</v>
      </c>
      <c r="AV34">
        <v>11453</v>
      </c>
      <c r="AW34" t="s">
        <v>74</v>
      </c>
      <c r="AX34" t="s">
        <v>74</v>
      </c>
      <c r="AY34" t="s">
        <v>74</v>
      </c>
      <c r="AZ34" t="s">
        <v>74</v>
      </c>
      <c r="BA34" t="s">
        <v>74</v>
      </c>
      <c r="BB34" t="s">
        <v>74</v>
      </c>
      <c r="BC34" t="s">
        <v>74</v>
      </c>
      <c r="BD34" t="s">
        <v>806</v>
      </c>
      <c r="BE34" t="s">
        <v>807</v>
      </c>
      <c r="BF34" t="str">
        <f>HYPERLINK("http://dx.doi.org/10.1117/12.2562941","http://dx.doi.org/10.1117/12.2562941")</f>
        <v>http://dx.doi.org/10.1117/12.2562941</v>
      </c>
      <c r="BG34" t="s">
        <v>74</v>
      </c>
      <c r="BH34" t="s">
        <v>74</v>
      </c>
      <c r="BI34">
        <v>16</v>
      </c>
      <c r="BJ34" t="s">
        <v>517</v>
      </c>
      <c r="BK34" t="s">
        <v>104</v>
      </c>
      <c r="BL34" t="s">
        <v>517</v>
      </c>
      <c r="BM34" t="s">
        <v>740</v>
      </c>
      <c r="BN34" t="s">
        <v>74</v>
      </c>
      <c r="BO34" t="s">
        <v>789</v>
      </c>
      <c r="BP34" t="s">
        <v>74</v>
      </c>
      <c r="BQ34" t="s">
        <v>74</v>
      </c>
      <c r="BR34" t="s">
        <v>108</v>
      </c>
      <c r="BS34" t="s">
        <v>808</v>
      </c>
      <c r="BT34" t="str">
        <f>HYPERLINK("https%3A%2F%2Fwww.webofscience.com%2Fwos%2Fwoscc%2Ffull-record%2FWOS:000850905600039","View Full Record in Web of Science")</f>
        <v>View Full Record in Web of Science</v>
      </c>
    </row>
    <row r="35" spans="1:72" x14ac:dyDescent="0.15">
      <c r="A35" t="s">
        <v>72</v>
      </c>
      <c r="B35" t="s">
        <v>809</v>
      </c>
      <c r="C35" t="s">
        <v>74</v>
      </c>
      <c r="D35" t="s">
        <v>722</v>
      </c>
      <c r="E35" t="s">
        <v>74</v>
      </c>
      <c r="F35" t="s">
        <v>810</v>
      </c>
      <c r="G35" t="s">
        <v>74</v>
      </c>
      <c r="H35" t="s">
        <v>74</v>
      </c>
      <c r="I35" t="s">
        <v>811</v>
      </c>
      <c r="J35" t="s">
        <v>725</v>
      </c>
      <c r="K35" t="s">
        <v>471</v>
      </c>
      <c r="L35" t="s">
        <v>74</v>
      </c>
      <c r="M35" t="s">
        <v>80</v>
      </c>
      <c r="N35" t="s">
        <v>81</v>
      </c>
      <c r="O35" t="s">
        <v>726</v>
      </c>
      <c r="P35" t="s">
        <v>473</v>
      </c>
      <c r="Q35" t="s">
        <v>474</v>
      </c>
      <c r="R35" t="s">
        <v>74</v>
      </c>
      <c r="S35" t="s">
        <v>74</v>
      </c>
      <c r="T35" t="s">
        <v>812</v>
      </c>
      <c r="U35" t="s">
        <v>74</v>
      </c>
      <c r="V35" t="s">
        <v>813</v>
      </c>
      <c r="W35" t="s">
        <v>814</v>
      </c>
      <c r="X35" t="s">
        <v>815</v>
      </c>
      <c r="Y35" t="s">
        <v>816</v>
      </c>
      <c r="Z35" t="s">
        <v>817</v>
      </c>
      <c r="AA35" t="s">
        <v>818</v>
      </c>
      <c r="AB35" t="s">
        <v>819</v>
      </c>
      <c r="AC35" t="s">
        <v>820</v>
      </c>
      <c r="AD35" t="s">
        <v>821</v>
      </c>
      <c r="AE35" t="s">
        <v>737</v>
      </c>
      <c r="AF35" t="s">
        <v>74</v>
      </c>
      <c r="AG35">
        <v>13</v>
      </c>
      <c r="AH35">
        <v>0</v>
      </c>
      <c r="AI35">
        <v>1</v>
      </c>
      <c r="AJ35">
        <v>0</v>
      </c>
      <c r="AK35">
        <v>0</v>
      </c>
      <c r="AL35" t="s">
        <v>486</v>
      </c>
      <c r="AM35" t="s">
        <v>487</v>
      </c>
      <c r="AN35" t="s">
        <v>488</v>
      </c>
      <c r="AO35" t="s">
        <v>489</v>
      </c>
      <c r="AP35" t="s">
        <v>490</v>
      </c>
      <c r="AQ35" t="s">
        <v>738</v>
      </c>
      <c r="AR35" t="s">
        <v>492</v>
      </c>
      <c r="AS35" t="s">
        <v>74</v>
      </c>
      <c r="AT35" t="s">
        <v>74</v>
      </c>
      <c r="AU35">
        <v>2020</v>
      </c>
      <c r="AV35">
        <v>11453</v>
      </c>
      <c r="AW35" t="s">
        <v>74</v>
      </c>
      <c r="AX35" t="s">
        <v>74</v>
      </c>
      <c r="AY35" t="s">
        <v>74</v>
      </c>
      <c r="AZ35" t="s">
        <v>74</v>
      </c>
      <c r="BA35" t="s">
        <v>74</v>
      </c>
      <c r="BB35" t="s">
        <v>74</v>
      </c>
      <c r="BC35" t="s">
        <v>74</v>
      </c>
      <c r="BD35" t="s">
        <v>822</v>
      </c>
      <c r="BE35" t="s">
        <v>823</v>
      </c>
      <c r="BF35" t="str">
        <f>HYPERLINK("http://dx.doi.org/10.1117/12.2562729","http://dx.doi.org/10.1117/12.2562729")</f>
        <v>http://dx.doi.org/10.1117/12.2562729</v>
      </c>
      <c r="BG35" t="s">
        <v>74</v>
      </c>
      <c r="BH35" t="s">
        <v>74</v>
      </c>
      <c r="BI35">
        <v>9</v>
      </c>
      <c r="BJ35" t="s">
        <v>517</v>
      </c>
      <c r="BK35" t="s">
        <v>104</v>
      </c>
      <c r="BL35" t="s">
        <v>517</v>
      </c>
      <c r="BM35" t="s">
        <v>740</v>
      </c>
      <c r="BN35" t="s">
        <v>74</v>
      </c>
      <c r="BO35" t="s">
        <v>789</v>
      </c>
      <c r="BP35" t="s">
        <v>74</v>
      </c>
      <c r="BQ35" t="s">
        <v>74</v>
      </c>
      <c r="BR35" t="s">
        <v>108</v>
      </c>
      <c r="BS35" t="s">
        <v>824</v>
      </c>
      <c r="BT35" t="str">
        <f>HYPERLINK("https%3A%2F%2Fwww.webofscience.com%2Fwos%2Fwoscc%2Ffull-record%2FWOS:000850905600038","View Full Record in Web of Science")</f>
        <v>View Full Record in Web of Science</v>
      </c>
    </row>
    <row r="36" spans="1:72" x14ac:dyDescent="0.15">
      <c r="A36" t="s">
        <v>133</v>
      </c>
      <c r="B36" t="s">
        <v>825</v>
      </c>
      <c r="C36" t="s">
        <v>74</v>
      </c>
      <c r="D36" t="s">
        <v>74</v>
      </c>
      <c r="E36" t="s">
        <v>74</v>
      </c>
      <c r="F36" t="s">
        <v>826</v>
      </c>
      <c r="G36" t="s">
        <v>74</v>
      </c>
      <c r="H36" t="s">
        <v>74</v>
      </c>
      <c r="I36" t="s">
        <v>827</v>
      </c>
      <c r="J36" t="s">
        <v>828</v>
      </c>
      <c r="K36" t="s">
        <v>74</v>
      </c>
      <c r="L36" t="s">
        <v>74</v>
      </c>
      <c r="M36" t="s">
        <v>80</v>
      </c>
      <c r="N36" t="s">
        <v>138</v>
      </c>
      <c r="O36" t="s">
        <v>74</v>
      </c>
      <c r="P36" t="s">
        <v>74</v>
      </c>
      <c r="Q36" t="s">
        <v>74</v>
      </c>
      <c r="R36" t="s">
        <v>74</v>
      </c>
      <c r="S36" t="s">
        <v>74</v>
      </c>
      <c r="T36" t="s">
        <v>74</v>
      </c>
      <c r="U36" t="s">
        <v>829</v>
      </c>
      <c r="V36" t="s">
        <v>830</v>
      </c>
      <c r="W36" t="s">
        <v>831</v>
      </c>
      <c r="X36" t="s">
        <v>832</v>
      </c>
      <c r="Y36" t="s">
        <v>833</v>
      </c>
      <c r="Z36" t="s">
        <v>834</v>
      </c>
      <c r="AA36" t="s">
        <v>835</v>
      </c>
      <c r="AB36" t="s">
        <v>836</v>
      </c>
      <c r="AC36" t="s">
        <v>837</v>
      </c>
      <c r="AD36" t="s">
        <v>838</v>
      </c>
      <c r="AE36" t="s">
        <v>839</v>
      </c>
      <c r="AF36" t="s">
        <v>74</v>
      </c>
      <c r="AG36">
        <v>39</v>
      </c>
      <c r="AH36">
        <v>80</v>
      </c>
      <c r="AI36">
        <v>81</v>
      </c>
      <c r="AJ36">
        <v>5</v>
      </c>
      <c r="AK36">
        <v>45</v>
      </c>
      <c r="AL36" t="s">
        <v>840</v>
      </c>
      <c r="AM36" t="s">
        <v>841</v>
      </c>
      <c r="AN36" t="s">
        <v>842</v>
      </c>
      <c r="AO36" t="s">
        <v>843</v>
      </c>
      <c r="AP36" t="s">
        <v>844</v>
      </c>
      <c r="AQ36" t="s">
        <v>74</v>
      </c>
      <c r="AR36" t="s">
        <v>845</v>
      </c>
      <c r="AS36" t="s">
        <v>846</v>
      </c>
      <c r="AT36" t="s">
        <v>291</v>
      </c>
      <c r="AU36">
        <v>2020</v>
      </c>
      <c r="AV36">
        <v>13</v>
      </c>
      <c r="AW36">
        <v>1</v>
      </c>
      <c r="AX36" t="s">
        <v>74</v>
      </c>
      <c r="AY36" t="s">
        <v>74</v>
      </c>
      <c r="AZ36" t="s">
        <v>74</v>
      </c>
      <c r="BA36" t="s">
        <v>74</v>
      </c>
      <c r="BB36">
        <v>50</v>
      </c>
      <c r="BC36" t="s">
        <v>847</v>
      </c>
      <c r="BD36" t="s">
        <v>74</v>
      </c>
      <c r="BE36" t="s">
        <v>848</v>
      </c>
      <c r="BF36" t="str">
        <f>HYPERLINK("http://dx.doi.org/10.1038/s41561-019-0489-1","http://dx.doi.org/10.1038/s41561-019-0489-1")</f>
        <v>http://dx.doi.org/10.1038/s41561-019-0489-1</v>
      </c>
      <c r="BG36" t="s">
        <v>74</v>
      </c>
      <c r="BH36" t="s">
        <v>74</v>
      </c>
      <c r="BI36">
        <v>16</v>
      </c>
      <c r="BJ36" t="s">
        <v>849</v>
      </c>
      <c r="BK36" t="s">
        <v>294</v>
      </c>
      <c r="BL36" t="s">
        <v>850</v>
      </c>
      <c r="BM36" t="s">
        <v>851</v>
      </c>
      <c r="BN36" t="s">
        <v>74</v>
      </c>
      <c r="BO36" t="s">
        <v>666</v>
      </c>
      <c r="BP36" t="s">
        <v>74</v>
      </c>
      <c r="BQ36" t="s">
        <v>74</v>
      </c>
      <c r="BR36" t="s">
        <v>108</v>
      </c>
      <c r="BS36" t="s">
        <v>852</v>
      </c>
      <c r="BT36" t="str">
        <f>HYPERLINK("https%3A%2F%2Fwww.webofscience.com%2Fwos%2Fwoscc%2Ffull-record%2FWOS:000511618700013","View Full Record in Web of Science")</f>
        <v>View Full Record in Web of Science</v>
      </c>
    </row>
    <row r="37" spans="1:72" x14ac:dyDescent="0.15">
      <c r="A37" t="s">
        <v>110</v>
      </c>
      <c r="B37" t="s">
        <v>853</v>
      </c>
      <c r="C37" t="s">
        <v>74</v>
      </c>
      <c r="D37" t="s">
        <v>854</v>
      </c>
      <c r="E37" t="s">
        <v>74</v>
      </c>
      <c r="F37" t="s">
        <v>855</v>
      </c>
      <c r="G37" t="s">
        <v>74</v>
      </c>
      <c r="H37" t="s">
        <v>74</v>
      </c>
      <c r="I37" t="s">
        <v>856</v>
      </c>
      <c r="J37" t="s">
        <v>857</v>
      </c>
      <c r="K37" t="s">
        <v>858</v>
      </c>
      <c r="L37" t="s">
        <v>74</v>
      </c>
      <c r="M37" t="s">
        <v>80</v>
      </c>
      <c r="N37" t="s">
        <v>117</v>
      </c>
      <c r="O37" t="s">
        <v>74</v>
      </c>
      <c r="P37" t="s">
        <v>74</v>
      </c>
      <c r="Q37" t="s">
        <v>74</v>
      </c>
      <c r="R37" t="s">
        <v>74</v>
      </c>
      <c r="S37" t="s">
        <v>74</v>
      </c>
      <c r="T37" t="s">
        <v>859</v>
      </c>
      <c r="U37" t="s">
        <v>860</v>
      </c>
      <c r="V37" t="s">
        <v>861</v>
      </c>
      <c r="W37" t="s">
        <v>862</v>
      </c>
      <c r="X37" t="s">
        <v>863</v>
      </c>
      <c r="Y37" t="s">
        <v>864</v>
      </c>
      <c r="Z37" t="s">
        <v>865</v>
      </c>
      <c r="AA37" t="s">
        <v>866</v>
      </c>
      <c r="AB37" t="s">
        <v>867</v>
      </c>
      <c r="AC37" t="s">
        <v>868</v>
      </c>
      <c r="AD37" t="s">
        <v>868</v>
      </c>
      <c r="AE37" t="s">
        <v>869</v>
      </c>
      <c r="AF37" t="s">
        <v>74</v>
      </c>
      <c r="AG37">
        <v>380</v>
      </c>
      <c r="AH37">
        <v>1</v>
      </c>
      <c r="AI37">
        <v>3</v>
      </c>
      <c r="AJ37">
        <v>1</v>
      </c>
      <c r="AK37">
        <v>2</v>
      </c>
      <c r="AL37" t="s">
        <v>870</v>
      </c>
      <c r="AM37" t="s">
        <v>871</v>
      </c>
      <c r="AN37" t="s">
        <v>872</v>
      </c>
      <c r="AO37" t="s">
        <v>873</v>
      </c>
      <c r="AP37" t="s">
        <v>874</v>
      </c>
      <c r="AQ37" t="s">
        <v>875</v>
      </c>
      <c r="AR37" t="s">
        <v>876</v>
      </c>
      <c r="AS37" t="s">
        <v>74</v>
      </c>
      <c r="AT37" t="s">
        <v>74</v>
      </c>
      <c r="AU37">
        <v>2020</v>
      </c>
      <c r="AV37" t="s">
        <v>74</v>
      </c>
      <c r="AW37" t="s">
        <v>74</v>
      </c>
      <c r="AX37" t="s">
        <v>74</v>
      </c>
      <c r="AY37" t="s">
        <v>74</v>
      </c>
      <c r="AZ37" t="s">
        <v>74</v>
      </c>
      <c r="BA37" t="s">
        <v>74</v>
      </c>
      <c r="BB37">
        <v>153</v>
      </c>
      <c r="BC37">
        <v>207</v>
      </c>
      <c r="BD37" t="s">
        <v>74</v>
      </c>
      <c r="BE37" t="s">
        <v>877</v>
      </c>
      <c r="BF37" t="str">
        <f>HYPERLINK("http://dx.doi.org/10.1007/978-3-030-33566-3_3","http://dx.doi.org/10.1007/978-3-030-33566-3_3")</f>
        <v>http://dx.doi.org/10.1007/978-3-030-33566-3_3</v>
      </c>
      <c r="BG37" t="s">
        <v>878</v>
      </c>
      <c r="BH37" t="s">
        <v>74</v>
      </c>
      <c r="BI37">
        <v>55</v>
      </c>
      <c r="BJ37" t="s">
        <v>103</v>
      </c>
      <c r="BK37" t="s">
        <v>611</v>
      </c>
      <c r="BL37" t="s">
        <v>105</v>
      </c>
      <c r="BM37" t="s">
        <v>879</v>
      </c>
      <c r="BN37" t="s">
        <v>74</v>
      </c>
      <c r="BO37" t="s">
        <v>74</v>
      </c>
      <c r="BP37" t="s">
        <v>74</v>
      </c>
      <c r="BQ37" t="s">
        <v>74</v>
      </c>
      <c r="BR37" t="s">
        <v>108</v>
      </c>
      <c r="BS37" t="s">
        <v>880</v>
      </c>
      <c r="BT37" t="str">
        <f>HYPERLINK("https%3A%2F%2Fwww.webofscience.com%2Fwos%2Fwoscc%2Ffull-record%2FWOS:000679977700004","View Full Record in Web of Science")</f>
        <v>View Full Record in Web of Science</v>
      </c>
    </row>
    <row r="38" spans="1:72" x14ac:dyDescent="0.15">
      <c r="A38" t="s">
        <v>133</v>
      </c>
      <c r="B38" t="s">
        <v>881</v>
      </c>
      <c r="C38" t="s">
        <v>74</v>
      </c>
      <c r="D38" t="s">
        <v>74</v>
      </c>
      <c r="E38" t="s">
        <v>74</v>
      </c>
      <c r="F38" t="s">
        <v>882</v>
      </c>
      <c r="G38" t="s">
        <v>74</v>
      </c>
      <c r="H38" t="s">
        <v>74</v>
      </c>
      <c r="I38" t="s">
        <v>883</v>
      </c>
      <c r="J38" t="s">
        <v>884</v>
      </c>
      <c r="K38" t="s">
        <v>74</v>
      </c>
      <c r="L38" t="s">
        <v>74</v>
      </c>
      <c r="M38" t="s">
        <v>80</v>
      </c>
      <c r="N38" t="s">
        <v>138</v>
      </c>
      <c r="O38" t="s">
        <v>74</v>
      </c>
      <c r="P38" t="s">
        <v>74</v>
      </c>
      <c r="Q38" t="s">
        <v>74</v>
      </c>
      <c r="R38" t="s">
        <v>74</v>
      </c>
      <c r="S38" t="s">
        <v>74</v>
      </c>
      <c r="T38" t="s">
        <v>885</v>
      </c>
      <c r="U38" t="s">
        <v>886</v>
      </c>
      <c r="V38" t="s">
        <v>887</v>
      </c>
      <c r="W38" t="s">
        <v>888</v>
      </c>
      <c r="X38" t="s">
        <v>889</v>
      </c>
      <c r="Y38" t="s">
        <v>890</v>
      </c>
      <c r="Z38" t="s">
        <v>891</v>
      </c>
      <c r="AA38" t="s">
        <v>74</v>
      </c>
      <c r="AB38" t="s">
        <v>892</v>
      </c>
      <c r="AC38" t="s">
        <v>893</v>
      </c>
      <c r="AD38" t="s">
        <v>894</v>
      </c>
      <c r="AE38" t="s">
        <v>895</v>
      </c>
      <c r="AF38" t="s">
        <v>74</v>
      </c>
      <c r="AG38">
        <v>50</v>
      </c>
      <c r="AH38">
        <v>21</v>
      </c>
      <c r="AI38">
        <v>25</v>
      </c>
      <c r="AJ38">
        <v>9</v>
      </c>
      <c r="AK38">
        <v>46</v>
      </c>
      <c r="AL38" t="s">
        <v>578</v>
      </c>
      <c r="AM38" t="s">
        <v>380</v>
      </c>
      <c r="AN38" t="s">
        <v>579</v>
      </c>
      <c r="AO38" t="s">
        <v>896</v>
      </c>
      <c r="AP38" t="s">
        <v>897</v>
      </c>
      <c r="AQ38" t="s">
        <v>74</v>
      </c>
      <c r="AR38" t="s">
        <v>898</v>
      </c>
      <c r="AS38" t="s">
        <v>899</v>
      </c>
      <c r="AT38" t="s">
        <v>291</v>
      </c>
      <c r="AU38">
        <v>2020</v>
      </c>
      <c r="AV38">
        <v>61</v>
      </c>
      <c r="AW38">
        <v>1</v>
      </c>
      <c r="AX38" t="s">
        <v>74</v>
      </c>
      <c r="AY38" t="s">
        <v>74</v>
      </c>
      <c r="AZ38" t="s">
        <v>74</v>
      </c>
      <c r="BA38" t="s">
        <v>74</v>
      </c>
      <c r="BB38">
        <v>88</v>
      </c>
      <c r="BC38">
        <v>104</v>
      </c>
      <c r="BD38" t="s">
        <v>74</v>
      </c>
      <c r="BE38" t="s">
        <v>900</v>
      </c>
      <c r="BF38" t="str">
        <f>HYPERLINK("http://dx.doi.org/10.1093/pcp/pcz180","http://dx.doi.org/10.1093/pcp/pcz180")</f>
        <v>http://dx.doi.org/10.1093/pcp/pcz180</v>
      </c>
      <c r="BG38" t="s">
        <v>74</v>
      </c>
      <c r="BH38" t="s">
        <v>74</v>
      </c>
      <c r="BI38">
        <v>17</v>
      </c>
      <c r="BJ38" t="s">
        <v>901</v>
      </c>
      <c r="BK38" t="s">
        <v>294</v>
      </c>
      <c r="BL38" t="s">
        <v>901</v>
      </c>
      <c r="BM38" t="s">
        <v>902</v>
      </c>
      <c r="BN38">
        <v>31513272</v>
      </c>
      <c r="BO38" t="s">
        <v>74</v>
      </c>
      <c r="BP38" t="s">
        <v>74</v>
      </c>
      <c r="BQ38" t="s">
        <v>74</v>
      </c>
      <c r="BR38" t="s">
        <v>108</v>
      </c>
      <c r="BS38" t="s">
        <v>903</v>
      </c>
      <c r="BT38" t="str">
        <f>HYPERLINK("https%3A%2F%2Fwww.webofscience.com%2Fwos%2Fwoscc%2Ffull-record%2FWOS:000522854500009","View Full Record in Web of Science")</f>
        <v>View Full Record in Web of Science</v>
      </c>
    </row>
    <row r="39" spans="1:72" x14ac:dyDescent="0.15">
      <c r="A39" t="s">
        <v>133</v>
      </c>
      <c r="B39" t="s">
        <v>904</v>
      </c>
      <c r="C39" t="s">
        <v>74</v>
      </c>
      <c r="D39" t="s">
        <v>74</v>
      </c>
      <c r="E39" t="s">
        <v>74</v>
      </c>
      <c r="F39" t="s">
        <v>905</v>
      </c>
      <c r="G39" t="s">
        <v>74</v>
      </c>
      <c r="H39" t="s">
        <v>74</v>
      </c>
      <c r="I39" t="s">
        <v>906</v>
      </c>
      <c r="J39" t="s">
        <v>907</v>
      </c>
      <c r="K39" t="s">
        <v>74</v>
      </c>
      <c r="L39" t="s">
        <v>74</v>
      </c>
      <c r="M39" t="s">
        <v>80</v>
      </c>
      <c r="N39" t="s">
        <v>138</v>
      </c>
      <c r="O39" t="s">
        <v>74</v>
      </c>
      <c r="P39" t="s">
        <v>74</v>
      </c>
      <c r="Q39" t="s">
        <v>74</v>
      </c>
      <c r="R39" t="s">
        <v>74</v>
      </c>
      <c r="S39" t="s">
        <v>74</v>
      </c>
      <c r="T39" t="s">
        <v>908</v>
      </c>
      <c r="U39" t="s">
        <v>909</v>
      </c>
      <c r="V39" t="s">
        <v>910</v>
      </c>
      <c r="W39" t="s">
        <v>911</v>
      </c>
      <c r="X39" t="s">
        <v>912</v>
      </c>
      <c r="Y39" t="s">
        <v>913</v>
      </c>
      <c r="Z39" t="s">
        <v>914</v>
      </c>
      <c r="AA39" t="s">
        <v>915</v>
      </c>
      <c r="AB39" t="s">
        <v>916</v>
      </c>
      <c r="AC39" t="s">
        <v>917</v>
      </c>
      <c r="AD39" t="s">
        <v>918</v>
      </c>
      <c r="AE39" t="s">
        <v>919</v>
      </c>
      <c r="AF39" t="s">
        <v>74</v>
      </c>
      <c r="AG39">
        <v>39</v>
      </c>
      <c r="AH39">
        <v>5</v>
      </c>
      <c r="AI39">
        <v>5</v>
      </c>
      <c r="AJ39">
        <v>0</v>
      </c>
      <c r="AK39">
        <v>4</v>
      </c>
      <c r="AL39" t="s">
        <v>683</v>
      </c>
      <c r="AM39" t="s">
        <v>684</v>
      </c>
      <c r="AN39" t="s">
        <v>685</v>
      </c>
      <c r="AO39" t="s">
        <v>74</v>
      </c>
      <c r="AP39" t="s">
        <v>920</v>
      </c>
      <c r="AQ39" t="s">
        <v>74</v>
      </c>
      <c r="AR39" t="s">
        <v>907</v>
      </c>
      <c r="AS39" t="s">
        <v>921</v>
      </c>
      <c r="AT39" t="s">
        <v>291</v>
      </c>
      <c r="AU39">
        <v>2020</v>
      </c>
      <c r="AV39">
        <v>12</v>
      </c>
      <c r="AW39">
        <v>1</v>
      </c>
      <c r="AX39" t="s">
        <v>74</v>
      </c>
      <c r="AY39" t="s">
        <v>74</v>
      </c>
      <c r="AZ39" t="s">
        <v>74</v>
      </c>
      <c r="BA39" t="s">
        <v>74</v>
      </c>
      <c r="BB39" t="s">
        <v>74</v>
      </c>
      <c r="BC39" t="s">
        <v>74</v>
      </c>
      <c r="BD39">
        <v>27</v>
      </c>
      <c r="BE39" t="s">
        <v>922</v>
      </c>
      <c r="BF39" t="str">
        <f>HYPERLINK("http://dx.doi.org/10.3390/toxins12010027","http://dx.doi.org/10.3390/toxins12010027")</f>
        <v>http://dx.doi.org/10.3390/toxins12010027</v>
      </c>
      <c r="BG39" t="s">
        <v>74</v>
      </c>
      <c r="BH39" t="s">
        <v>74</v>
      </c>
      <c r="BI39">
        <v>14</v>
      </c>
      <c r="BJ39" t="s">
        <v>923</v>
      </c>
      <c r="BK39" t="s">
        <v>294</v>
      </c>
      <c r="BL39" t="s">
        <v>923</v>
      </c>
      <c r="BM39" t="s">
        <v>924</v>
      </c>
      <c r="BN39">
        <v>31906409</v>
      </c>
      <c r="BO39" t="s">
        <v>693</v>
      </c>
      <c r="BP39" t="s">
        <v>74</v>
      </c>
      <c r="BQ39" t="s">
        <v>74</v>
      </c>
      <c r="BR39" t="s">
        <v>108</v>
      </c>
      <c r="BS39" t="s">
        <v>925</v>
      </c>
      <c r="BT39" t="str">
        <f>HYPERLINK("https%3A%2F%2Fwww.webofscience.com%2Fwos%2Fwoscc%2Ffull-record%2FWOS:000514630000022","View Full Record in Web of Science")</f>
        <v>View Full Record in Web of Science</v>
      </c>
    </row>
    <row r="40" spans="1:72" x14ac:dyDescent="0.15">
      <c r="A40" t="s">
        <v>133</v>
      </c>
      <c r="B40" t="s">
        <v>926</v>
      </c>
      <c r="C40" t="s">
        <v>74</v>
      </c>
      <c r="D40" t="s">
        <v>74</v>
      </c>
      <c r="E40" t="s">
        <v>74</v>
      </c>
      <c r="F40" t="s">
        <v>927</v>
      </c>
      <c r="G40" t="s">
        <v>74</v>
      </c>
      <c r="H40" t="s">
        <v>74</v>
      </c>
      <c r="I40" t="s">
        <v>928</v>
      </c>
      <c r="J40" t="s">
        <v>929</v>
      </c>
      <c r="K40" t="s">
        <v>74</v>
      </c>
      <c r="L40" t="s">
        <v>74</v>
      </c>
      <c r="M40" t="s">
        <v>80</v>
      </c>
      <c r="N40" t="s">
        <v>930</v>
      </c>
      <c r="O40" t="s">
        <v>74</v>
      </c>
      <c r="P40" t="s">
        <v>74</v>
      </c>
      <c r="Q40" t="s">
        <v>74</v>
      </c>
      <c r="R40" t="s">
        <v>74</v>
      </c>
      <c r="S40" t="s">
        <v>74</v>
      </c>
      <c r="T40" t="s">
        <v>74</v>
      </c>
      <c r="U40" t="s">
        <v>931</v>
      </c>
      <c r="V40" t="s">
        <v>932</v>
      </c>
      <c r="W40" t="s">
        <v>933</v>
      </c>
      <c r="X40" t="s">
        <v>934</v>
      </c>
      <c r="Y40" t="s">
        <v>935</v>
      </c>
      <c r="Z40" t="s">
        <v>936</v>
      </c>
      <c r="AA40" t="s">
        <v>937</v>
      </c>
      <c r="AB40" t="s">
        <v>938</v>
      </c>
      <c r="AC40" t="s">
        <v>939</v>
      </c>
      <c r="AD40" t="s">
        <v>940</v>
      </c>
      <c r="AE40" t="s">
        <v>941</v>
      </c>
      <c r="AF40" t="s">
        <v>74</v>
      </c>
      <c r="AG40">
        <v>57</v>
      </c>
      <c r="AH40">
        <v>35</v>
      </c>
      <c r="AI40">
        <v>36</v>
      </c>
      <c r="AJ40">
        <v>1</v>
      </c>
      <c r="AK40">
        <v>73</v>
      </c>
      <c r="AL40" t="s">
        <v>942</v>
      </c>
      <c r="AM40" t="s">
        <v>606</v>
      </c>
      <c r="AN40" t="s">
        <v>943</v>
      </c>
      <c r="AO40" t="s">
        <v>944</v>
      </c>
      <c r="AP40" t="s">
        <v>945</v>
      </c>
      <c r="AQ40" t="s">
        <v>74</v>
      </c>
      <c r="AR40" t="s">
        <v>946</v>
      </c>
      <c r="AS40" t="s">
        <v>947</v>
      </c>
      <c r="AT40" t="s">
        <v>291</v>
      </c>
      <c r="AU40">
        <v>2020</v>
      </c>
      <c r="AV40">
        <v>35</v>
      </c>
      <c r="AW40">
        <v>1</v>
      </c>
      <c r="AX40" t="s">
        <v>74</v>
      </c>
      <c r="AY40" t="s">
        <v>74</v>
      </c>
      <c r="AZ40" t="s">
        <v>74</v>
      </c>
      <c r="BA40" t="s">
        <v>74</v>
      </c>
      <c r="BB40">
        <v>81</v>
      </c>
      <c r="BC40">
        <v>90</v>
      </c>
      <c r="BD40" t="s">
        <v>74</v>
      </c>
      <c r="BE40" t="s">
        <v>948</v>
      </c>
      <c r="BF40" t="str">
        <f>HYPERLINK("http://dx.doi.org/10.1016/j.tree.2019.10.010","http://dx.doi.org/10.1016/j.tree.2019.10.010")</f>
        <v>http://dx.doi.org/10.1016/j.tree.2019.10.010</v>
      </c>
      <c r="BG40" t="s">
        <v>74</v>
      </c>
      <c r="BH40" t="s">
        <v>74</v>
      </c>
      <c r="BI40">
        <v>10</v>
      </c>
      <c r="BJ40" t="s">
        <v>949</v>
      </c>
      <c r="BK40" t="s">
        <v>294</v>
      </c>
      <c r="BL40" t="s">
        <v>950</v>
      </c>
      <c r="BM40" t="s">
        <v>951</v>
      </c>
      <c r="BN40">
        <v>31813647</v>
      </c>
      <c r="BO40" t="s">
        <v>741</v>
      </c>
      <c r="BP40" t="s">
        <v>74</v>
      </c>
      <c r="BQ40" t="s">
        <v>74</v>
      </c>
      <c r="BR40" t="s">
        <v>108</v>
      </c>
      <c r="BS40" t="s">
        <v>952</v>
      </c>
      <c r="BT40" t="str">
        <f>HYPERLINK("https%3A%2F%2Fwww.webofscience.com%2Fwos%2Fwoscc%2Ffull-record%2FWOS:000504400600010","View Full Record in Web of Science")</f>
        <v>View Full Record in Web of Science</v>
      </c>
    </row>
    <row r="41" spans="1:72" x14ac:dyDescent="0.15">
      <c r="A41" t="s">
        <v>133</v>
      </c>
      <c r="B41" t="s">
        <v>953</v>
      </c>
      <c r="C41" t="s">
        <v>74</v>
      </c>
      <c r="D41" t="s">
        <v>74</v>
      </c>
      <c r="E41" t="s">
        <v>74</v>
      </c>
      <c r="F41" t="s">
        <v>954</v>
      </c>
      <c r="G41" t="s">
        <v>74</v>
      </c>
      <c r="H41" t="s">
        <v>74</v>
      </c>
      <c r="I41" t="s">
        <v>955</v>
      </c>
      <c r="J41" t="s">
        <v>956</v>
      </c>
      <c r="K41" t="s">
        <v>74</v>
      </c>
      <c r="L41" t="s">
        <v>74</v>
      </c>
      <c r="M41" t="s">
        <v>80</v>
      </c>
      <c r="N41" t="s">
        <v>930</v>
      </c>
      <c r="O41" t="s">
        <v>74</v>
      </c>
      <c r="P41" t="s">
        <v>74</v>
      </c>
      <c r="Q41" t="s">
        <v>74</v>
      </c>
      <c r="R41" t="s">
        <v>74</v>
      </c>
      <c r="S41" t="s">
        <v>74</v>
      </c>
      <c r="T41" t="s">
        <v>957</v>
      </c>
      <c r="U41" t="s">
        <v>958</v>
      </c>
      <c r="V41" t="s">
        <v>959</v>
      </c>
      <c r="W41" t="s">
        <v>960</v>
      </c>
      <c r="X41" t="s">
        <v>961</v>
      </c>
      <c r="Y41" t="s">
        <v>962</v>
      </c>
      <c r="Z41" t="s">
        <v>963</v>
      </c>
      <c r="AA41" t="s">
        <v>964</v>
      </c>
      <c r="AB41" t="s">
        <v>965</v>
      </c>
      <c r="AC41" t="s">
        <v>966</v>
      </c>
      <c r="AD41" t="s">
        <v>967</v>
      </c>
      <c r="AE41" t="s">
        <v>968</v>
      </c>
      <c r="AF41" t="s">
        <v>74</v>
      </c>
      <c r="AG41">
        <v>646</v>
      </c>
      <c r="AH41">
        <v>106</v>
      </c>
      <c r="AI41">
        <v>114</v>
      </c>
      <c r="AJ41">
        <v>12</v>
      </c>
      <c r="AK41">
        <v>176</v>
      </c>
      <c r="AL41" t="s">
        <v>683</v>
      </c>
      <c r="AM41" t="s">
        <v>684</v>
      </c>
      <c r="AN41" t="s">
        <v>685</v>
      </c>
      <c r="AO41" t="s">
        <v>74</v>
      </c>
      <c r="AP41" t="s">
        <v>969</v>
      </c>
      <c r="AQ41" t="s">
        <v>74</v>
      </c>
      <c r="AR41" t="s">
        <v>970</v>
      </c>
      <c r="AS41" t="s">
        <v>971</v>
      </c>
      <c r="AT41" t="s">
        <v>291</v>
      </c>
      <c r="AU41">
        <v>2020</v>
      </c>
      <c r="AV41">
        <v>12</v>
      </c>
      <c r="AW41">
        <v>1</v>
      </c>
      <c r="AX41" t="s">
        <v>74</v>
      </c>
      <c r="AY41" t="s">
        <v>74</v>
      </c>
      <c r="AZ41" t="s">
        <v>74</v>
      </c>
      <c r="BA41" t="s">
        <v>74</v>
      </c>
      <c r="BB41" t="s">
        <v>74</v>
      </c>
      <c r="BC41" t="s">
        <v>74</v>
      </c>
      <c r="BD41">
        <v>260</v>
      </c>
      <c r="BE41" t="s">
        <v>972</v>
      </c>
      <c r="BF41" t="str">
        <f>HYPERLINK("http://dx.doi.org/10.3390/w12010260","http://dx.doi.org/10.3390/w12010260")</f>
        <v>http://dx.doi.org/10.3390/w12010260</v>
      </c>
      <c r="BG41" t="s">
        <v>74</v>
      </c>
      <c r="BH41" t="s">
        <v>74</v>
      </c>
      <c r="BI41">
        <v>85</v>
      </c>
      <c r="BJ41" t="s">
        <v>973</v>
      </c>
      <c r="BK41" t="s">
        <v>294</v>
      </c>
      <c r="BL41" t="s">
        <v>974</v>
      </c>
      <c r="BM41" t="s">
        <v>975</v>
      </c>
      <c r="BN41" t="s">
        <v>74</v>
      </c>
      <c r="BO41" t="s">
        <v>976</v>
      </c>
      <c r="BP41" t="s">
        <v>74</v>
      </c>
      <c r="BQ41" t="s">
        <v>74</v>
      </c>
      <c r="BR41" t="s">
        <v>108</v>
      </c>
      <c r="BS41" t="s">
        <v>977</v>
      </c>
      <c r="BT41" t="str">
        <f>HYPERLINK("https%3A%2F%2Fwww.webofscience.com%2Fwos%2Fwoscc%2Ffull-record%2FWOS:000519847200260","View Full Record in Web of Science")</f>
        <v>View Full Record in Web of Science</v>
      </c>
    </row>
    <row r="42" spans="1:72" x14ac:dyDescent="0.15">
      <c r="A42" t="s">
        <v>72</v>
      </c>
      <c r="B42" t="s">
        <v>978</v>
      </c>
      <c r="C42" t="s">
        <v>74</v>
      </c>
      <c r="D42" t="s">
        <v>979</v>
      </c>
      <c r="E42" t="s">
        <v>74</v>
      </c>
      <c r="F42" t="s">
        <v>980</v>
      </c>
      <c r="G42" t="s">
        <v>74</v>
      </c>
      <c r="H42" t="s">
        <v>74</v>
      </c>
      <c r="I42" t="s">
        <v>981</v>
      </c>
      <c r="J42" t="s">
        <v>982</v>
      </c>
      <c r="K42" t="s">
        <v>471</v>
      </c>
      <c r="L42" t="s">
        <v>74</v>
      </c>
      <c r="M42" t="s">
        <v>80</v>
      </c>
      <c r="N42" t="s">
        <v>81</v>
      </c>
      <c r="O42" t="s">
        <v>983</v>
      </c>
      <c r="P42" t="s">
        <v>473</v>
      </c>
      <c r="Q42" t="s">
        <v>474</v>
      </c>
      <c r="R42" t="s">
        <v>74</v>
      </c>
      <c r="S42" t="s">
        <v>74</v>
      </c>
      <c r="T42" t="s">
        <v>984</v>
      </c>
      <c r="U42" t="s">
        <v>74</v>
      </c>
      <c r="V42" t="s">
        <v>985</v>
      </c>
      <c r="W42" t="s">
        <v>986</v>
      </c>
      <c r="X42" t="s">
        <v>987</v>
      </c>
      <c r="Y42" t="s">
        <v>988</v>
      </c>
      <c r="Z42" t="s">
        <v>989</v>
      </c>
      <c r="AA42" t="s">
        <v>990</v>
      </c>
      <c r="AB42" t="s">
        <v>991</v>
      </c>
      <c r="AC42" t="s">
        <v>992</v>
      </c>
      <c r="AD42" t="s">
        <v>993</v>
      </c>
      <c r="AE42" t="s">
        <v>994</v>
      </c>
      <c r="AF42" t="s">
        <v>74</v>
      </c>
      <c r="AG42">
        <v>4</v>
      </c>
      <c r="AH42">
        <v>0</v>
      </c>
      <c r="AI42">
        <v>0</v>
      </c>
      <c r="AJ42">
        <v>0</v>
      </c>
      <c r="AK42">
        <v>2</v>
      </c>
      <c r="AL42" t="s">
        <v>486</v>
      </c>
      <c r="AM42" t="s">
        <v>487</v>
      </c>
      <c r="AN42" t="s">
        <v>488</v>
      </c>
      <c r="AO42" t="s">
        <v>489</v>
      </c>
      <c r="AP42" t="s">
        <v>490</v>
      </c>
      <c r="AQ42" t="s">
        <v>995</v>
      </c>
      <c r="AR42" t="s">
        <v>492</v>
      </c>
      <c r="AS42" t="s">
        <v>74</v>
      </c>
      <c r="AT42" t="s">
        <v>74</v>
      </c>
      <c r="AU42">
        <v>2020</v>
      </c>
      <c r="AV42">
        <v>11454</v>
      </c>
      <c r="AW42" t="s">
        <v>74</v>
      </c>
      <c r="AX42" t="s">
        <v>74</v>
      </c>
      <c r="AY42" t="s">
        <v>74</v>
      </c>
      <c r="AZ42" t="s">
        <v>74</v>
      </c>
      <c r="BA42" t="s">
        <v>74</v>
      </c>
      <c r="BB42" t="s">
        <v>74</v>
      </c>
      <c r="BC42" t="s">
        <v>74</v>
      </c>
      <c r="BD42" t="s">
        <v>996</v>
      </c>
      <c r="BE42" t="s">
        <v>997</v>
      </c>
      <c r="BF42" t="str">
        <f>HYPERLINK("http://dx.doi.org/10.1117/12.2560781","http://dx.doi.org/10.1117/12.2560781")</f>
        <v>http://dx.doi.org/10.1117/12.2560781</v>
      </c>
      <c r="BG42" t="s">
        <v>74</v>
      </c>
      <c r="BH42" t="s">
        <v>74</v>
      </c>
      <c r="BI42">
        <v>8</v>
      </c>
      <c r="BJ42" t="s">
        <v>517</v>
      </c>
      <c r="BK42" t="s">
        <v>104</v>
      </c>
      <c r="BL42" t="s">
        <v>517</v>
      </c>
      <c r="BM42" t="s">
        <v>998</v>
      </c>
      <c r="BN42" t="s">
        <v>74</v>
      </c>
      <c r="BO42" t="s">
        <v>74</v>
      </c>
      <c r="BP42" t="s">
        <v>74</v>
      </c>
      <c r="BQ42" t="s">
        <v>74</v>
      </c>
      <c r="BR42" t="s">
        <v>108</v>
      </c>
      <c r="BS42" t="s">
        <v>999</v>
      </c>
      <c r="BT42" t="str">
        <f>HYPERLINK("https%3A%2F%2Fwww.webofscience.com%2Fwos%2Fwoscc%2Ffull-record%2FWOS:000767166800051","View Full Record in Web of Science")</f>
        <v>View Full Record in Web of Science</v>
      </c>
    </row>
    <row r="43" spans="1:72" x14ac:dyDescent="0.15">
      <c r="A43" t="s">
        <v>133</v>
      </c>
      <c r="B43" t="s">
        <v>1000</v>
      </c>
      <c r="C43" t="s">
        <v>74</v>
      </c>
      <c r="D43" t="s">
        <v>74</v>
      </c>
      <c r="E43" t="s">
        <v>74</v>
      </c>
      <c r="F43" t="s">
        <v>1001</v>
      </c>
      <c r="G43" t="s">
        <v>74</v>
      </c>
      <c r="H43" t="s">
        <v>74</v>
      </c>
      <c r="I43" t="s">
        <v>1002</v>
      </c>
      <c r="J43" t="s">
        <v>1003</v>
      </c>
      <c r="K43" t="s">
        <v>74</v>
      </c>
      <c r="L43" t="s">
        <v>74</v>
      </c>
      <c r="M43" t="s">
        <v>80</v>
      </c>
      <c r="N43" t="s">
        <v>138</v>
      </c>
      <c r="O43" t="s">
        <v>74</v>
      </c>
      <c r="P43" t="s">
        <v>74</v>
      </c>
      <c r="Q43" t="s">
        <v>74</v>
      </c>
      <c r="R43" t="s">
        <v>74</v>
      </c>
      <c r="S43" t="s">
        <v>74</v>
      </c>
      <c r="T43" t="s">
        <v>1004</v>
      </c>
      <c r="U43" t="s">
        <v>1005</v>
      </c>
      <c r="V43" t="s">
        <v>1006</v>
      </c>
      <c r="W43" t="s">
        <v>1007</v>
      </c>
      <c r="X43" t="s">
        <v>1008</v>
      </c>
      <c r="Y43" t="s">
        <v>1009</v>
      </c>
      <c r="Z43" t="s">
        <v>1010</v>
      </c>
      <c r="AA43" t="s">
        <v>1011</v>
      </c>
      <c r="AB43" t="s">
        <v>1012</v>
      </c>
      <c r="AC43" t="s">
        <v>1013</v>
      </c>
      <c r="AD43" t="s">
        <v>1014</v>
      </c>
      <c r="AE43" t="s">
        <v>1015</v>
      </c>
      <c r="AF43" t="s">
        <v>74</v>
      </c>
      <c r="AG43">
        <v>53</v>
      </c>
      <c r="AH43">
        <v>19</v>
      </c>
      <c r="AI43">
        <v>23</v>
      </c>
      <c r="AJ43">
        <v>0</v>
      </c>
      <c r="AK43">
        <v>11</v>
      </c>
      <c r="AL43" t="s">
        <v>1016</v>
      </c>
      <c r="AM43" t="s">
        <v>1017</v>
      </c>
      <c r="AN43" t="s">
        <v>1018</v>
      </c>
      <c r="AO43" t="s">
        <v>1019</v>
      </c>
      <c r="AP43" t="s">
        <v>1020</v>
      </c>
      <c r="AQ43" t="s">
        <v>74</v>
      </c>
      <c r="AR43" t="s">
        <v>1021</v>
      </c>
      <c r="AS43" t="s">
        <v>1022</v>
      </c>
      <c r="AT43" t="s">
        <v>291</v>
      </c>
      <c r="AU43">
        <v>2020</v>
      </c>
      <c r="AV43">
        <v>33</v>
      </c>
      <c r="AW43">
        <v>2</v>
      </c>
      <c r="AX43" t="s">
        <v>74</v>
      </c>
      <c r="AY43" t="s">
        <v>74</v>
      </c>
      <c r="AZ43" t="s">
        <v>74</v>
      </c>
      <c r="BA43" t="s">
        <v>74</v>
      </c>
      <c r="BB43">
        <v>443</v>
      </c>
      <c r="BC43">
        <v>459</v>
      </c>
      <c r="BD43" t="s">
        <v>74</v>
      </c>
      <c r="BE43" t="s">
        <v>1023</v>
      </c>
      <c r="BF43" t="str">
        <f>HYPERLINK("http://dx.doi.org/10.1175/JCLI-D-19-0479.1","http://dx.doi.org/10.1175/JCLI-D-19-0479.1")</f>
        <v>http://dx.doi.org/10.1175/JCLI-D-19-0479.1</v>
      </c>
      <c r="BG43" t="s">
        <v>74</v>
      </c>
      <c r="BH43" t="s">
        <v>74</v>
      </c>
      <c r="BI43">
        <v>17</v>
      </c>
      <c r="BJ43" t="s">
        <v>1024</v>
      </c>
      <c r="BK43" t="s">
        <v>294</v>
      </c>
      <c r="BL43" t="s">
        <v>1024</v>
      </c>
      <c r="BM43" t="s">
        <v>1025</v>
      </c>
      <c r="BN43" t="s">
        <v>74</v>
      </c>
      <c r="BO43" t="s">
        <v>1026</v>
      </c>
      <c r="BP43" t="s">
        <v>74</v>
      </c>
      <c r="BQ43" t="s">
        <v>74</v>
      </c>
      <c r="BR43" t="s">
        <v>108</v>
      </c>
      <c r="BS43" t="s">
        <v>1027</v>
      </c>
      <c r="BT43" t="str">
        <f>HYPERLINK("https%3A%2F%2Fwww.webofscience.com%2Fwos%2Fwoscc%2Ffull-record%2FWOS:000502764400001","View Full Record in Web of Science")</f>
        <v>View Full Record in Web of Science</v>
      </c>
    </row>
    <row r="44" spans="1:72" x14ac:dyDescent="0.15">
      <c r="A44" t="s">
        <v>133</v>
      </c>
      <c r="B44" t="s">
        <v>1028</v>
      </c>
      <c r="C44" t="s">
        <v>74</v>
      </c>
      <c r="D44" t="s">
        <v>74</v>
      </c>
      <c r="E44" t="s">
        <v>74</v>
      </c>
      <c r="F44" t="s">
        <v>1029</v>
      </c>
      <c r="G44" t="s">
        <v>74</v>
      </c>
      <c r="H44" t="s">
        <v>74</v>
      </c>
      <c r="I44" t="s">
        <v>1030</v>
      </c>
      <c r="J44" t="s">
        <v>366</v>
      </c>
      <c r="K44" t="s">
        <v>74</v>
      </c>
      <c r="L44" t="s">
        <v>74</v>
      </c>
      <c r="M44" t="s">
        <v>80</v>
      </c>
      <c r="N44" t="s">
        <v>138</v>
      </c>
      <c r="O44" t="s">
        <v>74</v>
      </c>
      <c r="P44" t="s">
        <v>74</v>
      </c>
      <c r="Q44" t="s">
        <v>74</v>
      </c>
      <c r="R44" t="s">
        <v>74</v>
      </c>
      <c r="S44" t="s">
        <v>74</v>
      </c>
      <c r="T44" t="s">
        <v>1031</v>
      </c>
      <c r="U44" t="s">
        <v>1032</v>
      </c>
      <c r="V44" t="s">
        <v>1033</v>
      </c>
      <c r="W44" t="s">
        <v>1034</v>
      </c>
      <c r="X44" t="s">
        <v>1035</v>
      </c>
      <c r="Y44" t="s">
        <v>1036</v>
      </c>
      <c r="Z44" t="s">
        <v>1037</v>
      </c>
      <c r="AA44" t="s">
        <v>1038</v>
      </c>
      <c r="AB44" t="s">
        <v>1039</v>
      </c>
      <c r="AC44" t="s">
        <v>1040</v>
      </c>
      <c r="AD44" t="s">
        <v>1041</v>
      </c>
      <c r="AE44" t="s">
        <v>1042</v>
      </c>
      <c r="AF44" t="s">
        <v>74</v>
      </c>
      <c r="AG44">
        <v>77</v>
      </c>
      <c r="AH44">
        <v>39</v>
      </c>
      <c r="AI44">
        <v>41</v>
      </c>
      <c r="AJ44">
        <v>8</v>
      </c>
      <c r="AK44">
        <v>51</v>
      </c>
      <c r="AL44" t="s">
        <v>379</v>
      </c>
      <c r="AM44" t="s">
        <v>380</v>
      </c>
      <c r="AN44" t="s">
        <v>381</v>
      </c>
      <c r="AO44" t="s">
        <v>382</v>
      </c>
      <c r="AP44" t="s">
        <v>383</v>
      </c>
      <c r="AQ44" t="s">
        <v>74</v>
      </c>
      <c r="AR44" t="s">
        <v>384</v>
      </c>
      <c r="AS44" t="s">
        <v>385</v>
      </c>
      <c r="AT44" t="s">
        <v>291</v>
      </c>
      <c r="AU44">
        <v>2020</v>
      </c>
      <c r="AV44">
        <v>134</v>
      </c>
      <c r="AW44" t="s">
        <v>74</v>
      </c>
      <c r="AX44" t="s">
        <v>74</v>
      </c>
      <c r="AY44" t="s">
        <v>74</v>
      </c>
      <c r="AZ44" t="s">
        <v>74</v>
      </c>
      <c r="BA44" t="s">
        <v>74</v>
      </c>
      <c r="BB44" t="s">
        <v>74</v>
      </c>
      <c r="BC44" t="s">
        <v>74</v>
      </c>
      <c r="BD44">
        <v>105225</v>
      </c>
      <c r="BE44" t="s">
        <v>1043</v>
      </c>
      <c r="BF44" t="str">
        <f>HYPERLINK("http://dx.doi.org/10.1016/j.envint.2019.105225","http://dx.doi.org/10.1016/j.envint.2019.105225")</f>
        <v>http://dx.doi.org/10.1016/j.envint.2019.105225</v>
      </c>
      <c r="BG44" t="s">
        <v>74</v>
      </c>
      <c r="BH44" t="s">
        <v>74</v>
      </c>
      <c r="BI44">
        <v>10</v>
      </c>
      <c r="BJ44" t="s">
        <v>387</v>
      </c>
      <c r="BK44" t="s">
        <v>294</v>
      </c>
      <c r="BL44" t="s">
        <v>388</v>
      </c>
      <c r="BM44" t="s">
        <v>389</v>
      </c>
      <c r="BN44">
        <v>31711015</v>
      </c>
      <c r="BO44" t="s">
        <v>976</v>
      </c>
      <c r="BP44" t="s">
        <v>74</v>
      </c>
      <c r="BQ44" t="s">
        <v>74</v>
      </c>
      <c r="BR44" t="s">
        <v>108</v>
      </c>
      <c r="BS44" t="s">
        <v>1044</v>
      </c>
      <c r="BT44" t="str">
        <f>HYPERLINK("https%3A%2F%2Fwww.webofscience.com%2Fwos%2Fwoscc%2Ffull-record%2FWOS:000501344500086","View Full Record in Web of Science")</f>
        <v>View Full Record in Web of Science</v>
      </c>
    </row>
    <row r="45" spans="1:72" x14ac:dyDescent="0.15">
      <c r="A45" t="s">
        <v>133</v>
      </c>
      <c r="B45" t="s">
        <v>1045</v>
      </c>
      <c r="C45" t="s">
        <v>74</v>
      </c>
      <c r="D45" t="s">
        <v>74</v>
      </c>
      <c r="E45" t="s">
        <v>74</v>
      </c>
      <c r="F45" t="s">
        <v>1046</v>
      </c>
      <c r="G45" t="s">
        <v>74</v>
      </c>
      <c r="H45" t="s">
        <v>74</v>
      </c>
      <c r="I45" t="s">
        <v>1047</v>
      </c>
      <c r="J45" t="s">
        <v>1048</v>
      </c>
      <c r="K45" t="s">
        <v>74</v>
      </c>
      <c r="L45" t="s">
        <v>74</v>
      </c>
      <c r="M45" t="s">
        <v>80</v>
      </c>
      <c r="N45" t="s">
        <v>138</v>
      </c>
      <c r="O45" t="s">
        <v>74</v>
      </c>
      <c r="P45" t="s">
        <v>74</v>
      </c>
      <c r="Q45" t="s">
        <v>74</v>
      </c>
      <c r="R45" t="s">
        <v>74</v>
      </c>
      <c r="S45" t="s">
        <v>74</v>
      </c>
      <c r="T45" t="s">
        <v>1049</v>
      </c>
      <c r="U45" t="s">
        <v>1050</v>
      </c>
      <c r="V45" t="s">
        <v>1051</v>
      </c>
      <c r="W45" t="s">
        <v>1052</v>
      </c>
      <c r="X45" t="s">
        <v>1053</v>
      </c>
      <c r="Y45" t="s">
        <v>1054</v>
      </c>
      <c r="Z45" t="s">
        <v>1055</v>
      </c>
      <c r="AA45" t="s">
        <v>1056</v>
      </c>
      <c r="AB45" t="s">
        <v>1057</v>
      </c>
      <c r="AC45" t="s">
        <v>1058</v>
      </c>
      <c r="AD45" t="s">
        <v>1059</v>
      </c>
      <c r="AE45" t="s">
        <v>1060</v>
      </c>
      <c r="AF45" t="s">
        <v>74</v>
      </c>
      <c r="AG45">
        <v>52</v>
      </c>
      <c r="AH45">
        <v>33</v>
      </c>
      <c r="AI45">
        <v>35</v>
      </c>
      <c r="AJ45">
        <v>4</v>
      </c>
      <c r="AK45">
        <v>29</v>
      </c>
      <c r="AL45" t="s">
        <v>379</v>
      </c>
      <c r="AM45" t="s">
        <v>380</v>
      </c>
      <c r="AN45" t="s">
        <v>381</v>
      </c>
      <c r="AO45" t="s">
        <v>1061</v>
      </c>
      <c r="AP45" t="s">
        <v>1062</v>
      </c>
      <c r="AQ45" t="s">
        <v>74</v>
      </c>
      <c r="AR45" t="s">
        <v>1063</v>
      </c>
      <c r="AS45" t="s">
        <v>1064</v>
      </c>
      <c r="AT45" t="s">
        <v>1065</v>
      </c>
      <c r="AU45">
        <v>2020</v>
      </c>
      <c r="AV45">
        <v>268</v>
      </c>
      <c r="AW45" t="s">
        <v>74</v>
      </c>
      <c r="AX45" t="s">
        <v>74</v>
      </c>
      <c r="AY45" t="s">
        <v>74</v>
      </c>
      <c r="AZ45" t="s">
        <v>74</v>
      </c>
      <c r="BA45" t="s">
        <v>74</v>
      </c>
      <c r="BB45">
        <v>310</v>
      </c>
      <c r="BC45">
        <v>324</v>
      </c>
      <c r="BD45" t="s">
        <v>74</v>
      </c>
      <c r="BE45" t="s">
        <v>1066</v>
      </c>
      <c r="BF45" t="str">
        <f>HYPERLINK("http://dx.doi.org/10.1016/j.gca.2019.09.039","http://dx.doi.org/10.1016/j.gca.2019.09.039")</f>
        <v>http://dx.doi.org/10.1016/j.gca.2019.09.039</v>
      </c>
      <c r="BG45" t="s">
        <v>74</v>
      </c>
      <c r="BH45" t="s">
        <v>74</v>
      </c>
      <c r="BI45">
        <v>15</v>
      </c>
      <c r="BJ45" t="s">
        <v>1067</v>
      </c>
      <c r="BK45" t="s">
        <v>294</v>
      </c>
      <c r="BL45" t="s">
        <v>1067</v>
      </c>
      <c r="BM45" t="s">
        <v>1068</v>
      </c>
      <c r="BN45" t="s">
        <v>74</v>
      </c>
      <c r="BO45" t="s">
        <v>638</v>
      </c>
      <c r="BP45" t="s">
        <v>74</v>
      </c>
      <c r="BQ45" t="s">
        <v>74</v>
      </c>
      <c r="BR45" t="s">
        <v>108</v>
      </c>
      <c r="BS45" t="s">
        <v>1069</v>
      </c>
      <c r="BT45" t="str">
        <f>HYPERLINK("https%3A%2F%2Fwww.webofscience.com%2Fwos%2Fwoscc%2Ffull-record%2FWOS:000500923500017","View Full Record in Web of Science")</f>
        <v>View Full Record in Web of Science</v>
      </c>
    </row>
    <row r="46" spans="1:72" x14ac:dyDescent="0.15">
      <c r="A46" t="s">
        <v>133</v>
      </c>
      <c r="B46" t="s">
        <v>1070</v>
      </c>
      <c r="C46" t="s">
        <v>74</v>
      </c>
      <c r="D46" t="s">
        <v>74</v>
      </c>
      <c r="E46" t="s">
        <v>74</v>
      </c>
      <c r="F46" t="s">
        <v>1071</v>
      </c>
      <c r="G46" t="s">
        <v>74</v>
      </c>
      <c r="H46" t="s">
        <v>74</v>
      </c>
      <c r="I46" t="s">
        <v>1072</v>
      </c>
      <c r="J46" t="s">
        <v>1073</v>
      </c>
      <c r="K46" t="s">
        <v>74</v>
      </c>
      <c r="L46" t="s">
        <v>74</v>
      </c>
      <c r="M46" t="s">
        <v>80</v>
      </c>
      <c r="N46" t="s">
        <v>138</v>
      </c>
      <c r="O46" t="s">
        <v>74</v>
      </c>
      <c r="P46" t="s">
        <v>74</v>
      </c>
      <c r="Q46" t="s">
        <v>74</v>
      </c>
      <c r="R46" t="s">
        <v>74</v>
      </c>
      <c r="S46" t="s">
        <v>74</v>
      </c>
      <c r="T46" t="s">
        <v>1074</v>
      </c>
      <c r="U46" t="s">
        <v>1075</v>
      </c>
      <c r="V46" t="s">
        <v>1076</v>
      </c>
      <c r="W46" t="s">
        <v>1077</v>
      </c>
      <c r="X46" t="s">
        <v>1078</v>
      </c>
      <c r="Y46" t="s">
        <v>1079</v>
      </c>
      <c r="Z46" t="s">
        <v>1080</v>
      </c>
      <c r="AA46" t="s">
        <v>1081</v>
      </c>
      <c r="AB46" t="s">
        <v>1082</v>
      </c>
      <c r="AC46" t="s">
        <v>1083</v>
      </c>
      <c r="AD46" t="s">
        <v>1084</v>
      </c>
      <c r="AE46" t="s">
        <v>1085</v>
      </c>
      <c r="AF46" t="s">
        <v>74</v>
      </c>
      <c r="AG46">
        <v>117</v>
      </c>
      <c r="AH46">
        <v>43</v>
      </c>
      <c r="AI46">
        <v>46</v>
      </c>
      <c r="AJ46">
        <v>3</v>
      </c>
      <c r="AK46">
        <v>28</v>
      </c>
      <c r="AL46" t="s">
        <v>284</v>
      </c>
      <c r="AM46" t="s">
        <v>285</v>
      </c>
      <c r="AN46" t="s">
        <v>286</v>
      </c>
      <c r="AO46" t="s">
        <v>1086</v>
      </c>
      <c r="AP46" t="s">
        <v>1087</v>
      </c>
      <c r="AQ46" t="s">
        <v>74</v>
      </c>
      <c r="AR46" t="s">
        <v>1088</v>
      </c>
      <c r="AS46" t="s">
        <v>1089</v>
      </c>
      <c r="AT46" t="s">
        <v>1065</v>
      </c>
      <c r="AU46">
        <v>2020</v>
      </c>
      <c r="AV46">
        <v>698</v>
      </c>
      <c r="AW46" t="s">
        <v>74</v>
      </c>
      <c r="AX46" t="s">
        <v>74</v>
      </c>
      <c r="AY46" t="s">
        <v>74</v>
      </c>
      <c r="AZ46" t="s">
        <v>74</v>
      </c>
      <c r="BA46" t="s">
        <v>74</v>
      </c>
      <c r="BB46" t="s">
        <v>74</v>
      </c>
      <c r="BC46" t="s">
        <v>74</v>
      </c>
      <c r="BD46">
        <v>134268</v>
      </c>
      <c r="BE46" t="s">
        <v>1090</v>
      </c>
      <c r="BF46" t="str">
        <f>HYPERLINK("http://dx.doi.org/10.1016/j.scitotenv.2019.134268","http://dx.doi.org/10.1016/j.scitotenv.2019.134268")</f>
        <v>http://dx.doi.org/10.1016/j.scitotenv.2019.134268</v>
      </c>
      <c r="BG46" t="s">
        <v>74</v>
      </c>
      <c r="BH46" t="s">
        <v>74</v>
      </c>
      <c r="BI46">
        <v>14</v>
      </c>
      <c r="BJ46" t="s">
        <v>387</v>
      </c>
      <c r="BK46" t="s">
        <v>294</v>
      </c>
      <c r="BL46" t="s">
        <v>388</v>
      </c>
      <c r="BM46" t="s">
        <v>1091</v>
      </c>
      <c r="BN46">
        <v>31783446</v>
      </c>
      <c r="BO46" t="s">
        <v>1092</v>
      </c>
      <c r="BP46" t="s">
        <v>74</v>
      </c>
      <c r="BQ46" t="s">
        <v>74</v>
      </c>
      <c r="BR46" t="s">
        <v>108</v>
      </c>
      <c r="BS46" t="s">
        <v>1093</v>
      </c>
      <c r="BT46" t="str">
        <f>HYPERLINK("https%3A%2F%2Fwww.webofscience.com%2Fwos%2Fwoscc%2Ffull-record%2FWOS:000500580700086","View Full Record in Web of Science")</f>
        <v>View Full Record in Web of Science</v>
      </c>
    </row>
    <row r="47" spans="1:72" x14ac:dyDescent="0.15">
      <c r="A47" t="s">
        <v>133</v>
      </c>
      <c r="B47" t="s">
        <v>1094</v>
      </c>
      <c r="C47" t="s">
        <v>74</v>
      </c>
      <c r="D47" t="s">
        <v>74</v>
      </c>
      <c r="E47" t="s">
        <v>74</v>
      </c>
      <c r="F47" t="s">
        <v>1095</v>
      </c>
      <c r="G47" t="s">
        <v>74</v>
      </c>
      <c r="H47" t="s">
        <v>74</v>
      </c>
      <c r="I47" t="s">
        <v>1096</v>
      </c>
      <c r="J47" t="s">
        <v>1097</v>
      </c>
      <c r="K47" t="s">
        <v>74</v>
      </c>
      <c r="L47" t="s">
        <v>74</v>
      </c>
      <c r="M47" t="s">
        <v>80</v>
      </c>
      <c r="N47" t="s">
        <v>138</v>
      </c>
      <c r="O47" t="s">
        <v>74</v>
      </c>
      <c r="P47" t="s">
        <v>74</v>
      </c>
      <c r="Q47" t="s">
        <v>74</v>
      </c>
      <c r="R47" t="s">
        <v>74</v>
      </c>
      <c r="S47" t="s">
        <v>74</v>
      </c>
      <c r="T47" t="s">
        <v>1098</v>
      </c>
      <c r="U47" t="s">
        <v>1099</v>
      </c>
      <c r="V47" t="s">
        <v>1100</v>
      </c>
      <c r="W47" t="s">
        <v>1101</v>
      </c>
      <c r="X47" t="s">
        <v>1102</v>
      </c>
      <c r="Y47" t="s">
        <v>1103</v>
      </c>
      <c r="Z47" t="s">
        <v>1104</v>
      </c>
      <c r="AA47" t="s">
        <v>74</v>
      </c>
      <c r="AB47" t="s">
        <v>1105</v>
      </c>
      <c r="AC47" t="s">
        <v>74</v>
      </c>
      <c r="AD47" t="s">
        <v>74</v>
      </c>
      <c r="AE47" t="s">
        <v>74</v>
      </c>
      <c r="AF47" t="s">
        <v>74</v>
      </c>
      <c r="AG47">
        <v>128</v>
      </c>
      <c r="AH47">
        <v>85</v>
      </c>
      <c r="AI47">
        <v>103</v>
      </c>
      <c r="AJ47">
        <v>2</v>
      </c>
      <c r="AK47">
        <v>42</v>
      </c>
      <c r="AL47" t="s">
        <v>709</v>
      </c>
      <c r="AM47" t="s">
        <v>380</v>
      </c>
      <c r="AN47" t="s">
        <v>710</v>
      </c>
      <c r="AO47" t="s">
        <v>1106</v>
      </c>
      <c r="AP47" t="s">
        <v>1107</v>
      </c>
      <c r="AQ47" t="s">
        <v>74</v>
      </c>
      <c r="AR47" t="s">
        <v>1108</v>
      </c>
      <c r="AS47" t="s">
        <v>1109</v>
      </c>
      <c r="AT47" t="s">
        <v>291</v>
      </c>
      <c r="AU47">
        <v>2020</v>
      </c>
      <c r="AV47">
        <v>111</v>
      </c>
      <c r="AW47" t="s">
        <v>74</v>
      </c>
      <c r="AX47" t="s">
        <v>74</v>
      </c>
      <c r="AY47" t="s">
        <v>74</v>
      </c>
      <c r="AZ47" t="s">
        <v>74</v>
      </c>
      <c r="BA47" t="s">
        <v>74</v>
      </c>
      <c r="BB47">
        <v>179</v>
      </c>
      <c r="BC47">
        <v>201</v>
      </c>
      <c r="BD47" t="s">
        <v>74</v>
      </c>
      <c r="BE47" t="s">
        <v>1110</v>
      </c>
      <c r="BF47" t="str">
        <f>HYPERLINK("http://dx.doi.org/10.1016/j.marpetgeo.2019.07.047","http://dx.doi.org/10.1016/j.marpetgeo.2019.07.047")</f>
        <v>http://dx.doi.org/10.1016/j.marpetgeo.2019.07.047</v>
      </c>
      <c r="BG47" t="s">
        <v>74</v>
      </c>
      <c r="BH47" t="s">
        <v>74</v>
      </c>
      <c r="BI47">
        <v>23</v>
      </c>
      <c r="BJ47" t="s">
        <v>849</v>
      </c>
      <c r="BK47" t="s">
        <v>294</v>
      </c>
      <c r="BL47" t="s">
        <v>850</v>
      </c>
      <c r="BM47" t="s">
        <v>1111</v>
      </c>
      <c r="BN47" t="s">
        <v>74</v>
      </c>
      <c r="BO47" t="s">
        <v>74</v>
      </c>
      <c r="BP47" t="s">
        <v>74</v>
      </c>
      <c r="BQ47" t="s">
        <v>74</v>
      </c>
      <c r="BR47" t="s">
        <v>108</v>
      </c>
      <c r="BS47" t="s">
        <v>1112</v>
      </c>
      <c r="BT47" t="str">
        <f>HYPERLINK("https%3A%2F%2Fwww.webofscience.com%2Fwos%2Fwoscc%2Ffull-record%2FWOS:000498747300013","View Full Record in Web of Science")</f>
        <v>View Full Record in Web of Science</v>
      </c>
    </row>
    <row r="48" spans="1:72" x14ac:dyDescent="0.15">
      <c r="A48" t="s">
        <v>133</v>
      </c>
      <c r="B48" t="s">
        <v>1113</v>
      </c>
      <c r="C48" t="s">
        <v>74</v>
      </c>
      <c r="D48" t="s">
        <v>74</v>
      </c>
      <c r="E48" t="s">
        <v>74</v>
      </c>
      <c r="F48" t="s">
        <v>1114</v>
      </c>
      <c r="G48" t="s">
        <v>74</v>
      </c>
      <c r="H48" t="s">
        <v>74</v>
      </c>
      <c r="I48" t="s">
        <v>1115</v>
      </c>
      <c r="J48" t="s">
        <v>1097</v>
      </c>
      <c r="K48" t="s">
        <v>74</v>
      </c>
      <c r="L48" t="s">
        <v>74</v>
      </c>
      <c r="M48" t="s">
        <v>80</v>
      </c>
      <c r="N48" t="s">
        <v>138</v>
      </c>
      <c r="O48" t="s">
        <v>74</v>
      </c>
      <c r="P48" t="s">
        <v>74</v>
      </c>
      <c r="Q48" t="s">
        <v>74</v>
      </c>
      <c r="R48" t="s">
        <v>74</v>
      </c>
      <c r="S48" t="s">
        <v>74</v>
      </c>
      <c r="T48" t="s">
        <v>1116</v>
      </c>
      <c r="U48" t="s">
        <v>1117</v>
      </c>
      <c r="V48" t="s">
        <v>1118</v>
      </c>
      <c r="W48" t="s">
        <v>1119</v>
      </c>
      <c r="X48" t="s">
        <v>1120</v>
      </c>
      <c r="Y48" t="s">
        <v>1121</v>
      </c>
      <c r="Z48" t="s">
        <v>1122</v>
      </c>
      <c r="AA48" t="s">
        <v>1123</v>
      </c>
      <c r="AB48" t="s">
        <v>1124</v>
      </c>
      <c r="AC48" t="s">
        <v>1125</v>
      </c>
      <c r="AD48" t="s">
        <v>1126</v>
      </c>
      <c r="AE48" t="s">
        <v>1127</v>
      </c>
      <c r="AF48" t="s">
        <v>74</v>
      </c>
      <c r="AG48">
        <v>78</v>
      </c>
      <c r="AH48">
        <v>9</v>
      </c>
      <c r="AI48">
        <v>10</v>
      </c>
      <c r="AJ48">
        <v>0</v>
      </c>
      <c r="AK48">
        <v>6</v>
      </c>
      <c r="AL48" t="s">
        <v>709</v>
      </c>
      <c r="AM48" t="s">
        <v>380</v>
      </c>
      <c r="AN48" t="s">
        <v>710</v>
      </c>
      <c r="AO48" t="s">
        <v>1106</v>
      </c>
      <c r="AP48" t="s">
        <v>1107</v>
      </c>
      <c r="AQ48" t="s">
        <v>74</v>
      </c>
      <c r="AR48" t="s">
        <v>1108</v>
      </c>
      <c r="AS48" t="s">
        <v>1109</v>
      </c>
      <c r="AT48" t="s">
        <v>291</v>
      </c>
      <c r="AU48">
        <v>2020</v>
      </c>
      <c r="AV48">
        <v>111</v>
      </c>
      <c r="AW48" t="s">
        <v>74</v>
      </c>
      <c r="AX48" t="s">
        <v>74</v>
      </c>
      <c r="AY48" t="s">
        <v>74</v>
      </c>
      <c r="AZ48" t="s">
        <v>74</v>
      </c>
      <c r="BA48" t="s">
        <v>74</v>
      </c>
      <c r="BB48">
        <v>624</v>
      </c>
      <c r="BC48">
        <v>637</v>
      </c>
      <c r="BD48" t="s">
        <v>74</v>
      </c>
      <c r="BE48" t="s">
        <v>1128</v>
      </c>
      <c r="BF48" t="str">
        <f>HYPERLINK("http://dx.doi.org/10.1016/j.marpetgeo.2019.08.031","http://dx.doi.org/10.1016/j.marpetgeo.2019.08.031")</f>
        <v>http://dx.doi.org/10.1016/j.marpetgeo.2019.08.031</v>
      </c>
      <c r="BG48" t="s">
        <v>74</v>
      </c>
      <c r="BH48" t="s">
        <v>74</v>
      </c>
      <c r="BI48">
        <v>14</v>
      </c>
      <c r="BJ48" t="s">
        <v>849</v>
      </c>
      <c r="BK48" t="s">
        <v>294</v>
      </c>
      <c r="BL48" t="s">
        <v>850</v>
      </c>
      <c r="BM48" t="s">
        <v>1111</v>
      </c>
      <c r="BN48" t="s">
        <v>74</v>
      </c>
      <c r="BO48" t="s">
        <v>74</v>
      </c>
      <c r="BP48" t="s">
        <v>74</v>
      </c>
      <c r="BQ48" t="s">
        <v>74</v>
      </c>
      <c r="BR48" t="s">
        <v>108</v>
      </c>
      <c r="BS48" t="s">
        <v>1129</v>
      </c>
      <c r="BT48" t="str">
        <f>HYPERLINK("https%3A%2F%2Fwww.webofscience.com%2Fwos%2Fwoscc%2Ffull-record%2FWOS:000498747300039","View Full Record in Web of Science")</f>
        <v>View Full Record in Web of Science</v>
      </c>
    </row>
    <row r="49" spans="1:72" x14ac:dyDescent="0.15">
      <c r="A49" t="s">
        <v>133</v>
      </c>
      <c r="B49" t="s">
        <v>1130</v>
      </c>
      <c r="C49" t="s">
        <v>74</v>
      </c>
      <c r="D49" t="s">
        <v>74</v>
      </c>
      <c r="E49" t="s">
        <v>74</v>
      </c>
      <c r="F49" t="s">
        <v>1131</v>
      </c>
      <c r="G49" t="s">
        <v>74</v>
      </c>
      <c r="H49" t="s">
        <v>74</v>
      </c>
      <c r="I49" t="s">
        <v>1132</v>
      </c>
      <c r="J49" t="s">
        <v>1133</v>
      </c>
      <c r="K49" t="s">
        <v>74</v>
      </c>
      <c r="L49" t="s">
        <v>74</v>
      </c>
      <c r="M49" t="s">
        <v>80</v>
      </c>
      <c r="N49" t="s">
        <v>138</v>
      </c>
      <c r="O49" t="s">
        <v>74</v>
      </c>
      <c r="P49" t="s">
        <v>74</v>
      </c>
      <c r="Q49" t="s">
        <v>74</v>
      </c>
      <c r="R49" t="s">
        <v>74</v>
      </c>
      <c r="S49" t="s">
        <v>74</v>
      </c>
      <c r="T49" t="s">
        <v>1134</v>
      </c>
      <c r="U49" t="s">
        <v>1135</v>
      </c>
      <c r="V49" t="s">
        <v>1136</v>
      </c>
      <c r="W49" t="s">
        <v>1137</v>
      </c>
      <c r="X49" t="s">
        <v>1138</v>
      </c>
      <c r="Y49" t="s">
        <v>1139</v>
      </c>
      <c r="Z49" t="s">
        <v>1140</v>
      </c>
      <c r="AA49" t="s">
        <v>1141</v>
      </c>
      <c r="AB49" t="s">
        <v>1142</v>
      </c>
      <c r="AC49" t="s">
        <v>1143</v>
      </c>
      <c r="AD49" t="s">
        <v>1144</v>
      </c>
      <c r="AE49" t="s">
        <v>1145</v>
      </c>
      <c r="AF49" t="s">
        <v>74</v>
      </c>
      <c r="AG49">
        <v>75</v>
      </c>
      <c r="AH49">
        <v>29</v>
      </c>
      <c r="AI49">
        <v>31</v>
      </c>
      <c r="AJ49">
        <v>2</v>
      </c>
      <c r="AK49">
        <v>26</v>
      </c>
      <c r="AL49" t="s">
        <v>379</v>
      </c>
      <c r="AM49" t="s">
        <v>380</v>
      </c>
      <c r="AN49" t="s">
        <v>381</v>
      </c>
      <c r="AO49" t="s">
        <v>1146</v>
      </c>
      <c r="AP49" t="s">
        <v>1147</v>
      </c>
      <c r="AQ49" t="s">
        <v>74</v>
      </c>
      <c r="AR49" t="s">
        <v>1133</v>
      </c>
      <c r="AS49" t="s">
        <v>1148</v>
      </c>
      <c r="AT49" t="s">
        <v>291</v>
      </c>
      <c r="AU49">
        <v>2020</v>
      </c>
      <c r="AV49">
        <v>239</v>
      </c>
      <c r="AW49" t="s">
        <v>74</v>
      </c>
      <c r="AX49" t="s">
        <v>74</v>
      </c>
      <c r="AY49" t="s">
        <v>74</v>
      </c>
      <c r="AZ49" t="s">
        <v>74</v>
      </c>
      <c r="BA49" t="s">
        <v>74</v>
      </c>
      <c r="BB49" t="s">
        <v>74</v>
      </c>
      <c r="BC49" t="s">
        <v>74</v>
      </c>
      <c r="BD49">
        <v>124785</v>
      </c>
      <c r="BE49" t="s">
        <v>1149</v>
      </c>
      <c r="BF49" t="str">
        <f>HYPERLINK("http://dx.doi.org/10.1016/j.chemosphere.2019.124785","http://dx.doi.org/10.1016/j.chemosphere.2019.124785")</f>
        <v>http://dx.doi.org/10.1016/j.chemosphere.2019.124785</v>
      </c>
      <c r="BG49" t="s">
        <v>74</v>
      </c>
      <c r="BH49" t="s">
        <v>74</v>
      </c>
      <c r="BI49">
        <v>9</v>
      </c>
      <c r="BJ49" t="s">
        <v>387</v>
      </c>
      <c r="BK49" t="s">
        <v>294</v>
      </c>
      <c r="BL49" t="s">
        <v>388</v>
      </c>
      <c r="BM49" t="s">
        <v>1150</v>
      </c>
      <c r="BN49">
        <v>31726533</v>
      </c>
      <c r="BO49" t="s">
        <v>1151</v>
      </c>
      <c r="BP49" t="s">
        <v>74</v>
      </c>
      <c r="BQ49" t="s">
        <v>74</v>
      </c>
      <c r="BR49" t="s">
        <v>108</v>
      </c>
      <c r="BS49" t="s">
        <v>1152</v>
      </c>
      <c r="BT49" t="str">
        <f>HYPERLINK("https%3A%2F%2Fwww.webofscience.com%2Fwos%2Fwoscc%2Ffull-record%2FWOS:000498305500043","View Full Record in Web of Science")</f>
        <v>View Full Record in Web of Science</v>
      </c>
    </row>
    <row r="50" spans="1:72" x14ac:dyDescent="0.15">
      <c r="A50" t="s">
        <v>133</v>
      </c>
      <c r="B50" t="s">
        <v>1153</v>
      </c>
      <c r="C50" t="s">
        <v>74</v>
      </c>
      <c r="D50" t="s">
        <v>74</v>
      </c>
      <c r="E50" t="s">
        <v>74</v>
      </c>
      <c r="F50" t="s">
        <v>1154</v>
      </c>
      <c r="G50" t="s">
        <v>74</v>
      </c>
      <c r="H50" t="s">
        <v>74</v>
      </c>
      <c r="I50" t="s">
        <v>1155</v>
      </c>
      <c r="J50" t="s">
        <v>394</v>
      </c>
      <c r="K50" t="s">
        <v>74</v>
      </c>
      <c r="L50" t="s">
        <v>74</v>
      </c>
      <c r="M50" t="s">
        <v>80</v>
      </c>
      <c r="N50" t="s">
        <v>138</v>
      </c>
      <c r="O50" t="s">
        <v>74</v>
      </c>
      <c r="P50" t="s">
        <v>74</v>
      </c>
      <c r="Q50" t="s">
        <v>74</v>
      </c>
      <c r="R50" t="s">
        <v>74</v>
      </c>
      <c r="S50" t="s">
        <v>74</v>
      </c>
      <c r="T50" t="s">
        <v>1156</v>
      </c>
      <c r="U50" t="s">
        <v>1157</v>
      </c>
      <c r="V50" t="s">
        <v>1158</v>
      </c>
      <c r="W50" t="s">
        <v>1159</v>
      </c>
      <c r="X50" t="s">
        <v>1160</v>
      </c>
      <c r="Y50" t="s">
        <v>1161</v>
      </c>
      <c r="Z50" t="s">
        <v>1162</v>
      </c>
      <c r="AA50" t="s">
        <v>74</v>
      </c>
      <c r="AB50" t="s">
        <v>1163</v>
      </c>
      <c r="AC50" t="s">
        <v>1164</v>
      </c>
      <c r="AD50" t="s">
        <v>1165</v>
      </c>
      <c r="AE50" t="s">
        <v>1166</v>
      </c>
      <c r="AF50" t="s">
        <v>74</v>
      </c>
      <c r="AG50">
        <v>48</v>
      </c>
      <c r="AH50">
        <v>6</v>
      </c>
      <c r="AI50">
        <v>8</v>
      </c>
      <c r="AJ50">
        <v>1</v>
      </c>
      <c r="AK50">
        <v>19</v>
      </c>
      <c r="AL50" t="s">
        <v>284</v>
      </c>
      <c r="AM50" t="s">
        <v>285</v>
      </c>
      <c r="AN50" t="s">
        <v>286</v>
      </c>
      <c r="AO50" t="s">
        <v>408</v>
      </c>
      <c r="AP50" t="s">
        <v>409</v>
      </c>
      <c r="AQ50" t="s">
        <v>74</v>
      </c>
      <c r="AR50" t="s">
        <v>410</v>
      </c>
      <c r="AS50" t="s">
        <v>411</v>
      </c>
      <c r="AT50" t="s">
        <v>291</v>
      </c>
      <c r="AU50">
        <v>2020</v>
      </c>
      <c r="AV50">
        <v>221</v>
      </c>
      <c r="AW50" t="s">
        <v>74</v>
      </c>
      <c r="AX50" t="s">
        <v>74</v>
      </c>
      <c r="AY50" t="s">
        <v>74</v>
      </c>
      <c r="AZ50" t="s">
        <v>74</v>
      </c>
      <c r="BA50" t="s">
        <v>74</v>
      </c>
      <c r="BB50" t="s">
        <v>74</v>
      </c>
      <c r="BC50" t="s">
        <v>74</v>
      </c>
      <c r="BD50">
        <v>105381</v>
      </c>
      <c r="BE50" t="s">
        <v>1167</v>
      </c>
      <c r="BF50" t="str">
        <f>HYPERLINK("http://dx.doi.org/10.1016/j.fishres.2019.105381","http://dx.doi.org/10.1016/j.fishres.2019.105381")</f>
        <v>http://dx.doi.org/10.1016/j.fishres.2019.105381</v>
      </c>
      <c r="BG50" t="s">
        <v>74</v>
      </c>
      <c r="BH50" t="s">
        <v>74</v>
      </c>
      <c r="BI50">
        <v>10</v>
      </c>
      <c r="BJ50" t="s">
        <v>413</v>
      </c>
      <c r="BK50" t="s">
        <v>294</v>
      </c>
      <c r="BL50" t="s">
        <v>413</v>
      </c>
      <c r="BM50" t="s">
        <v>414</v>
      </c>
      <c r="BN50" t="s">
        <v>74</v>
      </c>
      <c r="BO50" t="s">
        <v>74</v>
      </c>
      <c r="BP50" t="s">
        <v>74</v>
      </c>
      <c r="BQ50" t="s">
        <v>74</v>
      </c>
      <c r="BR50" t="s">
        <v>108</v>
      </c>
      <c r="BS50" t="s">
        <v>1168</v>
      </c>
      <c r="BT50" t="str">
        <f>HYPERLINK("https%3A%2F%2Fwww.webofscience.com%2Fwos%2Fwoscc%2Ffull-record%2FWOS:000496874700019","View Full Record in Web of Science")</f>
        <v>View Full Record in Web of Science</v>
      </c>
    </row>
    <row r="51" spans="1:72" x14ac:dyDescent="0.15">
      <c r="A51" t="s">
        <v>72</v>
      </c>
      <c r="B51" t="s">
        <v>1169</v>
      </c>
      <c r="C51" t="s">
        <v>74</v>
      </c>
      <c r="D51" t="s">
        <v>1170</v>
      </c>
      <c r="E51" t="s">
        <v>74</v>
      </c>
      <c r="F51" t="s">
        <v>1171</v>
      </c>
      <c r="G51" t="s">
        <v>74</v>
      </c>
      <c r="H51" t="s">
        <v>74</v>
      </c>
      <c r="I51" t="s">
        <v>1172</v>
      </c>
      <c r="J51" t="s">
        <v>1173</v>
      </c>
      <c r="K51" t="s">
        <v>1174</v>
      </c>
      <c r="L51" t="s">
        <v>74</v>
      </c>
      <c r="M51" t="s">
        <v>80</v>
      </c>
      <c r="N51" t="s">
        <v>81</v>
      </c>
      <c r="O51" t="s">
        <v>1175</v>
      </c>
      <c r="P51" t="s">
        <v>1176</v>
      </c>
      <c r="Q51" t="s">
        <v>1177</v>
      </c>
      <c r="R51" t="s">
        <v>74</v>
      </c>
      <c r="S51" t="s">
        <v>74</v>
      </c>
      <c r="T51" t="s">
        <v>1178</v>
      </c>
      <c r="U51" t="s">
        <v>1179</v>
      </c>
      <c r="V51" t="s">
        <v>1180</v>
      </c>
      <c r="W51" t="s">
        <v>1181</v>
      </c>
      <c r="X51" t="s">
        <v>1182</v>
      </c>
      <c r="Y51" t="s">
        <v>1183</v>
      </c>
      <c r="Z51" t="s">
        <v>1184</v>
      </c>
      <c r="AA51" t="s">
        <v>1185</v>
      </c>
      <c r="AB51" t="s">
        <v>1186</v>
      </c>
      <c r="AC51" t="s">
        <v>74</v>
      </c>
      <c r="AD51" t="s">
        <v>74</v>
      </c>
      <c r="AE51" t="s">
        <v>74</v>
      </c>
      <c r="AF51" t="s">
        <v>74</v>
      </c>
      <c r="AG51">
        <v>22</v>
      </c>
      <c r="AH51">
        <v>0</v>
      </c>
      <c r="AI51">
        <v>0</v>
      </c>
      <c r="AJ51">
        <v>0</v>
      </c>
      <c r="AK51">
        <v>11</v>
      </c>
      <c r="AL51" t="s">
        <v>870</v>
      </c>
      <c r="AM51" t="s">
        <v>871</v>
      </c>
      <c r="AN51" t="s">
        <v>872</v>
      </c>
      <c r="AO51" t="s">
        <v>1187</v>
      </c>
      <c r="AP51" t="s">
        <v>1188</v>
      </c>
      <c r="AQ51" t="s">
        <v>1189</v>
      </c>
      <c r="AR51" t="s">
        <v>1190</v>
      </c>
      <c r="AS51" t="s">
        <v>74</v>
      </c>
      <c r="AT51" t="s">
        <v>74</v>
      </c>
      <c r="AU51">
        <v>2020</v>
      </c>
      <c r="AV51">
        <v>928</v>
      </c>
      <c r="AW51" t="s">
        <v>74</v>
      </c>
      <c r="AX51" t="s">
        <v>74</v>
      </c>
      <c r="AY51" t="s">
        <v>74</v>
      </c>
      <c r="AZ51" t="s">
        <v>74</v>
      </c>
      <c r="BA51" t="s">
        <v>74</v>
      </c>
      <c r="BB51">
        <v>105</v>
      </c>
      <c r="BC51">
        <v>113</v>
      </c>
      <c r="BD51" t="s">
        <v>74</v>
      </c>
      <c r="BE51" t="s">
        <v>1191</v>
      </c>
      <c r="BF51" t="str">
        <f>HYPERLINK("http://dx.doi.org/10.1007/978-3-030-15235-2_17","http://dx.doi.org/10.1007/978-3-030-15235-2_17")</f>
        <v>http://dx.doi.org/10.1007/978-3-030-15235-2_17</v>
      </c>
      <c r="BG51" t="s">
        <v>74</v>
      </c>
      <c r="BH51" t="s">
        <v>74</v>
      </c>
      <c r="BI51">
        <v>9</v>
      </c>
      <c r="BJ51" t="s">
        <v>1192</v>
      </c>
      <c r="BK51" t="s">
        <v>104</v>
      </c>
      <c r="BL51" t="s">
        <v>1193</v>
      </c>
      <c r="BM51" t="s">
        <v>1194</v>
      </c>
      <c r="BN51" t="s">
        <v>74</v>
      </c>
      <c r="BO51" t="s">
        <v>74</v>
      </c>
      <c r="BP51" t="s">
        <v>74</v>
      </c>
      <c r="BQ51" t="s">
        <v>74</v>
      </c>
      <c r="BR51" t="s">
        <v>108</v>
      </c>
      <c r="BS51" t="s">
        <v>1195</v>
      </c>
      <c r="BT51" t="str">
        <f>HYPERLINK("https%3A%2F%2Fwww.webofscience.com%2Fwos%2Fwoscc%2Ffull-record%2FWOS:000490430400017","View Full Record in Web of Science")</f>
        <v>View Full Record in Web of Science</v>
      </c>
    </row>
    <row r="52" spans="1:72" x14ac:dyDescent="0.15">
      <c r="A52" t="s">
        <v>133</v>
      </c>
      <c r="B52" t="s">
        <v>1196</v>
      </c>
      <c r="C52" t="s">
        <v>74</v>
      </c>
      <c r="D52" t="s">
        <v>74</v>
      </c>
      <c r="E52" t="s">
        <v>74</v>
      </c>
      <c r="F52" t="s">
        <v>1197</v>
      </c>
      <c r="G52" t="s">
        <v>74</v>
      </c>
      <c r="H52" t="s">
        <v>74</v>
      </c>
      <c r="I52" t="s">
        <v>1198</v>
      </c>
      <c r="J52" t="s">
        <v>1199</v>
      </c>
      <c r="K52" t="s">
        <v>74</v>
      </c>
      <c r="L52" t="s">
        <v>74</v>
      </c>
      <c r="M52" t="s">
        <v>80</v>
      </c>
      <c r="N52" t="s">
        <v>138</v>
      </c>
      <c r="O52" t="s">
        <v>74</v>
      </c>
      <c r="P52" t="s">
        <v>74</v>
      </c>
      <c r="Q52" t="s">
        <v>74</v>
      </c>
      <c r="R52" t="s">
        <v>74</v>
      </c>
      <c r="S52" t="s">
        <v>74</v>
      </c>
      <c r="T52" t="s">
        <v>1200</v>
      </c>
      <c r="U52" t="s">
        <v>1201</v>
      </c>
      <c r="V52" t="s">
        <v>1202</v>
      </c>
      <c r="W52" t="s">
        <v>1203</v>
      </c>
      <c r="X52" t="s">
        <v>1204</v>
      </c>
      <c r="Y52" t="s">
        <v>1205</v>
      </c>
      <c r="Z52" t="s">
        <v>1206</v>
      </c>
      <c r="AA52" t="s">
        <v>1207</v>
      </c>
      <c r="AB52" t="s">
        <v>1208</v>
      </c>
      <c r="AC52" t="s">
        <v>1209</v>
      </c>
      <c r="AD52" t="s">
        <v>1209</v>
      </c>
      <c r="AE52" t="s">
        <v>1210</v>
      </c>
      <c r="AF52" t="s">
        <v>74</v>
      </c>
      <c r="AG52">
        <v>53</v>
      </c>
      <c r="AH52">
        <v>6</v>
      </c>
      <c r="AI52">
        <v>6</v>
      </c>
      <c r="AJ52">
        <v>0</v>
      </c>
      <c r="AK52">
        <v>1</v>
      </c>
      <c r="AL52" t="s">
        <v>1211</v>
      </c>
      <c r="AM52" t="s">
        <v>1212</v>
      </c>
      <c r="AN52" t="s">
        <v>1213</v>
      </c>
      <c r="AO52" t="s">
        <v>1214</v>
      </c>
      <c r="AP52" t="s">
        <v>1215</v>
      </c>
      <c r="AQ52" t="s">
        <v>74</v>
      </c>
      <c r="AR52" t="s">
        <v>1199</v>
      </c>
      <c r="AS52" t="s">
        <v>1216</v>
      </c>
      <c r="AT52" t="s">
        <v>1217</v>
      </c>
      <c r="AU52">
        <v>2019</v>
      </c>
      <c r="AV52">
        <v>4717</v>
      </c>
      <c r="AW52">
        <v>1</v>
      </c>
      <c r="AX52" t="s">
        <v>74</v>
      </c>
      <c r="AY52" t="s">
        <v>74</v>
      </c>
      <c r="AZ52" t="s">
        <v>74</v>
      </c>
      <c r="BA52" t="s">
        <v>74</v>
      </c>
      <c r="BB52">
        <v>85</v>
      </c>
      <c r="BC52">
        <v>103</v>
      </c>
      <c r="BD52" t="s">
        <v>74</v>
      </c>
      <c r="BE52" t="s">
        <v>1218</v>
      </c>
      <c r="BF52" t="str">
        <f>HYPERLINK("http://dx.doi.org/10.11646/zootaxa.4717.1.8","http://dx.doi.org/10.11646/zootaxa.4717.1.8")</f>
        <v>http://dx.doi.org/10.11646/zootaxa.4717.1.8</v>
      </c>
      <c r="BG52" t="s">
        <v>74</v>
      </c>
      <c r="BH52" t="s">
        <v>74</v>
      </c>
      <c r="BI52">
        <v>19</v>
      </c>
      <c r="BJ52" t="s">
        <v>1219</v>
      </c>
      <c r="BK52" t="s">
        <v>294</v>
      </c>
      <c r="BL52" t="s">
        <v>1219</v>
      </c>
      <c r="BM52" t="s">
        <v>1220</v>
      </c>
      <c r="BN52">
        <v>32230655</v>
      </c>
      <c r="BO52" t="s">
        <v>666</v>
      </c>
      <c r="BP52" t="s">
        <v>74</v>
      </c>
      <c r="BQ52" t="s">
        <v>74</v>
      </c>
      <c r="BR52" t="s">
        <v>108</v>
      </c>
      <c r="BS52" t="s">
        <v>1221</v>
      </c>
      <c r="BT52" t="str">
        <f>HYPERLINK("https%3A%2F%2Fwww.webofscience.com%2Fwos%2Fwoscc%2Ffull-record%2FWOS:000506031700006","View Full Record in Web of Science")</f>
        <v>View Full Record in Web of Science</v>
      </c>
    </row>
    <row r="53" spans="1:72" x14ac:dyDescent="0.15">
      <c r="A53" t="s">
        <v>133</v>
      </c>
      <c r="B53" t="s">
        <v>1222</v>
      </c>
      <c r="C53" t="s">
        <v>74</v>
      </c>
      <c r="D53" t="s">
        <v>74</v>
      </c>
      <c r="E53" t="s">
        <v>74</v>
      </c>
      <c r="F53" t="s">
        <v>1223</v>
      </c>
      <c r="G53" t="s">
        <v>74</v>
      </c>
      <c r="H53" t="s">
        <v>74</v>
      </c>
      <c r="I53" t="s">
        <v>1224</v>
      </c>
      <c r="J53" t="s">
        <v>1225</v>
      </c>
      <c r="K53" t="s">
        <v>74</v>
      </c>
      <c r="L53" t="s">
        <v>74</v>
      </c>
      <c r="M53" t="s">
        <v>80</v>
      </c>
      <c r="N53" t="s">
        <v>138</v>
      </c>
      <c r="O53" t="s">
        <v>74</v>
      </c>
      <c r="P53" t="s">
        <v>74</v>
      </c>
      <c r="Q53" t="s">
        <v>74</v>
      </c>
      <c r="R53" t="s">
        <v>74</v>
      </c>
      <c r="S53" t="s">
        <v>74</v>
      </c>
      <c r="T53" t="s">
        <v>74</v>
      </c>
      <c r="U53" t="s">
        <v>1226</v>
      </c>
      <c r="V53" t="s">
        <v>1227</v>
      </c>
      <c r="W53" t="s">
        <v>1228</v>
      </c>
      <c r="X53" t="s">
        <v>1229</v>
      </c>
      <c r="Y53" t="s">
        <v>1230</v>
      </c>
      <c r="Z53" t="s">
        <v>1231</v>
      </c>
      <c r="AA53" t="s">
        <v>1232</v>
      </c>
      <c r="AB53" t="s">
        <v>1233</v>
      </c>
      <c r="AC53" t="s">
        <v>1234</v>
      </c>
      <c r="AD53" t="s">
        <v>1235</v>
      </c>
      <c r="AE53" t="s">
        <v>1236</v>
      </c>
      <c r="AF53" t="s">
        <v>74</v>
      </c>
      <c r="AG53">
        <v>64</v>
      </c>
      <c r="AH53">
        <v>2</v>
      </c>
      <c r="AI53">
        <v>2</v>
      </c>
      <c r="AJ53">
        <v>3</v>
      </c>
      <c r="AK53">
        <v>9</v>
      </c>
      <c r="AL53" t="s">
        <v>1237</v>
      </c>
      <c r="AM53" t="s">
        <v>1238</v>
      </c>
      <c r="AN53" t="s">
        <v>1239</v>
      </c>
      <c r="AO53" t="s">
        <v>1240</v>
      </c>
      <c r="AP53" t="s">
        <v>74</v>
      </c>
      <c r="AQ53" t="s">
        <v>74</v>
      </c>
      <c r="AR53" t="s">
        <v>1225</v>
      </c>
      <c r="AS53" t="s">
        <v>1241</v>
      </c>
      <c r="AT53" t="s">
        <v>1242</v>
      </c>
      <c r="AU53">
        <v>2019</v>
      </c>
      <c r="AV53">
        <v>14</v>
      </c>
      <c r="AW53">
        <v>12</v>
      </c>
      <c r="AX53" t="s">
        <v>74</v>
      </c>
      <c r="AY53" t="s">
        <v>74</v>
      </c>
      <c r="AZ53" t="s">
        <v>74</v>
      </c>
      <c r="BA53" t="s">
        <v>74</v>
      </c>
      <c r="BB53" t="s">
        <v>74</v>
      </c>
      <c r="BC53" t="s">
        <v>74</v>
      </c>
      <c r="BD53" t="s">
        <v>1243</v>
      </c>
      <c r="BE53" t="s">
        <v>1244</v>
      </c>
      <c r="BF53" t="str">
        <f>HYPERLINK("http://dx.doi.org/10.1371/journal.pone.0226691","http://dx.doi.org/10.1371/journal.pone.0226691")</f>
        <v>http://dx.doi.org/10.1371/journal.pone.0226691</v>
      </c>
      <c r="BG53" t="s">
        <v>74</v>
      </c>
      <c r="BH53" t="s">
        <v>74</v>
      </c>
      <c r="BI53">
        <v>15</v>
      </c>
      <c r="BJ53" t="s">
        <v>1245</v>
      </c>
      <c r="BK53" t="s">
        <v>294</v>
      </c>
      <c r="BL53" t="s">
        <v>1246</v>
      </c>
      <c r="BM53" t="s">
        <v>1247</v>
      </c>
      <c r="BN53">
        <v>31887164</v>
      </c>
      <c r="BO53" t="s">
        <v>693</v>
      </c>
      <c r="BP53" t="s">
        <v>74</v>
      </c>
      <c r="BQ53" t="s">
        <v>74</v>
      </c>
      <c r="BR53" t="s">
        <v>108</v>
      </c>
      <c r="BS53" t="s">
        <v>1248</v>
      </c>
      <c r="BT53" t="str">
        <f>HYPERLINK("https%3A%2F%2Fwww.webofscience.com%2Fwos%2Fwoscc%2Ffull-record%2FWOS:000515092200028","View Full Record in Web of Science")</f>
        <v>View Full Record in Web of Science</v>
      </c>
    </row>
    <row r="54" spans="1:72" x14ac:dyDescent="0.15">
      <c r="A54" t="s">
        <v>133</v>
      </c>
      <c r="B54" t="s">
        <v>1249</v>
      </c>
      <c r="C54" t="s">
        <v>74</v>
      </c>
      <c r="D54" t="s">
        <v>74</v>
      </c>
      <c r="E54" t="s">
        <v>74</v>
      </c>
      <c r="F54" t="s">
        <v>1250</v>
      </c>
      <c r="G54" t="s">
        <v>74</v>
      </c>
      <c r="H54" t="s">
        <v>74</v>
      </c>
      <c r="I54" t="s">
        <v>1251</v>
      </c>
      <c r="J54" t="s">
        <v>1252</v>
      </c>
      <c r="K54" t="s">
        <v>74</v>
      </c>
      <c r="L54" t="s">
        <v>74</v>
      </c>
      <c r="M54" t="s">
        <v>80</v>
      </c>
      <c r="N54" t="s">
        <v>138</v>
      </c>
      <c r="O54" t="s">
        <v>74</v>
      </c>
      <c r="P54" t="s">
        <v>74</v>
      </c>
      <c r="Q54" t="s">
        <v>74</v>
      </c>
      <c r="R54" t="s">
        <v>74</v>
      </c>
      <c r="S54" t="s">
        <v>74</v>
      </c>
      <c r="T54" t="s">
        <v>74</v>
      </c>
      <c r="U54" t="s">
        <v>1253</v>
      </c>
      <c r="V54" t="s">
        <v>1254</v>
      </c>
      <c r="W54" t="s">
        <v>1255</v>
      </c>
      <c r="X54" t="s">
        <v>1256</v>
      </c>
      <c r="Y54" t="s">
        <v>1257</v>
      </c>
      <c r="Z54" t="s">
        <v>1258</v>
      </c>
      <c r="AA54" t="s">
        <v>1259</v>
      </c>
      <c r="AB54" t="s">
        <v>1260</v>
      </c>
      <c r="AC54" t="s">
        <v>1261</v>
      </c>
      <c r="AD54" t="s">
        <v>1262</v>
      </c>
      <c r="AE54" t="s">
        <v>1263</v>
      </c>
      <c r="AF54" t="s">
        <v>74</v>
      </c>
      <c r="AG54">
        <v>50</v>
      </c>
      <c r="AH54">
        <v>16</v>
      </c>
      <c r="AI54">
        <v>19</v>
      </c>
      <c r="AJ54">
        <v>0</v>
      </c>
      <c r="AK54">
        <v>4</v>
      </c>
      <c r="AL54" t="s">
        <v>1264</v>
      </c>
      <c r="AM54" t="s">
        <v>1265</v>
      </c>
      <c r="AN54" t="s">
        <v>1266</v>
      </c>
      <c r="AO54" t="s">
        <v>74</v>
      </c>
      <c r="AP54" t="s">
        <v>1267</v>
      </c>
      <c r="AQ54" t="s">
        <v>74</v>
      </c>
      <c r="AR54" t="s">
        <v>1268</v>
      </c>
      <c r="AS54" t="s">
        <v>1269</v>
      </c>
      <c r="AT54" t="s">
        <v>1270</v>
      </c>
      <c r="AU54">
        <v>2019</v>
      </c>
      <c r="AV54">
        <v>6</v>
      </c>
      <c r="AW54">
        <v>12</v>
      </c>
      <c r="AX54" t="s">
        <v>74</v>
      </c>
      <c r="AY54" t="s">
        <v>74</v>
      </c>
      <c r="AZ54" t="s">
        <v>74</v>
      </c>
      <c r="BA54" t="s">
        <v>74</v>
      </c>
      <c r="BB54">
        <v>2624</v>
      </c>
      <c r="BC54">
        <v>2643</v>
      </c>
      <c r="BD54" t="s">
        <v>74</v>
      </c>
      <c r="BE54" t="s">
        <v>1271</v>
      </c>
      <c r="BF54" t="str">
        <f>HYPERLINK("http://dx.doi.org/10.1029/2019EA000663","http://dx.doi.org/10.1029/2019EA000663")</f>
        <v>http://dx.doi.org/10.1029/2019EA000663</v>
      </c>
      <c r="BG54" t="s">
        <v>74</v>
      </c>
      <c r="BH54" t="s">
        <v>1272</v>
      </c>
      <c r="BI54">
        <v>20</v>
      </c>
      <c r="BJ54" t="s">
        <v>1273</v>
      </c>
      <c r="BK54" t="s">
        <v>294</v>
      </c>
      <c r="BL54" t="s">
        <v>1274</v>
      </c>
      <c r="BM54" t="s">
        <v>1275</v>
      </c>
      <c r="BN54" t="s">
        <v>74</v>
      </c>
      <c r="BO54" t="s">
        <v>1276</v>
      </c>
      <c r="BP54" t="s">
        <v>74</v>
      </c>
      <c r="BQ54" t="s">
        <v>74</v>
      </c>
      <c r="BR54" t="s">
        <v>108</v>
      </c>
      <c r="BS54" t="s">
        <v>1277</v>
      </c>
      <c r="BT54" t="str">
        <f>HYPERLINK("https%3A%2F%2Fwww.webofscience.com%2Fwos%2Fwoscc%2Ffull-record%2FWOS:000504807500001","View Full Record in Web of Science")</f>
        <v>View Full Record in Web of Science</v>
      </c>
    </row>
    <row r="55" spans="1:72" x14ac:dyDescent="0.15">
      <c r="A55" t="s">
        <v>133</v>
      </c>
      <c r="B55" t="s">
        <v>1278</v>
      </c>
      <c r="C55" t="s">
        <v>74</v>
      </c>
      <c r="D55" t="s">
        <v>74</v>
      </c>
      <c r="E55" t="s">
        <v>74</v>
      </c>
      <c r="F55" t="s">
        <v>1279</v>
      </c>
      <c r="G55" t="s">
        <v>74</v>
      </c>
      <c r="H55" t="s">
        <v>74</v>
      </c>
      <c r="I55" t="s">
        <v>1280</v>
      </c>
      <c r="J55" t="s">
        <v>1281</v>
      </c>
      <c r="K55" t="s">
        <v>74</v>
      </c>
      <c r="L55" t="s">
        <v>74</v>
      </c>
      <c r="M55" t="s">
        <v>80</v>
      </c>
      <c r="N55" t="s">
        <v>138</v>
      </c>
      <c r="O55" t="s">
        <v>74</v>
      </c>
      <c r="P55" t="s">
        <v>74</v>
      </c>
      <c r="Q55" t="s">
        <v>74</v>
      </c>
      <c r="R55" t="s">
        <v>74</v>
      </c>
      <c r="S55" t="s">
        <v>74</v>
      </c>
      <c r="T55" t="s">
        <v>1282</v>
      </c>
      <c r="U55" t="s">
        <v>1283</v>
      </c>
      <c r="V55" t="s">
        <v>1284</v>
      </c>
      <c r="W55" t="s">
        <v>1285</v>
      </c>
      <c r="X55" t="s">
        <v>1286</v>
      </c>
      <c r="Y55" t="s">
        <v>1287</v>
      </c>
      <c r="Z55" t="s">
        <v>1288</v>
      </c>
      <c r="AA55" t="s">
        <v>1289</v>
      </c>
      <c r="AB55" t="s">
        <v>1290</v>
      </c>
      <c r="AC55" t="s">
        <v>1291</v>
      </c>
      <c r="AD55" t="s">
        <v>1292</v>
      </c>
      <c r="AE55" t="s">
        <v>1293</v>
      </c>
      <c r="AF55" t="s">
        <v>74</v>
      </c>
      <c r="AG55">
        <v>68</v>
      </c>
      <c r="AH55">
        <v>27</v>
      </c>
      <c r="AI55">
        <v>27</v>
      </c>
      <c r="AJ55">
        <v>2</v>
      </c>
      <c r="AK55">
        <v>39</v>
      </c>
      <c r="AL55" t="s">
        <v>429</v>
      </c>
      <c r="AM55" t="s">
        <v>430</v>
      </c>
      <c r="AN55" t="s">
        <v>431</v>
      </c>
      <c r="AO55" t="s">
        <v>1294</v>
      </c>
      <c r="AP55" t="s">
        <v>1295</v>
      </c>
      <c r="AQ55" t="s">
        <v>74</v>
      </c>
      <c r="AR55" t="s">
        <v>1296</v>
      </c>
      <c r="AS55" t="s">
        <v>1297</v>
      </c>
      <c r="AT55" t="s">
        <v>1298</v>
      </c>
      <c r="AU55">
        <v>2020</v>
      </c>
      <c r="AV55">
        <v>47</v>
      </c>
      <c r="AW55">
        <v>3</v>
      </c>
      <c r="AX55" t="s">
        <v>74</v>
      </c>
      <c r="AY55" t="s">
        <v>74</v>
      </c>
      <c r="AZ55" t="s">
        <v>74</v>
      </c>
      <c r="BA55" t="s">
        <v>74</v>
      </c>
      <c r="BB55">
        <v>658</v>
      </c>
      <c r="BC55">
        <v>673</v>
      </c>
      <c r="BD55" t="s">
        <v>74</v>
      </c>
      <c r="BE55" t="s">
        <v>1299</v>
      </c>
      <c r="BF55" t="str">
        <f>HYPERLINK("http://dx.doi.org/10.1111/jbi.13780","http://dx.doi.org/10.1111/jbi.13780")</f>
        <v>http://dx.doi.org/10.1111/jbi.13780</v>
      </c>
      <c r="BG55" t="s">
        <v>74</v>
      </c>
      <c r="BH55" t="s">
        <v>1272</v>
      </c>
      <c r="BI55">
        <v>16</v>
      </c>
      <c r="BJ55" t="s">
        <v>1300</v>
      </c>
      <c r="BK55" t="s">
        <v>294</v>
      </c>
      <c r="BL55" t="s">
        <v>1301</v>
      </c>
      <c r="BM55" t="s">
        <v>1302</v>
      </c>
      <c r="BN55" t="s">
        <v>74</v>
      </c>
      <c r="BO55" t="s">
        <v>74</v>
      </c>
      <c r="BP55" t="s">
        <v>74</v>
      </c>
      <c r="BQ55" t="s">
        <v>74</v>
      </c>
      <c r="BR55" t="s">
        <v>108</v>
      </c>
      <c r="BS55" t="s">
        <v>1303</v>
      </c>
      <c r="BT55" t="str">
        <f>HYPERLINK("https%3A%2F%2Fwww.webofscience.com%2Fwos%2Fwoscc%2Ffull-record%2FWOS:000504819200001","View Full Record in Web of Science")</f>
        <v>View Full Record in Web of Science</v>
      </c>
    </row>
    <row r="56" spans="1:72" x14ac:dyDescent="0.15">
      <c r="A56" t="s">
        <v>133</v>
      </c>
      <c r="B56" t="s">
        <v>1304</v>
      </c>
      <c r="C56" t="s">
        <v>74</v>
      </c>
      <c r="D56" t="s">
        <v>74</v>
      </c>
      <c r="E56" t="s">
        <v>74</v>
      </c>
      <c r="F56" t="s">
        <v>1305</v>
      </c>
      <c r="G56" t="s">
        <v>74</v>
      </c>
      <c r="H56" t="s">
        <v>74</v>
      </c>
      <c r="I56" t="s">
        <v>1306</v>
      </c>
      <c r="J56" t="s">
        <v>1307</v>
      </c>
      <c r="K56" t="s">
        <v>74</v>
      </c>
      <c r="L56" t="s">
        <v>74</v>
      </c>
      <c r="M56" t="s">
        <v>80</v>
      </c>
      <c r="N56" t="s">
        <v>930</v>
      </c>
      <c r="O56" t="s">
        <v>74</v>
      </c>
      <c r="P56" t="s">
        <v>74</v>
      </c>
      <c r="Q56" t="s">
        <v>74</v>
      </c>
      <c r="R56" t="s">
        <v>74</v>
      </c>
      <c r="S56" t="s">
        <v>74</v>
      </c>
      <c r="T56" t="s">
        <v>1308</v>
      </c>
      <c r="U56" t="s">
        <v>1309</v>
      </c>
      <c r="V56" t="s">
        <v>1310</v>
      </c>
      <c r="W56" t="s">
        <v>1311</v>
      </c>
      <c r="X56" t="s">
        <v>1312</v>
      </c>
      <c r="Y56" t="s">
        <v>1313</v>
      </c>
      <c r="Z56" t="s">
        <v>1314</v>
      </c>
      <c r="AA56" t="s">
        <v>1315</v>
      </c>
      <c r="AB56" t="s">
        <v>1316</v>
      </c>
      <c r="AC56" t="s">
        <v>1317</v>
      </c>
      <c r="AD56" t="s">
        <v>1318</v>
      </c>
      <c r="AE56" t="s">
        <v>1319</v>
      </c>
      <c r="AF56" t="s">
        <v>74</v>
      </c>
      <c r="AG56">
        <v>118</v>
      </c>
      <c r="AH56">
        <v>68</v>
      </c>
      <c r="AI56">
        <v>72</v>
      </c>
      <c r="AJ56">
        <v>20</v>
      </c>
      <c r="AK56">
        <v>142</v>
      </c>
      <c r="AL56" t="s">
        <v>429</v>
      </c>
      <c r="AM56" t="s">
        <v>430</v>
      </c>
      <c r="AN56" t="s">
        <v>431</v>
      </c>
      <c r="AO56" t="s">
        <v>1320</v>
      </c>
      <c r="AP56" t="s">
        <v>1321</v>
      </c>
      <c r="AQ56" t="s">
        <v>74</v>
      </c>
      <c r="AR56" t="s">
        <v>1322</v>
      </c>
      <c r="AS56" t="s">
        <v>1323</v>
      </c>
      <c r="AT56" t="s">
        <v>1324</v>
      </c>
      <c r="AU56">
        <v>2020</v>
      </c>
      <c r="AV56">
        <v>45</v>
      </c>
      <c r="AW56">
        <v>3</v>
      </c>
      <c r="AX56" t="s">
        <v>74</v>
      </c>
      <c r="AY56" t="s">
        <v>74</v>
      </c>
      <c r="AZ56" t="s">
        <v>74</v>
      </c>
      <c r="BA56" t="s">
        <v>74</v>
      </c>
      <c r="BB56">
        <v>373</v>
      </c>
      <c r="BC56">
        <v>385</v>
      </c>
      <c r="BD56" t="s">
        <v>74</v>
      </c>
      <c r="BE56" t="s">
        <v>1325</v>
      </c>
      <c r="BF56" t="str">
        <f>HYPERLINK("http://dx.doi.org/10.1111/een.12831","http://dx.doi.org/10.1111/een.12831")</f>
        <v>http://dx.doi.org/10.1111/een.12831</v>
      </c>
      <c r="BG56" t="s">
        <v>74</v>
      </c>
      <c r="BH56" t="s">
        <v>1272</v>
      </c>
      <c r="BI56">
        <v>13</v>
      </c>
      <c r="BJ56" t="s">
        <v>1326</v>
      </c>
      <c r="BK56" t="s">
        <v>294</v>
      </c>
      <c r="BL56" t="s">
        <v>1326</v>
      </c>
      <c r="BM56" t="s">
        <v>1327</v>
      </c>
      <c r="BN56" t="s">
        <v>74</v>
      </c>
      <c r="BO56" t="s">
        <v>588</v>
      </c>
      <c r="BP56" t="s">
        <v>74</v>
      </c>
      <c r="BQ56" t="s">
        <v>74</v>
      </c>
      <c r="BR56" t="s">
        <v>108</v>
      </c>
      <c r="BS56" t="s">
        <v>1328</v>
      </c>
      <c r="BT56" t="str">
        <f>HYPERLINK("https%3A%2F%2Fwww.webofscience.com%2Fwos%2Fwoscc%2Ffull-record%2FWOS:000504765500001","View Full Record in Web of Science")</f>
        <v>View Full Record in Web of Science</v>
      </c>
    </row>
    <row r="57" spans="1:72" x14ac:dyDescent="0.15">
      <c r="A57" t="s">
        <v>133</v>
      </c>
      <c r="B57" t="s">
        <v>1329</v>
      </c>
      <c r="C57" t="s">
        <v>74</v>
      </c>
      <c r="D57" t="s">
        <v>74</v>
      </c>
      <c r="E57" t="s">
        <v>74</v>
      </c>
      <c r="F57" t="s">
        <v>1330</v>
      </c>
      <c r="G57" t="s">
        <v>74</v>
      </c>
      <c r="H57" t="s">
        <v>74</v>
      </c>
      <c r="I57" t="s">
        <v>1331</v>
      </c>
      <c r="J57" t="s">
        <v>1332</v>
      </c>
      <c r="K57" t="s">
        <v>74</v>
      </c>
      <c r="L57" t="s">
        <v>74</v>
      </c>
      <c r="M57" t="s">
        <v>80</v>
      </c>
      <c r="N57" t="s">
        <v>1333</v>
      </c>
      <c r="O57" t="s">
        <v>74</v>
      </c>
      <c r="P57" t="s">
        <v>74</v>
      </c>
      <c r="Q57" t="s">
        <v>74</v>
      </c>
      <c r="R57" t="s">
        <v>74</v>
      </c>
      <c r="S57" t="s">
        <v>74</v>
      </c>
      <c r="T57" t="s">
        <v>1334</v>
      </c>
      <c r="U57" t="s">
        <v>1335</v>
      </c>
      <c r="V57" t="s">
        <v>1336</v>
      </c>
      <c r="W57" t="s">
        <v>1337</v>
      </c>
      <c r="X57" t="s">
        <v>1338</v>
      </c>
      <c r="Y57" t="s">
        <v>1339</v>
      </c>
      <c r="Z57" t="s">
        <v>1340</v>
      </c>
      <c r="AA57" t="s">
        <v>1341</v>
      </c>
      <c r="AB57" t="s">
        <v>1342</v>
      </c>
      <c r="AC57" t="s">
        <v>1343</v>
      </c>
      <c r="AD57" t="s">
        <v>1344</v>
      </c>
      <c r="AE57" t="s">
        <v>1345</v>
      </c>
      <c r="AF57" t="s">
        <v>74</v>
      </c>
      <c r="AG57">
        <v>138</v>
      </c>
      <c r="AH57">
        <v>7</v>
      </c>
      <c r="AI57">
        <v>7</v>
      </c>
      <c r="AJ57">
        <v>2</v>
      </c>
      <c r="AK57">
        <v>44</v>
      </c>
      <c r="AL57" t="s">
        <v>1346</v>
      </c>
      <c r="AM57" t="s">
        <v>1347</v>
      </c>
      <c r="AN57" t="s">
        <v>1348</v>
      </c>
      <c r="AO57" t="s">
        <v>1349</v>
      </c>
      <c r="AP57" t="s">
        <v>74</v>
      </c>
      <c r="AQ57" t="s">
        <v>74</v>
      </c>
      <c r="AR57" t="s">
        <v>1350</v>
      </c>
      <c r="AS57" t="s">
        <v>1351</v>
      </c>
      <c r="AT57" t="s">
        <v>1242</v>
      </c>
      <c r="AU57">
        <v>2019</v>
      </c>
      <c r="AV57">
        <v>7</v>
      </c>
      <c r="AW57" t="s">
        <v>74</v>
      </c>
      <c r="AX57" t="s">
        <v>74</v>
      </c>
      <c r="AY57" t="s">
        <v>74</v>
      </c>
      <c r="AZ57" t="s">
        <v>74</v>
      </c>
      <c r="BA57" t="s">
        <v>74</v>
      </c>
      <c r="BB57" t="s">
        <v>74</v>
      </c>
      <c r="BC57" t="s">
        <v>74</v>
      </c>
      <c r="BD57">
        <v>58</v>
      </c>
      <c r="BE57" t="s">
        <v>1352</v>
      </c>
      <c r="BF57" t="str">
        <f>HYPERLINK("http://dx.doi.org/10.1525/elementa.396","http://dx.doi.org/10.1525/elementa.396")</f>
        <v>http://dx.doi.org/10.1525/elementa.396</v>
      </c>
      <c r="BG57" t="s">
        <v>74</v>
      </c>
      <c r="BH57" t="s">
        <v>74</v>
      </c>
      <c r="BI57">
        <v>16</v>
      </c>
      <c r="BJ57" t="s">
        <v>103</v>
      </c>
      <c r="BK57" t="s">
        <v>294</v>
      </c>
      <c r="BL57" t="s">
        <v>105</v>
      </c>
      <c r="BM57" t="s">
        <v>1353</v>
      </c>
      <c r="BN57" t="s">
        <v>74</v>
      </c>
      <c r="BO57" t="s">
        <v>1354</v>
      </c>
      <c r="BP57" t="s">
        <v>74</v>
      </c>
      <c r="BQ57" t="s">
        <v>74</v>
      </c>
      <c r="BR57" t="s">
        <v>108</v>
      </c>
      <c r="BS57" t="s">
        <v>1355</v>
      </c>
      <c r="BT57" t="str">
        <f>HYPERLINK("https%3A%2F%2Fwww.webofscience.com%2Fwos%2Fwoscc%2Ffull-record%2FWOS:000505153000001","View Full Record in Web of Science")</f>
        <v>View Full Record in Web of Science</v>
      </c>
    </row>
    <row r="58" spans="1:72" x14ac:dyDescent="0.15">
      <c r="A58" t="s">
        <v>133</v>
      </c>
      <c r="B58" t="s">
        <v>1356</v>
      </c>
      <c r="C58" t="s">
        <v>74</v>
      </c>
      <c r="D58" t="s">
        <v>74</v>
      </c>
      <c r="E58" t="s">
        <v>74</v>
      </c>
      <c r="F58" t="s">
        <v>1357</v>
      </c>
      <c r="G58" t="s">
        <v>74</v>
      </c>
      <c r="H58" t="s">
        <v>74</v>
      </c>
      <c r="I58" t="s">
        <v>1358</v>
      </c>
      <c r="J58" t="s">
        <v>1359</v>
      </c>
      <c r="K58" t="s">
        <v>74</v>
      </c>
      <c r="L58" t="s">
        <v>74</v>
      </c>
      <c r="M58" t="s">
        <v>80</v>
      </c>
      <c r="N58" t="s">
        <v>138</v>
      </c>
      <c r="O58" t="s">
        <v>74</v>
      </c>
      <c r="P58" t="s">
        <v>74</v>
      </c>
      <c r="Q58" t="s">
        <v>74</v>
      </c>
      <c r="R58" t="s">
        <v>74</v>
      </c>
      <c r="S58" t="s">
        <v>74</v>
      </c>
      <c r="T58" t="s">
        <v>1360</v>
      </c>
      <c r="U58" t="s">
        <v>1361</v>
      </c>
      <c r="V58" t="s">
        <v>1362</v>
      </c>
      <c r="W58" t="s">
        <v>1363</v>
      </c>
      <c r="X58" t="s">
        <v>1364</v>
      </c>
      <c r="Y58" t="s">
        <v>1365</v>
      </c>
      <c r="Z58" t="s">
        <v>1366</v>
      </c>
      <c r="AA58" t="s">
        <v>1367</v>
      </c>
      <c r="AB58" t="s">
        <v>1368</v>
      </c>
      <c r="AC58" t="s">
        <v>1369</v>
      </c>
      <c r="AD58" t="s">
        <v>1370</v>
      </c>
      <c r="AE58" t="s">
        <v>1371</v>
      </c>
      <c r="AF58" t="s">
        <v>74</v>
      </c>
      <c r="AG58">
        <v>56</v>
      </c>
      <c r="AH58">
        <v>2</v>
      </c>
      <c r="AI58">
        <v>3</v>
      </c>
      <c r="AJ58">
        <v>0</v>
      </c>
      <c r="AK58">
        <v>4</v>
      </c>
      <c r="AL58" t="s">
        <v>1372</v>
      </c>
      <c r="AM58" t="s">
        <v>1373</v>
      </c>
      <c r="AN58" t="s">
        <v>1374</v>
      </c>
      <c r="AO58" t="s">
        <v>1375</v>
      </c>
      <c r="AP58" t="s">
        <v>1376</v>
      </c>
      <c r="AQ58" t="s">
        <v>74</v>
      </c>
      <c r="AR58" t="s">
        <v>1377</v>
      </c>
      <c r="AS58" t="s">
        <v>1378</v>
      </c>
      <c r="AT58" t="s">
        <v>1379</v>
      </c>
      <c r="AU58">
        <v>2019</v>
      </c>
      <c r="AV58">
        <v>38</v>
      </c>
      <c r="AW58" t="s">
        <v>74</v>
      </c>
      <c r="AX58" t="s">
        <v>74</v>
      </c>
      <c r="AY58" t="s">
        <v>74</v>
      </c>
      <c r="AZ58" t="s">
        <v>74</v>
      </c>
      <c r="BA58" t="s">
        <v>74</v>
      </c>
      <c r="BB58" t="s">
        <v>74</v>
      </c>
      <c r="BC58" t="s">
        <v>74</v>
      </c>
      <c r="BD58">
        <v>3356</v>
      </c>
      <c r="BE58" t="s">
        <v>1380</v>
      </c>
      <c r="BF58" t="str">
        <f>HYPERLINK("http://dx.doi.org/10.33265/polar.v38.3356","http://dx.doi.org/10.33265/polar.v38.3356")</f>
        <v>http://dx.doi.org/10.33265/polar.v38.3356</v>
      </c>
      <c r="BG58" t="s">
        <v>74</v>
      </c>
      <c r="BH58" t="s">
        <v>74</v>
      </c>
      <c r="BI58">
        <v>10</v>
      </c>
      <c r="BJ58" t="s">
        <v>1381</v>
      </c>
      <c r="BK58" t="s">
        <v>294</v>
      </c>
      <c r="BL58" t="s">
        <v>1382</v>
      </c>
      <c r="BM58" t="s">
        <v>1383</v>
      </c>
      <c r="BN58" t="s">
        <v>74</v>
      </c>
      <c r="BO58" t="s">
        <v>107</v>
      </c>
      <c r="BP58" t="s">
        <v>74</v>
      </c>
      <c r="BQ58" t="s">
        <v>74</v>
      </c>
      <c r="BR58" t="s">
        <v>108</v>
      </c>
      <c r="BS58" t="s">
        <v>1384</v>
      </c>
      <c r="BT58" t="str">
        <f>HYPERLINK("https%3A%2F%2Fwww.webofscience.com%2Fwos%2Fwoscc%2Ffull-record%2FWOS:000505181900001","View Full Record in Web of Science")</f>
        <v>View Full Record in Web of Science</v>
      </c>
    </row>
    <row r="59" spans="1:72" x14ac:dyDescent="0.15">
      <c r="A59" t="s">
        <v>133</v>
      </c>
      <c r="B59" t="s">
        <v>1385</v>
      </c>
      <c r="C59" t="s">
        <v>74</v>
      </c>
      <c r="D59" t="s">
        <v>74</v>
      </c>
      <c r="E59" t="s">
        <v>74</v>
      </c>
      <c r="F59" t="s">
        <v>1386</v>
      </c>
      <c r="G59" t="s">
        <v>74</v>
      </c>
      <c r="H59" t="s">
        <v>74</v>
      </c>
      <c r="I59" t="s">
        <v>1387</v>
      </c>
      <c r="J59" t="s">
        <v>1388</v>
      </c>
      <c r="K59" t="s">
        <v>74</v>
      </c>
      <c r="L59" t="s">
        <v>74</v>
      </c>
      <c r="M59" t="s">
        <v>80</v>
      </c>
      <c r="N59" t="s">
        <v>138</v>
      </c>
      <c r="O59" t="s">
        <v>74</v>
      </c>
      <c r="P59" t="s">
        <v>74</v>
      </c>
      <c r="Q59" t="s">
        <v>74</v>
      </c>
      <c r="R59" t="s">
        <v>74</v>
      </c>
      <c r="S59" t="s">
        <v>74</v>
      </c>
      <c r="T59" t="s">
        <v>1389</v>
      </c>
      <c r="U59" t="s">
        <v>1390</v>
      </c>
      <c r="V59" t="s">
        <v>1391</v>
      </c>
      <c r="W59" t="s">
        <v>1392</v>
      </c>
      <c r="X59" t="s">
        <v>1393</v>
      </c>
      <c r="Y59" t="s">
        <v>1394</v>
      </c>
      <c r="Z59" t="s">
        <v>1395</v>
      </c>
      <c r="AA59" t="s">
        <v>1396</v>
      </c>
      <c r="AB59" t="s">
        <v>1397</v>
      </c>
      <c r="AC59" t="s">
        <v>1398</v>
      </c>
      <c r="AD59" t="s">
        <v>1399</v>
      </c>
      <c r="AE59" t="s">
        <v>1400</v>
      </c>
      <c r="AF59" t="s">
        <v>74</v>
      </c>
      <c r="AG59">
        <v>90</v>
      </c>
      <c r="AH59">
        <v>8</v>
      </c>
      <c r="AI59">
        <v>8</v>
      </c>
      <c r="AJ59">
        <v>0</v>
      </c>
      <c r="AK59">
        <v>11</v>
      </c>
      <c r="AL59" t="s">
        <v>429</v>
      </c>
      <c r="AM59" t="s">
        <v>430</v>
      </c>
      <c r="AN59" t="s">
        <v>431</v>
      </c>
      <c r="AO59" t="s">
        <v>1401</v>
      </c>
      <c r="AP59" t="s">
        <v>1402</v>
      </c>
      <c r="AQ59" t="s">
        <v>74</v>
      </c>
      <c r="AR59" t="s">
        <v>1403</v>
      </c>
      <c r="AS59" t="s">
        <v>1404</v>
      </c>
      <c r="AT59" t="s">
        <v>1405</v>
      </c>
      <c r="AU59">
        <v>2020</v>
      </c>
      <c r="AV59">
        <v>40</v>
      </c>
      <c r="AW59">
        <v>5</v>
      </c>
      <c r="AX59" t="s">
        <v>74</v>
      </c>
      <c r="AY59" t="s">
        <v>74</v>
      </c>
      <c r="AZ59" t="s">
        <v>74</v>
      </c>
      <c r="BA59" t="s">
        <v>74</v>
      </c>
      <c r="BB59">
        <v>2845</v>
      </c>
      <c r="BC59">
        <v>2869</v>
      </c>
      <c r="BD59" t="s">
        <v>74</v>
      </c>
      <c r="BE59" t="s">
        <v>1406</v>
      </c>
      <c r="BF59" t="str">
        <f>HYPERLINK("http://dx.doi.org/10.1002/joc.6370","http://dx.doi.org/10.1002/joc.6370")</f>
        <v>http://dx.doi.org/10.1002/joc.6370</v>
      </c>
      <c r="BG59" t="s">
        <v>74</v>
      </c>
      <c r="BH59" t="s">
        <v>1272</v>
      </c>
      <c r="BI59">
        <v>25</v>
      </c>
      <c r="BJ59" t="s">
        <v>1024</v>
      </c>
      <c r="BK59" t="s">
        <v>294</v>
      </c>
      <c r="BL59" t="s">
        <v>1024</v>
      </c>
      <c r="BM59" t="s">
        <v>1407</v>
      </c>
      <c r="BN59" t="s">
        <v>74</v>
      </c>
      <c r="BO59" t="s">
        <v>74</v>
      </c>
      <c r="BP59" t="s">
        <v>74</v>
      </c>
      <c r="BQ59" t="s">
        <v>74</v>
      </c>
      <c r="BR59" t="s">
        <v>108</v>
      </c>
      <c r="BS59" t="s">
        <v>1408</v>
      </c>
      <c r="BT59" t="str">
        <f>HYPERLINK("https%3A%2F%2Fwww.webofscience.com%2Fwos%2Fwoscc%2Ffull-record%2FWOS:000504475700001","View Full Record in Web of Science")</f>
        <v>View Full Record in Web of Science</v>
      </c>
    </row>
    <row r="60" spans="1:72" x14ac:dyDescent="0.15">
      <c r="A60" t="s">
        <v>133</v>
      </c>
      <c r="B60" t="s">
        <v>1409</v>
      </c>
      <c r="C60" t="s">
        <v>74</v>
      </c>
      <c r="D60" t="s">
        <v>74</v>
      </c>
      <c r="E60" t="s">
        <v>74</v>
      </c>
      <c r="F60" t="s">
        <v>1410</v>
      </c>
      <c r="G60" t="s">
        <v>74</v>
      </c>
      <c r="H60" t="s">
        <v>74</v>
      </c>
      <c r="I60" t="s">
        <v>1411</v>
      </c>
      <c r="J60" t="s">
        <v>1412</v>
      </c>
      <c r="K60" t="s">
        <v>74</v>
      </c>
      <c r="L60" t="s">
        <v>74</v>
      </c>
      <c r="M60" t="s">
        <v>80</v>
      </c>
      <c r="N60" t="s">
        <v>138</v>
      </c>
      <c r="O60" t="s">
        <v>74</v>
      </c>
      <c r="P60" t="s">
        <v>74</v>
      </c>
      <c r="Q60" t="s">
        <v>74</v>
      </c>
      <c r="R60" t="s">
        <v>74</v>
      </c>
      <c r="S60" t="s">
        <v>74</v>
      </c>
      <c r="T60" t="s">
        <v>1413</v>
      </c>
      <c r="U60" t="s">
        <v>1414</v>
      </c>
      <c r="V60" t="s">
        <v>1415</v>
      </c>
      <c r="W60" t="s">
        <v>1416</v>
      </c>
      <c r="X60" t="s">
        <v>1417</v>
      </c>
      <c r="Y60" t="s">
        <v>1418</v>
      </c>
      <c r="Z60" t="s">
        <v>1419</v>
      </c>
      <c r="AA60" t="s">
        <v>1420</v>
      </c>
      <c r="AB60" t="s">
        <v>1421</v>
      </c>
      <c r="AC60" t="s">
        <v>1422</v>
      </c>
      <c r="AD60" t="s">
        <v>1423</v>
      </c>
      <c r="AE60" t="s">
        <v>1424</v>
      </c>
      <c r="AF60" t="s">
        <v>74</v>
      </c>
      <c r="AG60">
        <v>58</v>
      </c>
      <c r="AH60">
        <v>25</v>
      </c>
      <c r="AI60">
        <v>28</v>
      </c>
      <c r="AJ60">
        <v>0</v>
      </c>
      <c r="AK60">
        <v>70</v>
      </c>
      <c r="AL60" t="s">
        <v>1425</v>
      </c>
      <c r="AM60" t="s">
        <v>1265</v>
      </c>
      <c r="AN60" t="s">
        <v>1426</v>
      </c>
      <c r="AO60" t="s">
        <v>1427</v>
      </c>
      <c r="AP60" t="s">
        <v>1428</v>
      </c>
      <c r="AQ60" t="s">
        <v>74</v>
      </c>
      <c r="AR60" t="s">
        <v>1429</v>
      </c>
      <c r="AS60" t="s">
        <v>1430</v>
      </c>
      <c r="AT60" t="s">
        <v>1431</v>
      </c>
      <c r="AU60">
        <v>2019</v>
      </c>
      <c r="AV60">
        <v>116</v>
      </c>
      <c r="AW60">
        <v>52</v>
      </c>
      <c r="AX60" t="s">
        <v>74</v>
      </c>
      <c r="AY60" t="s">
        <v>74</v>
      </c>
      <c r="AZ60" t="s">
        <v>74</v>
      </c>
      <c r="BA60" t="s">
        <v>74</v>
      </c>
      <c r="BB60">
        <v>26690</v>
      </c>
      <c r="BC60">
        <v>26696</v>
      </c>
      <c r="BD60" t="s">
        <v>74</v>
      </c>
      <c r="BE60" t="s">
        <v>1432</v>
      </c>
      <c r="BF60" t="str">
        <f>HYPERLINK("http://dx.doi.org/10.1073/pnas.190404116","http://dx.doi.org/10.1073/pnas.190404116")</f>
        <v>http://dx.doi.org/10.1073/pnas.190404116</v>
      </c>
      <c r="BG60" t="s">
        <v>74</v>
      </c>
      <c r="BH60" t="s">
        <v>74</v>
      </c>
      <c r="BI60">
        <v>7</v>
      </c>
      <c r="BJ60" t="s">
        <v>1245</v>
      </c>
      <c r="BK60" t="s">
        <v>294</v>
      </c>
      <c r="BL60" t="s">
        <v>1246</v>
      </c>
      <c r="BM60" t="s">
        <v>1433</v>
      </c>
      <c r="BN60">
        <v>31843914</v>
      </c>
      <c r="BO60" t="s">
        <v>74</v>
      </c>
      <c r="BP60" t="s">
        <v>74</v>
      </c>
      <c r="BQ60" t="s">
        <v>74</v>
      </c>
      <c r="BR60" t="s">
        <v>108</v>
      </c>
      <c r="BS60" t="s">
        <v>1434</v>
      </c>
      <c r="BT60" t="str">
        <f>HYPERLINK("https%3A%2F%2Fwww.webofscience.com%2Fwos%2Fwoscc%2Ffull-record%2FWOS:000504656900077","View Full Record in Web of Science")</f>
        <v>View Full Record in Web of Science</v>
      </c>
    </row>
    <row r="61" spans="1:72" x14ac:dyDescent="0.15">
      <c r="A61" t="s">
        <v>133</v>
      </c>
      <c r="B61" t="s">
        <v>1435</v>
      </c>
      <c r="C61" t="s">
        <v>74</v>
      </c>
      <c r="D61" t="s">
        <v>74</v>
      </c>
      <c r="E61" t="s">
        <v>74</v>
      </c>
      <c r="F61" t="s">
        <v>1436</v>
      </c>
      <c r="G61" t="s">
        <v>74</v>
      </c>
      <c r="H61" t="s">
        <v>74</v>
      </c>
      <c r="I61" t="s">
        <v>1437</v>
      </c>
      <c r="J61" t="s">
        <v>1438</v>
      </c>
      <c r="K61" t="s">
        <v>74</v>
      </c>
      <c r="L61" t="s">
        <v>74</v>
      </c>
      <c r="M61" t="s">
        <v>80</v>
      </c>
      <c r="N61" t="s">
        <v>138</v>
      </c>
      <c r="O61" t="s">
        <v>74</v>
      </c>
      <c r="P61" t="s">
        <v>74</v>
      </c>
      <c r="Q61" t="s">
        <v>74</v>
      </c>
      <c r="R61" t="s">
        <v>74</v>
      </c>
      <c r="S61" t="s">
        <v>74</v>
      </c>
      <c r="T61" t="s">
        <v>1439</v>
      </c>
      <c r="U61" t="s">
        <v>1440</v>
      </c>
      <c r="V61" t="s">
        <v>1441</v>
      </c>
      <c r="W61" t="s">
        <v>1442</v>
      </c>
      <c r="X61" t="s">
        <v>1443</v>
      </c>
      <c r="Y61" t="s">
        <v>1444</v>
      </c>
      <c r="Z61" t="s">
        <v>1445</v>
      </c>
      <c r="AA61" t="s">
        <v>1446</v>
      </c>
      <c r="AB61" t="s">
        <v>1447</v>
      </c>
      <c r="AC61" t="s">
        <v>1448</v>
      </c>
      <c r="AD61" t="s">
        <v>1448</v>
      </c>
      <c r="AE61" t="s">
        <v>1449</v>
      </c>
      <c r="AF61" t="s">
        <v>74</v>
      </c>
      <c r="AG61">
        <v>79</v>
      </c>
      <c r="AH61">
        <v>6</v>
      </c>
      <c r="AI61">
        <v>7</v>
      </c>
      <c r="AJ61">
        <v>1</v>
      </c>
      <c r="AK61">
        <v>26</v>
      </c>
      <c r="AL61" t="s">
        <v>1264</v>
      </c>
      <c r="AM61" t="s">
        <v>1265</v>
      </c>
      <c r="AN61" t="s">
        <v>1266</v>
      </c>
      <c r="AO61" t="s">
        <v>1450</v>
      </c>
      <c r="AP61" t="s">
        <v>1451</v>
      </c>
      <c r="AQ61" t="s">
        <v>74</v>
      </c>
      <c r="AR61" t="s">
        <v>1452</v>
      </c>
      <c r="AS61" t="s">
        <v>1453</v>
      </c>
      <c r="AT61" t="s">
        <v>1270</v>
      </c>
      <c r="AU61">
        <v>2019</v>
      </c>
      <c r="AV61">
        <v>34</v>
      </c>
      <c r="AW61">
        <v>12</v>
      </c>
      <c r="AX61" t="s">
        <v>74</v>
      </c>
      <c r="AY61" t="s">
        <v>74</v>
      </c>
      <c r="AZ61" t="s">
        <v>74</v>
      </c>
      <c r="BA61" t="s">
        <v>74</v>
      </c>
      <c r="BB61">
        <v>2158</v>
      </c>
      <c r="BC61">
        <v>2170</v>
      </c>
      <c r="BD61" t="s">
        <v>74</v>
      </c>
      <c r="BE61" t="s">
        <v>1454</v>
      </c>
      <c r="BF61" t="str">
        <f>HYPERLINK("http://dx.doi.org/10.1029/2019PA003656","http://dx.doi.org/10.1029/2019PA003656")</f>
        <v>http://dx.doi.org/10.1029/2019PA003656</v>
      </c>
      <c r="BG61" t="s">
        <v>74</v>
      </c>
      <c r="BH61" t="s">
        <v>1272</v>
      </c>
      <c r="BI61">
        <v>13</v>
      </c>
      <c r="BJ61" t="s">
        <v>1455</v>
      </c>
      <c r="BK61" t="s">
        <v>294</v>
      </c>
      <c r="BL61" t="s">
        <v>1456</v>
      </c>
      <c r="BM61" t="s">
        <v>1457</v>
      </c>
      <c r="BN61" t="s">
        <v>74</v>
      </c>
      <c r="BO61" t="s">
        <v>638</v>
      </c>
      <c r="BP61" t="s">
        <v>74</v>
      </c>
      <c r="BQ61" t="s">
        <v>74</v>
      </c>
      <c r="BR61" t="s">
        <v>108</v>
      </c>
      <c r="BS61" t="s">
        <v>1458</v>
      </c>
      <c r="BT61" t="str">
        <f>HYPERLINK("https%3A%2F%2Fwww.webofscience.com%2Fwos%2Fwoscc%2Ffull-record%2FWOS:000504317700001","View Full Record in Web of Science")</f>
        <v>View Full Record in Web of Science</v>
      </c>
    </row>
    <row r="62" spans="1:72" x14ac:dyDescent="0.15">
      <c r="A62" t="s">
        <v>133</v>
      </c>
      <c r="B62" t="s">
        <v>1459</v>
      </c>
      <c r="C62" t="s">
        <v>74</v>
      </c>
      <c r="D62" t="s">
        <v>74</v>
      </c>
      <c r="E62" t="s">
        <v>74</v>
      </c>
      <c r="F62" t="s">
        <v>1460</v>
      </c>
      <c r="G62" t="s">
        <v>74</v>
      </c>
      <c r="H62" t="s">
        <v>74</v>
      </c>
      <c r="I62" t="s">
        <v>1461</v>
      </c>
      <c r="J62" t="s">
        <v>1462</v>
      </c>
      <c r="K62" t="s">
        <v>74</v>
      </c>
      <c r="L62" t="s">
        <v>74</v>
      </c>
      <c r="M62" t="s">
        <v>80</v>
      </c>
      <c r="N62" t="s">
        <v>138</v>
      </c>
      <c r="O62" t="s">
        <v>74</v>
      </c>
      <c r="P62" t="s">
        <v>74</v>
      </c>
      <c r="Q62" t="s">
        <v>74</v>
      </c>
      <c r="R62" t="s">
        <v>74</v>
      </c>
      <c r="S62" t="s">
        <v>74</v>
      </c>
      <c r="T62" t="s">
        <v>1463</v>
      </c>
      <c r="U62" t="s">
        <v>1464</v>
      </c>
      <c r="V62" t="s">
        <v>1465</v>
      </c>
      <c r="W62" t="s">
        <v>1466</v>
      </c>
      <c r="X62" t="s">
        <v>1467</v>
      </c>
      <c r="Y62" t="s">
        <v>1468</v>
      </c>
      <c r="Z62" t="s">
        <v>1469</v>
      </c>
      <c r="AA62" t="s">
        <v>1470</v>
      </c>
      <c r="AB62" t="s">
        <v>1471</v>
      </c>
      <c r="AC62" t="s">
        <v>1472</v>
      </c>
      <c r="AD62" t="s">
        <v>1473</v>
      </c>
      <c r="AE62" t="s">
        <v>1474</v>
      </c>
      <c r="AF62" t="s">
        <v>74</v>
      </c>
      <c r="AG62">
        <v>42</v>
      </c>
      <c r="AH62">
        <v>43</v>
      </c>
      <c r="AI62">
        <v>44</v>
      </c>
      <c r="AJ62">
        <v>2</v>
      </c>
      <c r="AK62">
        <v>30</v>
      </c>
      <c r="AL62" t="s">
        <v>1264</v>
      </c>
      <c r="AM62" t="s">
        <v>1265</v>
      </c>
      <c r="AN62" t="s">
        <v>1266</v>
      </c>
      <c r="AO62" t="s">
        <v>1475</v>
      </c>
      <c r="AP62" t="s">
        <v>1476</v>
      </c>
      <c r="AQ62" t="s">
        <v>74</v>
      </c>
      <c r="AR62" t="s">
        <v>1477</v>
      </c>
      <c r="AS62" t="s">
        <v>1478</v>
      </c>
      <c r="AT62" t="s">
        <v>1479</v>
      </c>
      <c r="AU62">
        <v>2019</v>
      </c>
      <c r="AV62">
        <v>46</v>
      </c>
      <c r="AW62">
        <v>24</v>
      </c>
      <c r="AX62" t="s">
        <v>74</v>
      </c>
      <c r="AY62" t="s">
        <v>74</v>
      </c>
      <c r="AZ62" t="s">
        <v>74</v>
      </c>
      <c r="BA62" t="s">
        <v>74</v>
      </c>
      <c r="BB62">
        <v>14604</v>
      </c>
      <c r="BC62">
        <v>14612</v>
      </c>
      <c r="BD62" t="s">
        <v>74</v>
      </c>
      <c r="BE62" t="s">
        <v>1480</v>
      </c>
      <c r="BF62" t="str">
        <f>HYPERLINK("http://dx.doi.org/10.1029/2019GL084928","http://dx.doi.org/10.1029/2019GL084928")</f>
        <v>http://dx.doi.org/10.1029/2019GL084928</v>
      </c>
      <c r="BG62" t="s">
        <v>74</v>
      </c>
      <c r="BH62" t="s">
        <v>1272</v>
      </c>
      <c r="BI62">
        <v>9</v>
      </c>
      <c r="BJ62" t="s">
        <v>849</v>
      </c>
      <c r="BK62" t="s">
        <v>294</v>
      </c>
      <c r="BL62" t="s">
        <v>850</v>
      </c>
      <c r="BM62" t="s">
        <v>1481</v>
      </c>
      <c r="BN62" t="s">
        <v>74</v>
      </c>
      <c r="BO62" t="s">
        <v>1482</v>
      </c>
      <c r="BP62" t="s">
        <v>74</v>
      </c>
      <c r="BQ62" t="s">
        <v>74</v>
      </c>
      <c r="BR62" t="s">
        <v>108</v>
      </c>
      <c r="BS62" t="s">
        <v>1483</v>
      </c>
      <c r="BT62" t="str">
        <f>HYPERLINK("https%3A%2F%2Fwww.webofscience.com%2Fwos%2Fwoscc%2Ffull-record%2FWOS:000504376900001","View Full Record in Web of Science")</f>
        <v>View Full Record in Web of Science</v>
      </c>
    </row>
    <row r="63" spans="1:72" x14ac:dyDescent="0.15">
      <c r="A63" t="s">
        <v>133</v>
      </c>
      <c r="B63" t="s">
        <v>1484</v>
      </c>
      <c r="C63" t="s">
        <v>74</v>
      </c>
      <c r="D63" t="s">
        <v>74</v>
      </c>
      <c r="E63" t="s">
        <v>74</v>
      </c>
      <c r="F63" t="s">
        <v>1485</v>
      </c>
      <c r="G63" t="s">
        <v>74</v>
      </c>
      <c r="H63" t="s">
        <v>74</v>
      </c>
      <c r="I63" t="s">
        <v>1486</v>
      </c>
      <c r="J63" t="s">
        <v>1487</v>
      </c>
      <c r="K63" t="s">
        <v>74</v>
      </c>
      <c r="L63" t="s">
        <v>74</v>
      </c>
      <c r="M63" t="s">
        <v>80</v>
      </c>
      <c r="N63" t="s">
        <v>138</v>
      </c>
      <c r="O63" t="s">
        <v>74</v>
      </c>
      <c r="P63" t="s">
        <v>74</v>
      </c>
      <c r="Q63" t="s">
        <v>74</v>
      </c>
      <c r="R63" t="s">
        <v>74</v>
      </c>
      <c r="S63" t="s">
        <v>74</v>
      </c>
      <c r="T63" t="s">
        <v>1488</v>
      </c>
      <c r="U63" t="s">
        <v>1489</v>
      </c>
      <c r="V63" t="s">
        <v>1490</v>
      </c>
      <c r="W63" t="s">
        <v>1491</v>
      </c>
      <c r="X63" t="s">
        <v>1492</v>
      </c>
      <c r="Y63" t="s">
        <v>1493</v>
      </c>
      <c r="Z63" t="s">
        <v>1494</v>
      </c>
      <c r="AA63" t="s">
        <v>1495</v>
      </c>
      <c r="AB63" t="s">
        <v>1496</v>
      </c>
      <c r="AC63" t="s">
        <v>1497</v>
      </c>
      <c r="AD63" t="s">
        <v>1498</v>
      </c>
      <c r="AE63" t="s">
        <v>1499</v>
      </c>
      <c r="AF63" t="s">
        <v>74</v>
      </c>
      <c r="AG63">
        <v>76</v>
      </c>
      <c r="AH63">
        <v>30</v>
      </c>
      <c r="AI63">
        <v>30</v>
      </c>
      <c r="AJ63">
        <v>4</v>
      </c>
      <c r="AK63">
        <v>25</v>
      </c>
      <c r="AL63" t="s">
        <v>1264</v>
      </c>
      <c r="AM63" t="s">
        <v>1265</v>
      </c>
      <c r="AN63" t="s">
        <v>1266</v>
      </c>
      <c r="AO63" t="s">
        <v>1500</v>
      </c>
      <c r="AP63" t="s">
        <v>1501</v>
      </c>
      <c r="AQ63" t="s">
        <v>74</v>
      </c>
      <c r="AR63" t="s">
        <v>1502</v>
      </c>
      <c r="AS63" t="s">
        <v>1503</v>
      </c>
      <c r="AT63" t="s">
        <v>1379</v>
      </c>
      <c r="AU63">
        <v>2019</v>
      </c>
      <c r="AV63">
        <v>124</v>
      </c>
      <c r="AW63">
        <v>24</v>
      </c>
      <c r="AX63" t="s">
        <v>74</v>
      </c>
      <c r="AY63" t="s">
        <v>74</v>
      </c>
      <c r="AZ63" t="s">
        <v>74</v>
      </c>
      <c r="BA63" t="s">
        <v>74</v>
      </c>
      <c r="BB63">
        <v>14220</v>
      </c>
      <c r="BC63">
        <v>14239</v>
      </c>
      <c r="BD63" t="s">
        <v>74</v>
      </c>
      <c r="BE63" t="s">
        <v>1504</v>
      </c>
      <c r="BF63" t="str">
        <f>HYPERLINK("http://dx.doi.org/10.1029/2019JD030804","http://dx.doi.org/10.1029/2019JD030804")</f>
        <v>http://dx.doi.org/10.1029/2019JD030804</v>
      </c>
      <c r="BG63" t="s">
        <v>74</v>
      </c>
      <c r="BH63" t="s">
        <v>1272</v>
      </c>
      <c r="BI63">
        <v>20</v>
      </c>
      <c r="BJ63" t="s">
        <v>1024</v>
      </c>
      <c r="BK63" t="s">
        <v>294</v>
      </c>
      <c r="BL63" t="s">
        <v>1024</v>
      </c>
      <c r="BM63" t="s">
        <v>1505</v>
      </c>
      <c r="BN63" t="s">
        <v>74</v>
      </c>
      <c r="BO63" t="s">
        <v>1506</v>
      </c>
      <c r="BP63" t="s">
        <v>74</v>
      </c>
      <c r="BQ63" t="s">
        <v>74</v>
      </c>
      <c r="BR63" t="s">
        <v>108</v>
      </c>
      <c r="BS63" t="s">
        <v>1507</v>
      </c>
      <c r="BT63" t="str">
        <f>HYPERLINK("https%3A%2F%2Fwww.webofscience.com%2Fwos%2Fwoscc%2Ffull-record%2FWOS:000504438600001","View Full Record in Web of Science")</f>
        <v>View Full Record in Web of Science</v>
      </c>
    </row>
    <row r="64" spans="1:72" x14ac:dyDescent="0.15">
      <c r="A64" t="s">
        <v>133</v>
      </c>
      <c r="B64" t="s">
        <v>1508</v>
      </c>
      <c r="C64" t="s">
        <v>74</v>
      </c>
      <c r="D64" t="s">
        <v>74</v>
      </c>
      <c r="E64" t="s">
        <v>74</v>
      </c>
      <c r="F64" t="s">
        <v>1509</v>
      </c>
      <c r="G64" t="s">
        <v>74</v>
      </c>
      <c r="H64" t="s">
        <v>74</v>
      </c>
      <c r="I64" t="s">
        <v>1510</v>
      </c>
      <c r="J64" t="s">
        <v>1511</v>
      </c>
      <c r="K64" t="s">
        <v>74</v>
      </c>
      <c r="L64" t="s">
        <v>74</v>
      </c>
      <c r="M64" t="s">
        <v>80</v>
      </c>
      <c r="N64" t="s">
        <v>138</v>
      </c>
      <c r="O64" t="s">
        <v>74</v>
      </c>
      <c r="P64" t="s">
        <v>74</v>
      </c>
      <c r="Q64" t="s">
        <v>74</v>
      </c>
      <c r="R64" t="s">
        <v>74</v>
      </c>
      <c r="S64" t="s">
        <v>74</v>
      </c>
      <c r="T64" t="s">
        <v>1512</v>
      </c>
      <c r="U64" t="s">
        <v>1513</v>
      </c>
      <c r="V64" t="s">
        <v>1514</v>
      </c>
      <c r="W64" t="s">
        <v>1515</v>
      </c>
      <c r="X64" t="s">
        <v>1516</v>
      </c>
      <c r="Y64" t="s">
        <v>1517</v>
      </c>
      <c r="Z64" t="s">
        <v>1518</v>
      </c>
      <c r="AA64" t="s">
        <v>1519</v>
      </c>
      <c r="AB64" t="s">
        <v>1520</v>
      </c>
      <c r="AC64" t="s">
        <v>1521</v>
      </c>
      <c r="AD64" t="s">
        <v>1522</v>
      </c>
      <c r="AE64" t="s">
        <v>1523</v>
      </c>
      <c r="AF64" t="s">
        <v>74</v>
      </c>
      <c r="AG64">
        <v>105</v>
      </c>
      <c r="AH64">
        <v>2</v>
      </c>
      <c r="AI64">
        <v>2</v>
      </c>
      <c r="AJ64">
        <v>2</v>
      </c>
      <c r="AK64">
        <v>12</v>
      </c>
      <c r="AL64" t="s">
        <v>429</v>
      </c>
      <c r="AM64" t="s">
        <v>430</v>
      </c>
      <c r="AN64" t="s">
        <v>431</v>
      </c>
      <c r="AO64" t="s">
        <v>1524</v>
      </c>
      <c r="AP64" t="s">
        <v>1525</v>
      </c>
      <c r="AQ64" t="s">
        <v>74</v>
      </c>
      <c r="AR64" t="s">
        <v>1511</v>
      </c>
      <c r="AS64" t="s">
        <v>1526</v>
      </c>
      <c r="AT64" t="s">
        <v>1527</v>
      </c>
      <c r="AU64">
        <v>2020</v>
      </c>
      <c r="AV64">
        <v>67</v>
      </c>
      <c r="AW64">
        <v>2</v>
      </c>
      <c r="AX64" t="s">
        <v>74</v>
      </c>
      <c r="AY64" t="s">
        <v>74</v>
      </c>
      <c r="AZ64" t="s">
        <v>74</v>
      </c>
      <c r="BA64" t="s">
        <v>74</v>
      </c>
      <c r="BB64">
        <v>721</v>
      </c>
      <c r="BC64">
        <v>741</v>
      </c>
      <c r="BD64" t="s">
        <v>74</v>
      </c>
      <c r="BE64" t="s">
        <v>1528</v>
      </c>
      <c r="BF64" t="str">
        <f>HYPERLINK("http://dx.doi.org/10.1111/sed.12690","http://dx.doi.org/10.1111/sed.12690")</f>
        <v>http://dx.doi.org/10.1111/sed.12690</v>
      </c>
      <c r="BG64" t="s">
        <v>74</v>
      </c>
      <c r="BH64" t="s">
        <v>1272</v>
      </c>
      <c r="BI64">
        <v>21</v>
      </c>
      <c r="BJ64" t="s">
        <v>850</v>
      </c>
      <c r="BK64" t="s">
        <v>294</v>
      </c>
      <c r="BL64" t="s">
        <v>850</v>
      </c>
      <c r="BM64" t="s">
        <v>1529</v>
      </c>
      <c r="BN64" t="s">
        <v>74</v>
      </c>
      <c r="BO64" t="s">
        <v>74</v>
      </c>
      <c r="BP64" t="s">
        <v>74</v>
      </c>
      <c r="BQ64" t="s">
        <v>74</v>
      </c>
      <c r="BR64" t="s">
        <v>108</v>
      </c>
      <c r="BS64" t="s">
        <v>1530</v>
      </c>
      <c r="BT64" t="str">
        <f>HYPERLINK("https%3A%2F%2Fwww.webofscience.com%2Fwos%2Fwoscc%2Ffull-record%2FWOS:000504377800001","View Full Record in Web of Science")</f>
        <v>View Full Record in Web of Science</v>
      </c>
    </row>
    <row r="65" spans="1:72" x14ac:dyDescent="0.15">
      <c r="A65" t="s">
        <v>133</v>
      </c>
      <c r="B65" t="s">
        <v>1531</v>
      </c>
      <c r="C65" t="s">
        <v>74</v>
      </c>
      <c r="D65" t="s">
        <v>74</v>
      </c>
      <c r="E65" t="s">
        <v>74</v>
      </c>
      <c r="F65" t="s">
        <v>1532</v>
      </c>
      <c r="G65" t="s">
        <v>74</v>
      </c>
      <c r="H65" t="s">
        <v>74</v>
      </c>
      <c r="I65" t="s">
        <v>1533</v>
      </c>
      <c r="J65" t="s">
        <v>1388</v>
      </c>
      <c r="K65" t="s">
        <v>74</v>
      </c>
      <c r="L65" t="s">
        <v>74</v>
      </c>
      <c r="M65" t="s">
        <v>80</v>
      </c>
      <c r="N65" t="s">
        <v>138</v>
      </c>
      <c r="O65" t="s">
        <v>74</v>
      </c>
      <c r="P65" t="s">
        <v>74</v>
      </c>
      <c r="Q65" t="s">
        <v>74</v>
      </c>
      <c r="R65" t="s">
        <v>74</v>
      </c>
      <c r="S65" t="s">
        <v>74</v>
      </c>
      <c r="T65" t="s">
        <v>1534</v>
      </c>
      <c r="U65" t="s">
        <v>1535</v>
      </c>
      <c r="V65" t="s">
        <v>1536</v>
      </c>
      <c r="W65" t="s">
        <v>1537</v>
      </c>
      <c r="X65" t="s">
        <v>1538</v>
      </c>
      <c r="Y65" t="s">
        <v>1539</v>
      </c>
      <c r="Z65" t="s">
        <v>1540</v>
      </c>
      <c r="AA65" t="s">
        <v>1541</v>
      </c>
      <c r="AB65" t="s">
        <v>1542</v>
      </c>
      <c r="AC65" t="s">
        <v>1543</v>
      </c>
      <c r="AD65" t="s">
        <v>1544</v>
      </c>
      <c r="AE65" t="s">
        <v>1545</v>
      </c>
      <c r="AF65" t="s">
        <v>74</v>
      </c>
      <c r="AG65">
        <v>66</v>
      </c>
      <c r="AH65">
        <v>13</v>
      </c>
      <c r="AI65">
        <v>14</v>
      </c>
      <c r="AJ65">
        <v>4</v>
      </c>
      <c r="AK65">
        <v>71</v>
      </c>
      <c r="AL65" t="s">
        <v>429</v>
      </c>
      <c r="AM65" t="s">
        <v>430</v>
      </c>
      <c r="AN65" t="s">
        <v>431</v>
      </c>
      <c r="AO65" t="s">
        <v>1401</v>
      </c>
      <c r="AP65" t="s">
        <v>1402</v>
      </c>
      <c r="AQ65" t="s">
        <v>74</v>
      </c>
      <c r="AR65" t="s">
        <v>1403</v>
      </c>
      <c r="AS65" t="s">
        <v>1404</v>
      </c>
      <c r="AT65" t="s">
        <v>1546</v>
      </c>
      <c r="AU65">
        <v>2020</v>
      </c>
      <c r="AV65">
        <v>40</v>
      </c>
      <c r="AW65">
        <v>9</v>
      </c>
      <c r="AX65" t="s">
        <v>74</v>
      </c>
      <c r="AY65" t="s">
        <v>74</v>
      </c>
      <c r="AZ65" t="s">
        <v>74</v>
      </c>
      <c r="BA65" t="s">
        <v>74</v>
      </c>
      <c r="BB65">
        <v>4117</v>
      </c>
      <c r="BC65">
        <v>4130</v>
      </c>
      <c r="BD65" t="s">
        <v>74</v>
      </c>
      <c r="BE65" t="s">
        <v>1547</v>
      </c>
      <c r="BF65" t="str">
        <f>HYPERLINK("http://dx.doi.org/10.1002/joc.6446","http://dx.doi.org/10.1002/joc.6446")</f>
        <v>http://dx.doi.org/10.1002/joc.6446</v>
      </c>
      <c r="BG65" t="s">
        <v>74</v>
      </c>
      <c r="BH65" t="s">
        <v>1272</v>
      </c>
      <c r="BI65">
        <v>14</v>
      </c>
      <c r="BJ65" t="s">
        <v>1024</v>
      </c>
      <c r="BK65" t="s">
        <v>294</v>
      </c>
      <c r="BL65" t="s">
        <v>1024</v>
      </c>
      <c r="BM65" t="s">
        <v>1548</v>
      </c>
      <c r="BN65" t="s">
        <v>74</v>
      </c>
      <c r="BO65" t="s">
        <v>74</v>
      </c>
      <c r="BP65" t="s">
        <v>74</v>
      </c>
      <c r="BQ65" t="s">
        <v>74</v>
      </c>
      <c r="BR65" t="s">
        <v>108</v>
      </c>
      <c r="BS65" t="s">
        <v>1549</v>
      </c>
      <c r="BT65" t="str">
        <f>HYPERLINK("https%3A%2F%2Fwww.webofscience.com%2Fwos%2Fwoscc%2Ffull-record%2FWOS:000504443700001","View Full Record in Web of Science")</f>
        <v>View Full Record in Web of Science</v>
      </c>
    </row>
    <row r="66" spans="1:72" x14ac:dyDescent="0.15">
      <c r="A66" t="s">
        <v>133</v>
      </c>
      <c r="B66" t="s">
        <v>1550</v>
      </c>
      <c r="C66" t="s">
        <v>74</v>
      </c>
      <c r="D66" t="s">
        <v>74</v>
      </c>
      <c r="E66" t="s">
        <v>74</v>
      </c>
      <c r="F66" t="s">
        <v>1551</v>
      </c>
      <c r="G66" t="s">
        <v>74</v>
      </c>
      <c r="H66" t="s">
        <v>74</v>
      </c>
      <c r="I66" t="s">
        <v>1552</v>
      </c>
      <c r="J66" t="s">
        <v>1553</v>
      </c>
      <c r="K66" t="s">
        <v>74</v>
      </c>
      <c r="L66" t="s">
        <v>74</v>
      </c>
      <c r="M66" t="s">
        <v>80</v>
      </c>
      <c r="N66" t="s">
        <v>138</v>
      </c>
      <c r="O66" t="s">
        <v>74</v>
      </c>
      <c r="P66" t="s">
        <v>74</v>
      </c>
      <c r="Q66" t="s">
        <v>74</v>
      </c>
      <c r="R66" t="s">
        <v>74</v>
      </c>
      <c r="S66" t="s">
        <v>74</v>
      </c>
      <c r="T66" t="s">
        <v>1554</v>
      </c>
      <c r="U66" t="s">
        <v>1555</v>
      </c>
      <c r="V66" t="s">
        <v>1556</v>
      </c>
      <c r="W66" t="s">
        <v>1557</v>
      </c>
      <c r="X66" t="s">
        <v>1558</v>
      </c>
      <c r="Y66" t="s">
        <v>1559</v>
      </c>
      <c r="Z66" t="s">
        <v>1560</v>
      </c>
      <c r="AA66" t="s">
        <v>1561</v>
      </c>
      <c r="AB66" t="s">
        <v>1562</v>
      </c>
      <c r="AC66" t="s">
        <v>1563</v>
      </c>
      <c r="AD66" t="s">
        <v>1564</v>
      </c>
      <c r="AE66" t="s">
        <v>1565</v>
      </c>
      <c r="AF66" t="s">
        <v>74</v>
      </c>
      <c r="AG66">
        <v>39</v>
      </c>
      <c r="AH66">
        <v>3</v>
      </c>
      <c r="AI66">
        <v>3</v>
      </c>
      <c r="AJ66">
        <v>0</v>
      </c>
      <c r="AK66">
        <v>5</v>
      </c>
      <c r="AL66" t="s">
        <v>1264</v>
      </c>
      <c r="AM66" t="s">
        <v>1265</v>
      </c>
      <c r="AN66" t="s">
        <v>1266</v>
      </c>
      <c r="AO66" t="s">
        <v>1566</v>
      </c>
      <c r="AP66" t="s">
        <v>1567</v>
      </c>
      <c r="AQ66" t="s">
        <v>74</v>
      </c>
      <c r="AR66" t="s">
        <v>1568</v>
      </c>
      <c r="AS66" t="s">
        <v>1569</v>
      </c>
      <c r="AT66" t="s">
        <v>1270</v>
      </c>
      <c r="AU66">
        <v>2019</v>
      </c>
      <c r="AV66">
        <v>124</v>
      </c>
      <c r="AW66">
        <v>12</v>
      </c>
      <c r="AX66" t="s">
        <v>74</v>
      </c>
      <c r="AY66" t="s">
        <v>74</v>
      </c>
      <c r="AZ66" t="s">
        <v>74</v>
      </c>
      <c r="BA66" t="s">
        <v>74</v>
      </c>
      <c r="BB66">
        <v>10246</v>
      </c>
      <c r="BC66">
        <v>10256</v>
      </c>
      <c r="BD66" t="s">
        <v>74</v>
      </c>
      <c r="BE66" t="s">
        <v>1570</v>
      </c>
      <c r="BF66" t="str">
        <f>HYPERLINK("http://dx.doi.org/10.1029/2019JA027132","http://dx.doi.org/10.1029/2019JA027132")</f>
        <v>http://dx.doi.org/10.1029/2019JA027132</v>
      </c>
      <c r="BG66" t="s">
        <v>74</v>
      </c>
      <c r="BH66" t="s">
        <v>1272</v>
      </c>
      <c r="BI66">
        <v>11</v>
      </c>
      <c r="BJ66" t="s">
        <v>1571</v>
      </c>
      <c r="BK66" t="s">
        <v>294</v>
      </c>
      <c r="BL66" t="s">
        <v>1571</v>
      </c>
      <c r="BM66" t="s">
        <v>1572</v>
      </c>
      <c r="BN66" t="s">
        <v>74</v>
      </c>
      <c r="BO66" t="s">
        <v>1573</v>
      </c>
      <c r="BP66" t="s">
        <v>74</v>
      </c>
      <c r="BQ66" t="s">
        <v>74</v>
      </c>
      <c r="BR66" t="s">
        <v>108</v>
      </c>
      <c r="BS66" t="s">
        <v>1574</v>
      </c>
      <c r="BT66" t="str">
        <f>HYPERLINK("https%3A%2F%2Fwww.webofscience.com%2Fwos%2Fwoscc%2Ffull-record%2FWOS:000504367500001","View Full Record in Web of Science")</f>
        <v>View Full Record in Web of Science</v>
      </c>
    </row>
    <row r="67" spans="1:72" x14ac:dyDescent="0.15">
      <c r="A67" t="s">
        <v>133</v>
      </c>
      <c r="B67" t="s">
        <v>1575</v>
      </c>
      <c r="C67" t="s">
        <v>74</v>
      </c>
      <c r="D67" t="s">
        <v>74</v>
      </c>
      <c r="E67" t="s">
        <v>74</v>
      </c>
      <c r="F67" t="s">
        <v>1576</v>
      </c>
      <c r="G67" t="s">
        <v>74</v>
      </c>
      <c r="H67" t="s">
        <v>74</v>
      </c>
      <c r="I67" t="s">
        <v>1577</v>
      </c>
      <c r="J67" t="s">
        <v>1578</v>
      </c>
      <c r="K67" t="s">
        <v>74</v>
      </c>
      <c r="L67" t="s">
        <v>74</v>
      </c>
      <c r="M67" t="s">
        <v>80</v>
      </c>
      <c r="N67" t="s">
        <v>138</v>
      </c>
      <c r="O67" t="s">
        <v>74</v>
      </c>
      <c r="P67" t="s">
        <v>74</v>
      </c>
      <c r="Q67" t="s">
        <v>74</v>
      </c>
      <c r="R67" t="s">
        <v>74</v>
      </c>
      <c r="S67" t="s">
        <v>74</v>
      </c>
      <c r="T67" t="s">
        <v>1579</v>
      </c>
      <c r="U67" t="s">
        <v>1580</v>
      </c>
      <c r="V67" t="s">
        <v>1581</v>
      </c>
      <c r="W67" t="s">
        <v>1582</v>
      </c>
      <c r="X67" t="s">
        <v>1583</v>
      </c>
      <c r="Y67" t="s">
        <v>1584</v>
      </c>
      <c r="Z67" t="s">
        <v>1585</v>
      </c>
      <c r="AA67" t="s">
        <v>1586</v>
      </c>
      <c r="AB67" t="s">
        <v>1587</v>
      </c>
      <c r="AC67" t="s">
        <v>1588</v>
      </c>
      <c r="AD67" t="s">
        <v>1589</v>
      </c>
      <c r="AE67" t="s">
        <v>1590</v>
      </c>
      <c r="AF67" t="s">
        <v>74</v>
      </c>
      <c r="AG67">
        <v>93</v>
      </c>
      <c r="AH67">
        <v>28</v>
      </c>
      <c r="AI67">
        <v>34</v>
      </c>
      <c r="AJ67">
        <v>12</v>
      </c>
      <c r="AK67">
        <v>79</v>
      </c>
      <c r="AL67" t="s">
        <v>429</v>
      </c>
      <c r="AM67" t="s">
        <v>430</v>
      </c>
      <c r="AN67" t="s">
        <v>431</v>
      </c>
      <c r="AO67" t="s">
        <v>1591</v>
      </c>
      <c r="AP67" t="s">
        <v>1592</v>
      </c>
      <c r="AQ67" t="s">
        <v>74</v>
      </c>
      <c r="AR67" t="s">
        <v>1593</v>
      </c>
      <c r="AS67" t="s">
        <v>1594</v>
      </c>
      <c r="AT67" t="s">
        <v>1527</v>
      </c>
      <c r="AU67">
        <v>2020</v>
      </c>
      <c r="AV67">
        <v>26</v>
      </c>
      <c r="AW67">
        <v>2</v>
      </c>
      <c r="AX67" t="s">
        <v>74</v>
      </c>
      <c r="AY67" t="s">
        <v>74</v>
      </c>
      <c r="AZ67" t="s">
        <v>74</v>
      </c>
      <c r="BA67" t="s">
        <v>74</v>
      </c>
      <c r="BB67">
        <v>343</v>
      </c>
      <c r="BC67">
        <v>354</v>
      </c>
      <c r="BD67" t="s">
        <v>74</v>
      </c>
      <c r="BE67" t="s">
        <v>1595</v>
      </c>
      <c r="BF67" t="str">
        <f>HYPERLINK("http://dx.doi.org/10.1111/gcb.14901","http://dx.doi.org/10.1111/gcb.14901")</f>
        <v>http://dx.doi.org/10.1111/gcb.14901</v>
      </c>
      <c r="BG67" t="s">
        <v>74</v>
      </c>
      <c r="BH67" t="s">
        <v>1272</v>
      </c>
      <c r="BI67">
        <v>12</v>
      </c>
      <c r="BJ67" t="s">
        <v>1596</v>
      </c>
      <c r="BK67" t="s">
        <v>294</v>
      </c>
      <c r="BL67" t="s">
        <v>295</v>
      </c>
      <c r="BM67" t="s">
        <v>1597</v>
      </c>
      <c r="BN67">
        <v>31873988</v>
      </c>
      <c r="BO67" t="s">
        <v>588</v>
      </c>
      <c r="BP67" t="s">
        <v>74</v>
      </c>
      <c r="BQ67" t="s">
        <v>74</v>
      </c>
      <c r="BR67" t="s">
        <v>108</v>
      </c>
      <c r="BS67" t="s">
        <v>1598</v>
      </c>
      <c r="BT67" t="str">
        <f>HYPERLINK("https%3A%2F%2Fwww.webofscience.com%2Fwos%2Fwoscc%2Ffull-record%2FWOS:000504145800001","View Full Record in Web of Science")</f>
        <v>View Full Record in Web of Science</v>
      </c>
    </row>
    <row r="68" spans="1:72" x14ac:dyDescent="0.15">
      <c r="A68" t="s">
        <v>133</v>
      </c>
      <c r="B68" t="s">
        <v>1599</v>
      </c>
      <c r="C68" t="s">
        <v>74</v>
      </c>
      <c r="D68" t="s">
        <v>74</v>
      </c>
      <c r="E68" t="s">
        <v>74</v>
      </c>
      <c r="F68" t="s">
        <v>1600</v>
      </c>
      <c r="G68" t="s">
        <v>74</v>
      </c>
      <c r="H68" t="s">
        <v>74</v>
      </c>
      <c r="I68" t="s">
        <v>1601</v>
      </c>
      <c r="J68" t="s">
        <v>1462</v>
      </c>
      <c r="K68" t="s">
        <v>74</v>
      </c>
      <c r="L68" t="s">
        <v>74</v>
      </c>
      <c r="M68" t="s">
        <v>80</v>
      </c>
      <c r="N68" t="s">
        <v>138</v>
      </c>
      <c r="O68" t="s">
        <v>74</v>
      </c>
      <c r="P68" t="s">
        <v>74</v>
      </c>
      <c r="Q68" t="s">
        <v>74</v>
      </c>
      <c r="R68" t="s">
        <v>74</v>
      </c>
      <c r="S68" t="s">
        <v>74</v>
      </c>
      <c r="T68" t="s">
        <v>1602</v>
      </c>
      <c r="U68" t="s">
        <v>1603</v>
      </c>
      <c r="V68" t="s">
        <v>1604</v>
      </c>
      <c r="W68" t="s">
        <v>1605</v>
      </c>
      <c r="X68" t="s">
        <v>1606</v>
      </c>
      <c r="Y68" t="s">
        <v>1607</v>
      </c>
      <c r="Z68" t="s">
        <v>1608</v>
      </c>
      <c r="AA68" t="s">
        <v>1609</v>
      </c>
      <c r="AB68" t="s">
        <v>74</v>
      </c>
      <c r="AC68" t="s">
        <v>1610</v>
      </c>
      <c r="AD68" t="s">
        <v>1611</v>
      </c>
      <c r="AE68" t="s">
        <v>1612</v>
      </c>
      <c r="AF68" t="s">
        <v>74</v>
      </c>
      <c r="AG68">
        <v>42</v>
      </c>
      <c r="AH68">
        <v>15</v>
      </c>
      <c r="AI68">
        <v>18</v>
      </c>
      <c r="AJ68">
        <v>1</v>
      </c>
      <c r="AK68">
        <v>14</v>
      </c>
      <c r="AL68" t="s">
        <v>1264</v>
      </c>
      <c r="AM68" t="s">
        <v>1265</v>
      </c>
      <c r="AN68" t="s">
        <v>1266</v>
      </c>
      <c r="AO68" t="s">
        <v>1475</v>
      </c>
      <c r="AP68" t="s">
        <v>1476</v>
      </c>
      <c r="AQ68" t="s">
        <v>74</v>
      </c>
      <c r="AR68" t="s">
        <v>1477</v>
      </c>
      <c r="AS68" t="s">
        <v>1478</v>
      </c>
      <c r="AT68" t="s">
        <v>1479</v>
      </c>
      <c r="AU68">
        <v>2019</v>
      </c>
      <c r="AV68">
        <v>46</v>
      </c>
      <c r="AW68">
        <v>24</v>
      </c>
      <c r="AX68" t="s">
        <v>74</v>
      </c>
      <c r="AY68" t="s">
        <v>74</v>
      </c>
      <c r="AZ68" t="s">
        <v>74</v>
      </c>
      <c r="BA68" t="s">
        <v>74</v>
      </c>
      <c r="BB68">
        <v>14762</v>
      </c>
      <c r="BC68">
        <v>14771</v>
      </c>
      <c r="BD68" t="s">
        <v>74</v>
      </c>
      <c r="BE68" t="s">
        <v>1613</v>
      </c>
      <c r="BF68" t="str">
        <f>HYPERLINK("http://dx.doi.org/10.1029/2019GL083758","http://dx.doi.org/10.1029/2019GL083758")</f>
        <v>http://dx.doi.org/10.1029/2019GL083758</v>
      </c>
      <c r="BG68" t="s">
        <v>74</v>
      </c>
      <c r="BH68" t="s">
        <v>1272</v>
      </c>
      <c r="BI68">
        <v>10</v>
      </c>
      <c r="BJ68" t="s">
        <v>849</v>
      </c>
      <c r="BK68" t="s">
        <v>294</v>
      </c>
      <c r="BL68" t="s">
        <v>850</v>
      </c>
      <c r="BM68" t="s">
        <v>1481</v>
      </c>
      <c r="BN68" t="s">
        <v>74</v>
      </c>
      <c r="BO68" t="s">
        <v>588</v>
      </c>
      <c r="BP68" t="s">
        <v>74</v>
      </c>
      <c r="BQ68" t="s">
        <v>74</v>
      </c>
      <c r="BR68" t="s">
        <v>108</v>
      </c>
      <c r="BS68" t="s">
        <v>1614</v>
      </c>
      <c r="BT68" t="str">
        <f>HYPERLINK("https%3A%2F%2Fwww.webofscience.com%2Fwos%2Fwoscc%2Ffull-record%2FWOS:000504065100001","View Full Record in Web of Science")</f>
        <v>View Full Record in Web of Science</v>
      </c>
    </row>
    <row r="69" spans="1:72" x14ac:dyDescent="0.15">
      <c r="A69" t="s">
        <v>133</v>
      </c>
      <c r="B69" t="s">
        <v>1615</v>
      </c>
      <c r="C69" t="s">
        <v>74</v>
      </c>
      <c r="D69" t="s">
        <v>74</v>
      </c>
      <c r="E69" t="s">
        <v>74</v>
      </c>
      <c r="F69" t="s">
        <v>1616</v>
      </c>
      <c r="G69" t="s">
        <v>74</v>
      </c>
      <c r="H69" t="s">
        <v>74</v>
      </c>
      <c r="I69" t="s">
        <v>1617</v>
      </c>
      <c r="J69" t="s">
        <v>1618</v>
      </c>
      <c r="K69" t="s">
        <v>74</v>
      </c>
      <c r="L69" t="s">
        <v>74</v>
      </c>
      <c r="M69" t="s">
        <v>80</v>
      </c>
      <c r="N69" t="s">
        <v>138</v>
      </c>
      <c r="O69" t="s">
        <v>74</v>
      </c>
      <c r="P69" t="s">
        <v>74</v>
      </c>
      <c r="Q69" t="s">
        <v>74</v>
      </c>
      <c r="R69" t="s">
        <v>74</v>
      </c>
      <c r="S69" t="s">
        <v>74</v>
      </c>
      <c r="T69" t="s">
        <v>1619</v>
      </c>
      <c r="U69" t="s">
        <v>1620</v>
      </c>
      <c r="V69" t="s">
        <v>1621</v>
      </c>
      <c r="W69" t="s">
        <v>1622</v>
      </c>
      <c r="X69" t="s">
        <v>1623</v>
      </c>
      <c r="Y69" t="s">
        <v>1624</v>
      </c>
      <c r="Z69" t="s">
        <v>1625</v>
      </c>
      <c r="AA69" t="s">
        <v>1626</v>
      </c>
      <c r="AB69" t="s">
        <v>1627</v>
      </c>
      <c r="AC69" t="s">
        <v>1628</v>
      </c>
      <c r="AD69" t="s">
        <v>1629</v>
      </c>
      <c r="AE69" t="s">
        <v>1630</v>
      </c>
      <c r="AF69" t="s">
        <v>74</v>
      </c>
      <c r="AG69">
        <v>37</v>
      </c>
      <c r="AH69">
        <v>14</v>
      </c>
      <c r="AI69">
        <v>15</v>
      </c>
      <c r="AJ69">
        <v>1</v>
      </c>
      <c r="AK69">
        <v>17</v>
      </c>
      <c r="AL69" t="s">
        <v>429</v>
      </c>
      <c r="AM69" t="s">
        <v>430</v>
      </c>
      <c r="AN69" t="s">
        <v>431</v>
      </c>
      <c r="AO69" t="s">
        <v>1631</v>
      </c>
      <c r="AP69" t="s">
        <v>1632</v>
      </c>
      <c r="AQ69" t="s">
        <v>74</v>
      </c>
      <c r="AR69" t="s">
        <v>1633</v>
      </c>
      <c r="AS69" t="s">
        <v>1634</v>
      </c>
      <c r="AT69" t="s">
        <v>1324</v>
      </c>
      <c r="AU69">
        <v>2020</v>
      </c>
      <c r="AV69">
        <v>34</v>
      </c>
      <c r="AW69">
        <v>3</v>
      </c>
      <c r="AX69" t="s">
        <v>74</v>
      </c>
      <c r="AY69" t="s">
        <v>74</v>
      </c>
      <c r="AZ69" t="s">
        <v>74</v>
      </c>
      <c r="BA69" t="s">
        <v>74</v>
      </c>
      <c r="BB69">
        <v>611</v>
      </c>
      <c r="BC69">
        <v>621</v>
      </c>
      <c r="BD69" t="s">
        <v>74</v>
      </c>
      <c r="BE69" t="s">
        <v>1635</v>
      </c>
      <c r="BF69" t="str">
        <f>HYPERLINK("http://dx.doi.org/10.1111/cobi.13427","http://dx.doi.org/10.1111/cobi.13427")</f>
        <v>http://dx.doi.org/10.1111/cobi.13427</v>
      </c>
      <c r="BG69" t="s">
        <v>74</v>
      </c>
      <c r="BH69" t="s">
        <v>1272</v>
      </c>
      <c r="BI69">
        <v>11</v>
      </c>
      <c r="BJ69" t="s">
        <v>1596</v>
      </c>
      <c r="BK69" t="s">
        <v>294</v>
      </c>
      <c r="BL69" t="s">
        <v>295</v>
      </c>
      <c r="BM69" t="s">
        <v>1636</v>
      </c>
      <c r="BN69">
        <v>31663172</v>
      </c>
      <c r="BO69" t="s">
        <v>74</v>
      </c>
      <c r="BP69" t="s">
        <v>74</v>
      </c>
      <c r="BQ69" t="s">
        <v>74</v>
      </c>
      <c r="BR69" t="s">
        <v>108</v>
      </c>
      <c r="BS69" t="s">
        <v>1637</v>
      </c>
      <c r="BT69" t="str">
        <f>HYPERLINK("https%3A%2F%2Fwww.webofscience.com%2Fwos%2Fwoscc%2Ffull-record%2FWOS:000504113900001","View Full Record in Web of Science")</f>
        <v>View Full Record in Web of Science</v>
      </c>
    </row>
    <row r="70" spans="1:72" x14ac:dyDescent="0.15">
      <c r="A70" t="s">
        <v>133</v>
      </c>
      <c r="B70" t="s">
        <v>1638</v>
      </c>
      <c r="C70" t="s">
        <v>74</v>
      </c>
      <c r="D70" t="s">
        <v>74</v>
      </c>
      <c r="E70" t="s">
        <v>74</v>
      </c>
      <c r="F70" t="s">
        <v>1639</v>
      </c>
      <c r="G70" t="s">
        <v>74</v>
      </c>
      <c r="H70" t="s">
        <v>74</v>
      </c>
      <c r="I70" t="s">
        <v>1640</v>
      </c>
      <c r="J70" t="s">
        <v>1641</v>
      </c>
      <c r="K70" t="s">
        <v>74</v>
      </c>
      <c r="L70" t="s">
        <v>74</v>
      </c>
      <c r="M70" t="s">
        <v>80</v>
      </c>
      <c r="N70" t="s">
        <v>138</v>
      </c>
      <c r="O70" t="s">
        <v>74</v>
      </c>
      <c r="P70" t="s">
        <v>74</v>
      </c>
      <c r="Q70" t="s">
        <v>74</v>
      </c>
      <c r="R70" t="s">
        <v>74</v>
      </c>
      <c r="S70" t="s">
        <v>74</v>
      </c>
      <c r="T70" t="s">
        <v>1642</v>
      </c>
      <c r="U70" t="s">
        <v>1643</v>
      </c>
      <c r="V70" t="s">
        <v>1644</v>
      </c>
      <c r="W70" t="s">
        <v>1645</v>
      </c>
      <c r="X70" t="s">
        <v>1646</v>
      </c>
      <c r="Y70" t="s">
        <v>1647</v>
      </c>
      <c r="Z70" t="s">
        <v>1648</v>
      </c>
      <c r="AA70" t="s">
        <v>1649</v>
      </c>
      <c r="AB70" t="s">
        <v>74</v>
      </c>
      <c r="AC70" t="s">
        <v>74</v>
      </c>
      <c r="AD70" t="s">
        <v>74</v>
      </c>
      <c r="AE70" t="s">
        <v>74</v>
      </c>
      <c r="AF70" t="s">
        <v>74</v>
      </c>
      <c r="AG70">
        <v>39</v>
      </c>
      <c r="AH70">
        <v>4</v>
      </c>
      <c r="AI70">
        <v>4</v>
      </c>
      <c r="AJ70">
        <v>0</v>
      </c>
      <c r="AK70">
        <v>0</v>
      </c>
      <c r="AL70" t="s">
        <v>1650</v>
      </c>
      <c r="AM70" t="s">
        <v>1651</v>
      </c>
      <c r="AN70" t="s">
        <v>1652</v>
      </c>
      <c r="AO70" t="s">
        <v>1653</v>
      </c>
      <c r="AP70" t="s">
        <v>1654</v>
      </c>
      <c r="AQ70" t="s">
        <v>74</v>
      </c>
      <c r="AR70" t="s">
        <v>1655</v>
      </c>
      <c r="AS70" t="s">
        <v>1656</v>
      </c>
      <c r="AT70" t="s">
        <v>1657</v>
      </c>
      <c r="AU70">
        <v>2020</v>
      </c>
      <c r="AV70">
        <v>50</v>
      </c>
      <c r="AW70">
        <v>5</v>
      </c>
      <c r="AX70" t="s">
        <v>74</v>
      </c>
      <c r="AY70" t="s">
        <v>74</v>
      </c>
      <c r="AZ70" t="s">
        <v>74</v>
      </c>
      <c r="BA70" t="s">
        <v>74</v>
      </c>
      <c r="BB70">
        <v>438</v>
      </c>
      <c r="BC70">
        <v>444</v>
      </c>
      <c r="BD70" t="s">
        <v>74</v>
      </c>
      <c r="BE70" t="s">
        <v>1658</v>
      </c>
      <c r="BF70" t="str">
        <f>HYPERLINK("http://dx.doi.org/10.1080/10826068.2019.1706559","http://dx.doi.org/10.1080/10826068.2019.1706559")</f>
        <v>http://dx.doi.org/10.1080/10826068.2019.1706559</v>
      </c>
      <c r="BG70" t="s">
        <v>74</v>
      </c>
      <c r="BH70" t="s">
        <v>1272</v>
      </c>
      <c r="BI70">
        <v>7</v>
      </c>
      <c r="BJ70" t="s">
        <v>1659</v>
      </c>
      <c r="BK70" t="s">
        <v>294</v>
      </c>
      <c r="BL70" t="s">
        <v>1660</v>
      </c>
      <c r="BM70" t="s">
        <v>1661</v>
      </c>
      <c r="BN70">
        <v>31876438</v>
      </c>
      <c r="BO70" t="s">
        <v>74</v>
      </c>
      <c r="BP70" t="s">
        <v>74</v>
      </c>
      <c r="BQ70" t="s">
        <v>74</v>
      </c>
      <c r="BR70" t="s">
        <v>108</v>
      </c>
      <c r="BS70" t="s">
        <v>1662</v>
      </c>
      <c r="BT70" t="str">
        <f>HYPERLINK("https%3A%2F%2Fwww.webofscience.com%2Fwos%2Fwoscc%2Ffull-record%2FWOS:000504389600001","View Full Record in Web of Science")</f>
        <v>View Full Record in Web of Science</v>
      </c>
    </row>
    <row r="71" spans="1:72" x14ac:dyDescent="0.15">
      <c r="A71" t="s">
        <v>133</v>
      </c>
      <c r="B71" t="s">
        <v>1663</v>
      </c>
      <c r="C71" t="s">
        <v>74</v>
      </c>
      <c r="D71" t="s">
        <v>74</v>
      </c>
      <c r="E71" t="s">
        <v>74</v>
      </c>
      <c r="F71" t="s">
        <v>1664</v>
      </c>
      <c r="G71" t="s">
        <v>74</v>
      </c>
      <c r="H71" t="s">
        <v>74</v>
      </c>
      <c r="I71" t="s">
        <v>1665</v>
      </c>
      <c r="J71" t="s">
        <v>1666</v>
      </c>
      <c r="K71" t="s">
        <v>74</v>
      </c>
      <c r="L71" t="s">
        <v>74</v>
      </c>
      <c r="M71" t="s">
        <v>80</v>
      </c>
      <c r="N71" t="s">
        <v>138</v>
      </c>
      <c r="O71" t="s">
        <v>74</v>
      </c>
      <c r="P71" t="s">
        <v>74</v>
      </c>
      <c r="Q71" t="s">
        <v>74</v>
      </c>
      <c r="R71" t="s">
        <v>74</v>
      </c>
      <c r="S71" t="s">
        <v>74</v>
      </c>
      <c r="T71" t="s">
        <v>1667</v>
      </c>
      <c r="U71" t="s">
        <v>1668</v>
      </c>
      <c r="V71" t="s">
        <v>1669</v>
      </c>
      <c r="W71" t="s">
        <v>1670</v>
      </c>
      <c r="X71" t="s">
        <v>1671</v>
      </c>
      <c r="Y71" t="s">
        <v>1672</v>
      </c>
      <c r="Z71" t="s">
        <v>1673</v>
      </c>
      <c r="AA71" t="s">
        <v>1674</v>
      </c>
      <c r="AB71" t="s">
        <v>1675</v>
      </c>
      <c r="AC71" t="s">
        <v>1676</v>
      </c>
      <c r="AD71" t="s">
        <v>1677</v>
      </c>
      <c r="AE71" t="s">
        <v>1678</v>
      </c>
      <c r="AF71" t="s">
        <v>74</v>
      </c>
      <c r="AG71">
        <v>47</v>
      </c>
      <c r="AH71">
        <v>16</v>
      </c>
      <c r="AI71">
        <v>16</v>
      </c>
      <c r="AJ71">
        <v>3</v>
      </c>
      <c r="AK71">
        <v>18</v>
      </c>
      <c r="AL71" t="s">
        <v>578</v>
      </c>
      <c r="AM71" t="s">
        <v>380</v>
      </c>
      <c r="AN71" t="s">
        <v>579</v>
      </c>
      <c r="AO71" t="s">
        <v>1679</v>
      </c>
      <c r="AP71" t="s">
        <v>74</v>
      </c>
      <c r="AQ71" t="s">
        <v>74</v>
      </c>
      <c r="AR71" t="s">
        <v>1680</v>
      </c>
      <c r="AS71" t="s">
        <v>1681</v>
      </c>
      <c r="AT71" t="s">
        <v>1682</v>
      </c>
      <c r="AU71">
        <v>2019</v>
      </c>
      <c r="AV71">
        <v>7</v>
      </c>
      <c r="AW71" t="s">
        <v>74</v>
      </c>
      <c r="AX71" t="s">
        <v>74</v>
      </c>
      <c r="AY71" t="s">
        <v>74</v>
      </c>
      <c r="AZ71" t="s">
        <v>74</v>
      </c>
      <c r="BA71" t="s">
        <v>74</v>
      </c>
      <c r="BB71" t="s">
        <v>74</v>
      </c>
      <c r="BC71" t="s">
        <v>74</v>
      </c>
      <c r="BD71" t="s">
        <v>1683</v>
      </c>
      <c r="BE71" t="s">
        <v>1684</v>
      </c>
      <c r="BF71" t="str">
        <f>HYPERLINK("http://dx.doi.org/10.1093/conphys/coz098","http://dx.doi.org/10.1093/conphys/coz098")</f>
        <v>http://dx.doi.org/10.1093/conphys/coz098</v>
      </c>
      <c r="BG71" t="s">
        <v>74</v>
      </c>
      <c r="BH71" t="s">
        <v>74</v>
      </c>
      <c r="BI71">
        <v>10</v>
      </c>
      <c r="BJ71" t="s">
        <v>1685</v>
      </c>
      <c r="BK71" t="s">
        <v>294</v>
      </c>
      <c r="BL71" t="s">
        <v>1686</v>
      </c>
      <c r="BM71" t="s">
        <v>1687</v>
      </c>
      <c r="BN71">
        <v>31890211</v>
      </c>
      <c r="BO71" t="s">
        <v>1688</v>
      </c>
      <c r="BP71" t="s">
        <v>74</v>
      </c>
      <c r="BQ71" t="s">
        <v>74</v>
      </c>
      <c r="BR71" t="s">
        <v>108</v>
      </c>
      <c r="BS71" t="s">
        <v>1689</v>
      </c>
      <c r="BT71" t="str">
        <f>HYPERLINK("https%3A%2F%2Fwww.webofscience.com%2Fwos%2Fwoscc%2Ffull-record%2FWOS:000522814100001","View Full Record in Web of Science")</f>
        <v>View Full Record in Web of Science</v>
      </c>
    </row>
    <row r="72" spans="1:72" x14ac:dyDescent="0.15">
      <c r="A72" t="s">
        <v>133</v>
      </c>
      <c r="B72" t="s">
        <v>1690</v>
      </c>
      <c r="C72" t="s">
        <v>74</v>
      </c>
      <c r="D72" t="s">
        <v>74</v>
      </c>
      <c r="E72" t="s">
        <v>74</v>
      </c>
      <c r="F72" t="s">
        <v>1691</v>
      </c>
      <c r="G72" t="s">
        <v>74</v>
      </c>
      <c r="H72" t="s">
        <v>74</v>
      </c>
      <c r="I72" t="s">
        <v>1692</v>
      </c>
      <c r="J72" t="s">
        <v>1693</v>
      </c>
      <c r="K72" t="s">
        <v>74</v>
      </c>
      <c r="L72" t="s">
        <v>74</v>
      </c>
      <c r="M72" t="s">
        <v>80</v>
      </c>
      <c r="N72" t="s">
        <v>138</v>
      </c>
      <c r="O72" t="s">
        <v>74</v>
      </c>
      <c r="P72" t="s">
        <v>74</v>
      </c>
      <c r="Q72" t="s">
        <v>74</v>
      </c>
      <c r="R72" t="s">
        <v>74</v>
      </c>
      <c r="S72" t="s">
        <v>74</v>
      </c>
      <c r="T72" t="s">
        <v>1694</v>
      </c>
      <c r="U72" t="s">
        <v>1695</v>
      </c>
      <c r="V72" t="s">
        <v>1696</v>
      </c>
      <c r="W72" t="s">
        <v>1697</v>
      </c>
      <c r="X72" t="s">
        <v>1698</v>
      </c>
      <c r="Y72" t="s">
        <v>1699</v>
      </c>
      <c r="Z72" t="s">
        <v>1700</v>
      </c>
      <c r="AA72" t="s">
        <v>1701</v>
      </c>
      <c r="AB72" t="s">
        <v>74</v>
      </c>
      <c r="AC72" t="s">
        <v>1702</v>
      </c>
      <c r="AD72" t="s">
        <v>1703</v>
      </c>
      <c r="AE72" t="s">
        <v>1704</v>
      </c>
      <c r="AF72" t="s">
        <v>74</v>
      </c>
      <c r="AG72">
        <v>58</v>
      </c>
      <c r="AH72">
        <v>4</v>
      </c>
      <c r="AI72">
        <v>4</v>
      </c>
      <c r="AJ72">
        <v>0</v>
      </c>
      <c r="AK72">
        <v>21</v>
      </c>
      <c r="AL72" t="s">
        <v>1705</v>
      </c>
      <c r="AM72" t="s">
        <v>1706</v>
      </c>
      <c r="AN72" t="s">
        <v>1707</v>
      </c>
      <c r="AO72" t="s">
        <v>1708</v>
      </c>
      <c r="AP72" t="s">
        <v>1709</v>
      </c>
      <c r="AQ72" t="s">
        <v>74</v>
      </c>
      <c r="AR72" t="s">
        <v>1710</v>
      </c>
      <c r="AS72" t="s">
        <v>1711</v>
      </c>
      <c r="AT72" t="s">
        <v>1527</v>
      </c>
      <c r="AU72">
        <v>2020</v>
      </c>
      <c r="AV72">
        <v>58</v>
      </c>
      <c r="AW72">
        <v>2</v>
      </c>
      <c r="AX72" t="s">
        <v>74</v>
      </c>
      <c r="AY72" t="s">
        <v>74</v>
      </c>
      <c r="AZ72" t="s">
        <v>74</v>
      </c>
      <c r="BA72" t="s">
        <v>74</v>
      </c>
      <c r="BB72">
        <v>131</v>
      </c>
      <c r="BC72">
        <v>141</v>
      </c>
      <c r="BD72" t="s">
        <v>74</v>
      </c>
      <c r="BE72" t="s">
        <v>1712</v>
      </c>
      <c r="BF72" t="str">
        <f>HYPERLINK("http://dx.doi.org/10.1007/s12275-020-9290-5","http://dx.doi.org/10.1007/s12275-020-9290-5")</f>
        <v>http://dx.doi.org/10.1007/s12275-020-9290-5</v>
      </c>
      <c r="BG72" t="s">
        <v>74</v>
      </c>
      <c r="BH72" t="s">
        <v>1272</v>
      </c>
      <c r="BI72">
        <v>11</v>
      </c>
      <c r="BJ72" t="s">
        <v>1713</v>
      </c>
      <c r="BK72" t="s">
        <v>294</v>
      </c>
      <c r="BL72" t="s">
        <v>1713</v>
      </c>
      <c r="BM72" t="s">
        <v>1714</v>
      </c>
      <c r="BN72">
        <v>31872373</v>
      </c>
      <c r="BO72" t="s">
        <v>74</v>
      </c>
      <c r="BP72" t="s">
        <v>74</v>
      </c>
      <c r="BQ72" t="s">
        <v>74</v>
      </c>
      <c r="BR72" t="s">
        <v>108</v>
      </c>
      <c r="BS72" t="s">
        <v>1715</v>
      </c>
      <c r="BT72" t="str">
        <f>HYPERLINK("https%3A%2F%2Fwww.webofscience.com%2Fwos%2Fwoscc%2Ffull-record%2FWOS:000504123600001","View Full Record in Web of Science")</f>
        <v>View Full Record in Web of Science</v>
      </c>
    </row>
    <row r="73" spans="1:72" x14ac:dyDescent="0.15">
      <c r="A73" t="s">
        <v>133</v>
      </c>
      <c r="B73" t="s">
        <v>1716</v>
      </c>
      <c r="C73" t="s">
        <v>74</v>
      </c>
      <c r="D73" t="s">
        <v>74</v>
      </c>
      <c r="E73" t="s">
        <v>74</v>
      </c>
      <c r="F73" t="s">
        <v>1717</v>
      </c>
      <c r="G73" t="s">
        <v>74</v>
      </c>
      <c r="H73" t="s">
        <v>74</v>
      </c>
      <c r="I73" t="s">
        <v>1718</v>
      </c>
      <c r="J73" t="s">
        <v>1719</v>
      </c>
      <c r="K73" t="s">
        <v>74</v>
      </c>
      <c r="L73" t="s">
        <v>74</v>
      </c>
      <c r="M73" t="s">
        <v>80</v>
      </c>
      <c r="N73" t="s">
        <v>138</v>
      </c>
      <c r="O73" t="s">
        <v>74</v>
      </c>
      <c r="P73" t="s">
        <v>74</v>
      </c>
      <c r="Q73" t="s">
        <v>74</v>
      </c>
      <c r="R73" t="s">
        <v>74</v>
      </c>
      <c r="S73" t="s">
        <v>74</v>
      </c>
      <c r="T73" t="s">
        <v>1720</v>
      </c>
      <c r="U73" t="s">
        <v>1721</v>
      </c>
      <c r="V73" t="s">
        <v>1722</v>
      </c>
      <c r="W73" t="s">
        <v>1723</v>
      </c>
      <c r="X73" t="s">
        <v>1724</v>
      </c>
      <c r="Y73" t="s">
        <v>1725</v>
      </c>
      <c r="Z73" t="s">
        <v>1726</v>
      </c>
      <c r="AA73" t="s">
        <v>1727</v>
      </c>
      <c r="AB73" t="s">
        <v>1728</v>
      </c>
      <c r="AC73" t="s">
        <v>74</v>
      </c>
      <c r="AD73" t="s">
        <v>74</v>
      </c>
      <c r="AE73" t="s">
        <v>74</v>
      </c>
      <c r="AF73" t="s">
        <v>74</v>
      </c>
      <c r="AG73">
        <v>79</v>
      </c>
      <c r="AH73">
        <v>31</v>
      </c>
      <c r="AI73">
        <v>32</v>
      </c>
      <c r="AJ73">
        <v>3</v>
      </c>
      <c r="AK73">
        <v>29</v>
      </c>
      <c r="AL73" t="s">
        <v>1729</v>
      </c>
      <c r="AM73" t="s">
        <v>1730</v>
      </c>
      <c r="AN73" t="s">
        <v>1731</v>
      </c>
      <c r="AO73" t="s">
        <v>1732</v>
      </c>
      <c r="AP73" t="s">
        <v>1733</v>
      </c>
      <c r="AQ73" t="s">
        <v>74</v>
      </c>
      <c r="AR73" t="s">
        <v>1734</v>
      </c>
      <c r="AS73" t="s">
        <v>1735</v>
      </c>
      <c r="AT73" t="s">
        <v>1682</v>
      </c>
      <c r="AU73">
        <v>2019</v>
      </c>
      <c r="AV73">
        <v>374</v>
      </c>
      <c r="AW73">
        <v>1788</v>
      </c>
      <c r="AX73" t="s">
        <v>74</v>
      </c>
      <c r="AY73" t="s">
        <v>74</v>
      </c>
      <c r="AZ73" t="s">
        <v>74</v>
      </c>
      <c r="BA73" t="s">
        <v>74</v>
      </c>
      <c r="BB73" t="s">
        <v>74</v>
      </c>
      <c r="BC73" t="s">
        <v>74</v>
      </c>
      <c r="BD73">
        <v>20190220</v>
      </c>
      <c r="BE73" t="s">
        <v>1736</v>
      </c>
      <c r="BF73" t="str">
        <f>HYPERLINK("http://dx.doi.org/10.1098/rstb.2019.0220","http://dx.doi.org/10.1098/rstb.2019.0220")</f>
        <v>http://dx.doi.org/10.1098/rstb.2019.0220</v>
      </c>
      <c r="BG73" t="s">
        <v>74</v>
      </c>
      <c r="BH73" t="s">
        <v>74</v>
      </c>
      <c r="BI73">
        <v>9</v>
      </c>
      <c r="BJ73" t="s">
        <v>1737</v>
      </c>
      <c r="BK73" t="s">
        <v>294</v>
      </c>
      <c r="BL73" t="s">
        <v>1738</v>
      </c>
      <c r="BM73" t="s">
        <v>1739</v>
      </c>
      <c r="BN73">
        <v>31679498</v>
      </c>
      <c r="BO73" t="s">
        <v>1740</v>
      </c>
      <c r="BP73" t="s">
        <v>74</v>
      </c>
      <c r="BQ73" t="s">
        <v>74</v>
      </c>
      <c r="BR73" t="s">
        <v>108</v>
      </c>
      <c r="BS73" t="s">
        <v>1741</v>
      </c>
      <c r="BT73" t="str">
        <f>HYPERLINK("https%3A%2F%2Fwww.webofscience.com%2Fwos%2Fwoscc%2Ffull-record%2FWOS:000506578700011","View Full Record in Web of Science")</f>
        <v>View Full Record in Web of Science</v>
      </c>
    </row>
    <row r="74" spans="1:72" x14ac:dyDescent="0.15">
      <c r="A74" t="s">
        <v>133</v>
      </c>
      <c r="B74" t="s">
        <v>1742</v>
      </c>
      <c r="C74" t="s">
        <v>74</v>
      </c>
      <c r="D74" t="s">
        <v>74</v>
      </c>
      <c r="E74" t="s">
        <v>74</v>
      </c>
      <c r="F74" t="s">
        <v>1743</v>
      </c>
      <c r="G74" t="s">
        <v>74</v>
      </c>
      <c r="H74" t="s">
        <v>74</v>
      </c>
      <c r="I74" t="s">
        <v>1744</v>
      </c>
      <c r="J74" t="s">
        <v>1745</v>
      </c>
      <c r="K74" t="s">
        <v>74</v>
      </c>
      <c r="L74" t="s">
        <v>74</v>
      </c>
      <c r="M74" t="s">
        <v>80</v>
      </c>
      <c r="N74" t="s">
        <v>138</v>
      </c>
      <c r="O74" t="s">
        <v>74</v>
      </c>
      <c r="P74" t="s">
        <v>74</v>
      </c>
      <c r="Q74" t="s">
        <v>74</v>
      </c>
      <c r="R74" t="s">
        <v>74</v>
      </c>
      <c r="S74" t="s">
        <v>74</v>
      </c>
      <c r="T74" t="s">
        <v>1746</v>
      </c>
      <c r="U74" t="s">
        <v>1747</v>
      </c>
      <c r="V74" t="s">
        <v>1748</v>
      </c>
      <c r="W74" t="s">
        <v>1749</v>
      </c>
      <c r="X74" t="s">
        <v>1750</v>
      </c>
      <c r="Y74" t="s">
        <v>1751</v>
      </c>
      <c r="Z74" t="s">
        <v>1752</v>
      </c>
      <c r="AA74" t="s">
        <v>1753</v>
      </c>
      <c r="AB74" t="s">
        <v>1754</v>
      </c>
      <c r="AC74" t="s">
        <v>1755</v>
      </c>
      <c r="AD74" t="s">
        <v>1756</v>
      </c>
      <c r="AE74" t="s">
        <v>1757</v>
      </c>
      <c r="AF74" t="s">
        <v>74</v>
      </c>
      <c r="AG74">
        <v>42</v>
      </c>
      <c r="AH74">
        <v>8</v>
      </c>
      <c r="AI74">
        <v>8</v>
      </c>
      <c r="AJ74">
        <v>2</v>
      </c>
      <c r="AK74">
        <v>15</v>
      </c>
      <c r="AL74" t="s">
        <v>1758</v>
      </c>
      <c r="AM74" t="s">
        <v>1759</v>
      </c>
      <c r="AN74" t="s">
        <v>1760</v>
      </c>
      <c r="AO74" t="s">
        <v>1761</v>
      </c>
      <c r="AP74" t="s">
        <v>1762</v>
      </c>
      <c r="AQ74" t="s">
        <v>74</v>
      </c>
      <c r="AR74" t="s">
        <v>1763</v>
      </c>
      <c r="AS74" t="s">
        <v>1764</v>
      </c>
      <c r="AT74" t="s">
        <v>1765</v>
      </c>
      <c r="AU74">
        <v>2021</v>
      </c>
      <c r="AV74">
        <v>101</v>
      </c>
      <c r="AW74">
        <v>15</v>
      </c>
      <c r="AX74" t="s">
        <v>74</v>
      </c>
      <c r="AY74" t="s">
        <v>74</v>
      </c>
      <c r="AZ74" t="s">
        <v>74</v>
      </c>
      <c r="BA74" t="s">
        <v>74</v>
      </c>
      <c r="BB74">
        <v>2654</v>
      </c>
      <c r="BC74">
        <v>2667</v>
      </c>
      <c r="BD74" t="s">
        <v>74</v>
      </c>
      <c r="BE74" t="s">
        <v>1766</v>
      </c>
      <c r="BF74" t="str">
        <f>HYPERLINK("http://dx.doi.org/10.1080/03067319.2019.1704750","http://dx.doi.org/10.1080/03067319.2019.1704750")</f>
        <v>http://dx.doi.org/10.1080/03067319.2019.1704750</v>
      </c>
      <c r="BG74" t="s">
        <v>74</v>
      </c>
      <c r="BH74" t="s">
        <v>1272</v>
      </c>
      <c r="BI74">
        <v>14</v>
      </c>
      <c r="BJ74" t="s">
        <v>1767</v>
      </c>
      <c r="BK74" t="s">
        <v>294</v>
      </c>
      <c r="BL74" t="s">
        <v>1768</v>
      </c>
      <c r="BM74" t="s">
        <v>1769</v>
      </c>
      <c r="BN74" t="s">
        <v>74</v>
      </c>
      <c r="BO74" t="s">
        <v>74</v>
      </c>
      <c r="BP74" t="s">
        <v>74</v>
      </c>
      <c r="BQ74" t="s">
        <v>74</v>
      </c>
      <c r="BR74" t="s">
        <v>108</v>
      </c>
      <c r="BS74" t="s">
        <v>1770</v>
      </c>
      <c r="BT74" t="str">
        <f>HYPERLINK("https%3A%2F%2Fwww.webofscience.com%2Fwos%2Fwoscc%2Ffull-record%2FWOS:000504533900001","View Full Record in Web of Science")</f>
        <v>View Full Record in Web of Science</v>
      </c>
    </row>
    <row r="75" spans="1:72" x14ac:dyDescent="0.15">
      <c r="A75" t="s">
        <v>133</v>
      </c>
      <c r="B75" t="s">
        <v>1771</v>
      </c>
      <c r="C75" t="s">
        <v>74</v>
      </c>
      <c r="D75" t="s">
        <v>74</v>
      </c>
      <c r="E75" t="s">
        <v>74</v>
      </c>
      <c r="F75" t="s">
        <v>1772</v>
      </c>
      <c r="G75" t="s">
        <v>74</v>
      </c>
      <c r="H75" t="s">
        <v>74</v>
      </c>
      <c r="I75" t="s">
        <v>1773</v>
      </c>
      <c r="J75" t="s">
        <v>1774</v>
      </c>
      <c r="K75" t="s">
        <v>74</v>
      </c>
      <c r="L75" t="s">
        <v>74</v>
      </c>
      <c r="M75" t="s">
        <v>80</v>
      </c>
      <c r="N75" t="s">
        <v>138</v>
      </c>
      <c r="O75" t="s">
        <v>74</v>
      </c>
      <c r="P75" t="s">
        <v>74</v>
      </c>
      <c r="Q75" t="s">
        <v>74</v>
      </c>
      <c r="R75" t="s">
        <v>74</v>
      </c>
      <c r="S75" t="s">
        <v>74</v>
      </c>
      <c r="T75" t="s">
        <v>74</v>
      </c>
      <c r="U75" t="s">
        <v>1775</v>
      </c>
      <c r="V75" t="s">
        <v>1776</v>
      </c>
      <c r="W75" t="s">
        <v>1777</v>
      </c>
      <c r="X75" t="s">
        <v>1778</v>
      </c>
      <c r="Y75" t="s">
        <v>1779</v>
      </c>
      <c r="Z75" t="s">
        <v>1780</v>
      </c>
      <c r="AA75" t="s">
        <v>1781</v>
      </c>
      <c r="AB75" t="s">
        <v>1782</v>
      </c>
      <c r="AC75" t="s">
        <v>1783</v>
      </c>
      <c r="AD75" t="s">
        <v>1784</v>
      </c>
      <c r="AE75" t="s">
        <v>1785</v>
      </c>
      <c r="AF75" t="s">
        <v>74</v>
      </c>
      <c r="AG75">
        <v>148</v>
      </c>
      <c r="AH75">
        <v>415</v>
      </c>
      <c r="AI75">
        <v>433</v>
      </c>
      <c r="AJ75">
        <v>18</v>
      </c>
      <c r="AK75">
        <v>107</v>
      </c>
      <c r="AL75" t="s">
        <v>1264</v>
      </c>
      <c r="AM75" t="s">
        <v>1265</v>
      </c>
      <c r="AN75" t="s">
        <v>1266</v>
      </c>
      <c r="AO75" t="s">
        <v>74</v>
      </c>
      <c r="AP75" t="s">
        <v>1786</v>
      </c>
      <c r="AQ75" t="s">
        <v>74</v>
      </c>
      <c r="AR75" t="s">
        <v>1787</v>
      </c>
      <c r="AS75" t="s">
        <v>1788</v>
      </c>
      <c r="AT75" t="s">
        <v>1270</v>
      </c>
      <c r="AU75">
        <v>2019</v>
      </c>
      <c r="AV75">
        <v>11</v>
      </c>
      <c r="AW75">
        <v>12</v>
      </c>
      <c r="AX75" t="s">
        <v>74</v>
      </c>
      <c r="AY75" t="s">
        <v>74</v>
      </c>
      <c r="AZ75" t="s">
        <v>74</v>
      </c>
      <c r="BA75" t="s">
        <v>74</v>
      </c>
      <c r="BB75">
        <v>4513</v>
      </c>
      <c r="BC75">
        <v>4558</v>
      </c>
      <c r="BD75" t="s">
        <v>74</v>
      </c>
      <c r="BE75" t="s">
        <v>1789</v>
      </c>
      <c r="BF75" t="str">
        <f>HYPERLINK("http://dx.doi.org/10.1029/2019MS001739","http://dx.doi.org/10.1029/2019MS001739")</f>
        <v>http://dx.doi.org/10.1029/2019MS001739</v>
      </c>
      <c r="BG75" t="s">
        <v>74</v>
      </c>
      <c r="BH75" t="s">
        <v>1272</v>
      </c>
      <c r="BI75">
        <v>46</v>
      </c>
      <c r="BJ75" t="s">
        <v>1024</v>
      </c>
      <c r="BK75" t="s">
        <v>294</v>
      </c>
      <c r="BL75" t="s">
        <v>1024</v>
      </c>
      <c r="BM75" t="s">
        <v>1790</v>
      </c>
      <c r="BN75" t="s">
        <v>74</v>
      </c>
      <c r="BO75" t="s">
        <v>1791</v>
      </c>
      <c r="BP75" t="s">
        <v>560</v>
      </c>
      <c r="BQ75" t="s">
        <v>561</v>
      </c>
      <c r="BR75" t="s">
        <v>108</v>
      </c>
      <c r="BS75" t="s">
        <v>1792</v>
      </c>
      <c r="BT75" t="str">
        <f>HYPERLINK("https%3A%2F%2Fwww.webofscience.com%2Fwos%2Fwoscc%2Ffull-record%2FWOS:000503692600001","View Full Record in Web of Science")</f>
        <v>View Full Record in Web of Science</v>
      </c>
    </row>
    <row r="76" spans="1:72" x14ac:dyDescent="0.15">
      <c r="A76" t="s">
        <v>133</v>
      </c>
      <c r="B76" t="s">
        <v>1793</v>
      </c>
      <c r="C76" t="s">
        <v>74</v>
      </c>
      <c r="D76" t="s">
        <v>74</v>
      </c>
      <c r="E76" t="s">
        <v>74</v>
      </c>
      <c r="F76" t="s">
        <v>1794</v>
      </c>
      <c r="G76" t="s">
        <v>74</v>
      </c>
      <c r="H76" t="s">
        <v>74</v>
      </c>
      <c r="I76" t="s">
        <v>1795</v>
      </c>
      <c r="J76" t="s">
        <v>1796</v>
      </c>
      <c r="K76" t="s">
        <v>74</v>
      </c>
      <c r="L76" t="s">
        <v>74</v>
      </c>
      <c r="M76" t="s">
        <v>80</v>
      </c>
      <c r="N76" t="s">
        <v>138</v>
      </c>
      <c r="O76" t="s">
        <v>74</v>
      </c>
      <c r="P76" t="s">
        <v>74</v>
      </c>
      <c r="Q76" t="s">
        <v>74</v>
      </c>
      <c r="R76" t="s">
        <v>74</v>
      </c>
      <c r="S76" t="s">
        <v>74</v>
      </c>
      <c r="T76" t="s">
        <v>74</v>
      </c>
      <c r="U76" t="s">
        <v>1797</v>
      </c>
      <c r="V76" t="s">
        <v>1798</v>
      </c>
      <c r="W76" t="s">
        <v>1799</v>
      </c>
      <c r="X76" t="s">
        <v>1800</v>
      </c>
      <c r="Y76" t="s">
        <v>1801</v>
      </c>
      <c r="Z76" t="s">
        <v>1802</v>
      </c>
      <c r="AA76" t="s">
        <v>1803</v>
      </c>
      <c r="AB76" t="s">
        <v>1804</v>
      </c>
      <c r="AC76" t="s">
        <v>1805</v>
      </c>
      <c r="AD76" t="s">
        <v>1806</v>
      </c>
      <c r="AE76" t="s">
        <v>1807</v>
      </c>
      <c r="AF76" t="s">
        <v>74</v>
      </c>
      <c r="AG76">
        <v>95</v>
      </c>
      <c r="AH76">
        <v>43</v>
      </c>
      <c r="AI76">
        <v>48</v>
      </c>
      <c r="AJ76">
        <v>3</v>
      </c>
      <c r="AK76">
        <v>18</v>
      </c>
      <c r="AL76" t="s">
        <v>429</v>
      </c>
      <c r="AM76" t="s">
        <v>430</v>
      </c>
      <c r="AN76" t="s">
        <v>431</v>
      </c>
      <c r="AO76" t="s">
        <v>1808</v>
      </c>
      <c r="AP76" t="s">
        <v>1809</v>
      </c>
      <c r="AQ76" t="s">
        <v>74</v>
      </c>
      <c r="AR76" t="s">
        <v>1810</v>
      </c>
      <c r="AS76" t="s">
        <v>1811</v>
      </c>
      <c r="AT76" t="s">
        <v>1324</v>
      </c>
      <c r="AU76">
        <v>2020</v>
      </c>
      <c r="AV76">
        <v>65</v>
      </c>
      <c r="AW76">
        <v>6</v>
      </c>
      <c r="AX76" t="s">
        <v>74</v>
      </c>
      <c r="AY76" t="s">
        <v>74</v>
      </c>
      <c r="AZ76" t="s">
        <v>74</v>
      </c>
      <c r="BA76" t="s">
        <v>74</v>
      </c>
      <c r="BB76">
        <v>1264</v>
      </c>
      <c r="BC76">
        <v>1285</v>
      </c>
      <c r="BD76" t="s">
        <v>74</v>
      </c>
      <c r="BE76" t="s">
        <v>1812</v>
      </c>
      <c r="BF76" t="str">
        <f>HYPERLINK("http://dx.doi.org/10.1002/lno.11388","http://dx.doi.org/10.1002/lno.11388")</f>
        <v>http://dx.doi.org/10.1002/lno.11388</v>
      </c>
      <c r="BG76" t="s">
        <v>74</v>
      </c>
      <c r="BH76" t="s">
        <v>1272</v>
      </c>
      <c r="BI76">
        <v>22</v>
      </c>
      <c r="BJ76" t="s">
        <v>1813</v>
      </c>
      <c r="BK76" t="s">
        <v>294</v>
      </c>
      <c r="BL76" t="s">
        <v>1814</v>
      </c>
      <c r="BM76" t="s">
        <v>1815</v>
      </c>
      <c r="BN76" t="s">
        <v>74</v>
      </c>
      <c r="BO76" t="s">
        <v>588</v>
      </c>
      <c r="BP76" t="s">
        <v>74</v>
      </c>
      <c r="BQ76" t="s">
        <v>74</v>
      </c>
      <c r="BR76" t="s">
        <v>108</v>
      </c>
      <c r="BS76" t="s">
        <v>1816</v>
      </c>
      <c r="BT76" t="str">
        <f>HYPERLINK("https%3A%2F%2Fwww.webofscience.com%2Fwos%2Fwoscc%2Ffull-record%2FWOS:000503600700001","View Full Record in Web of Science")</f>
        <v>View Full Record in Web of Science</v>
      </c>
    </row>
    <row r="77" spans="1:72" x14ac:dyDescent="0.15">
      <c r="A77" t="s">
        <v>133</v>
      </c>
      <c r="B77" t="s">
        <v>1817</v>
      </c>
      <c r="C77" t="s">
        <v>74</v>
      </c>
      <c r="D77" t="s">
        <v>74</v>
      </c>
      <c r="E77" t="s">
        <v>74</v>
      </c>
      <c r="F77" t="s">
        <v>1818</v>
      </c>
      <c r="G77" t="s">
        <v>74</v>
      </c>
      <c r="H77" t="s">
        <v>74</v>
      </c>
      <c r="I77" t="s">
        <v>1819</v>
      </c>
      <c r="J77" t="s">
        <v>1820</v>
      </c>
      <c r="K77" t="s">
        <v>74</v>
      </c>
      <c r="L77" t="s">
        <v>74</v>
      </c>
      <c r="M77" t="s">
        <v>80</v>
      </c>
      <c r="N77" t="s">
        <v>138</v>
      </c>
      <c r="O77" t="s">
        <v>74</v>
      </c>
      <c r="P77" t="s">
        <v>74</v>
      </c>
      <c r="Q77" t="s">
        <v>74</v>
      </c>
      <c r="R77" t="s">
        <v>74</v>
      </c>
      <c r="S77" t="s">
        <v>74</v>
      </c>
      <c r="T77" t="s">
        <v>1821</v>
      </c>
      <c r="U77" t="s">
        <v>1822</v>
      </c>
      <c r="V77" t="s">
        <v>1823</v>
      </c>
      <c r="W77" t="s">
        <v>1824</v>
      </c>
      <c r="X77" t="s">
        <v>1825</v>
      </c>
      <c r="Y77" t="s">
        <v>1826</v>
      </c>
      <c r="Z77" t="s">
        <v>1827</v>
      </c>
      <c r="AA77" t="s">
        <v>1828</v>
      </c>
      <c r="AB77" t="s">
        <v>1829</v>
      </c>
      <c r="AC77" t="s">
        <v>1830</v>
      </c>
      <c r="AD77" t="s">
        <v>1831</v>
      </c>
      <c r="AE77" t="s">
        <v>1832</v>
      </c>
      <c r="AF77" t="s">
        <v>74</v>
      </c>
      <c r="AG77">
        <v>52</v>
      </c>
      <c r="AH77">
        <v>3</v>
      </c>
      <c r="AI77">
        <v>3</v>
      </c>
      <c r="AJ77">
        <v>2</v>
      </c>
      <c r="AK77">
        <v>7</v>
      </c>
      <c r="AL77" t="s">
        <v>1833</v>
      </c>
      <c r="AM77" t="s">
        <v>1834</v>
      </c>
      <c r="AN77" t="s">
        <v>1835</v>
      </c>
      <c r="AO77" t="s">
        <v>1836</v>
      </c>
      <c r="AP77" t="s">
        <v>1837</v>
      </c>
      <c r="AQ77" t="s">
        <v>74</v>
      </c>
      <c r="AR77" t="s">
        <v>1838</v>
      </c>
      <c r="AS77" t="s">
        <v>1839</v>
      </c>
      <c r="AT77" t="s">
        <v>1840</v>
      </c>
      <c r="AU77">
        <v>2019</v>
      </c>
      <c r="AV77">
        <v>129</v>
      </c>
      <c r="AW77">
        <v>1</v>
      </c>
      <c r="AX77" t="s">
        <v>74</v>
      </c>
      <c r="AY77" t="s">
        <v>74</v>
      </c>
      <c r="AZ77" t="s">
        <v>74</v>
      </c>
      <c r="BA77" t="s">
        <v>74</v>
      </c>
      <c r="BB77" t="s">
        <v>74</v>
      </c>
      <c r="BC77" t="s">
        <v>74</v>
      </c>
      <c r="BD77">
        <v>19</v>
      </c>
      <c r="BE77" t="s">
        <v>1841</v>
      </c>
      <c r="BF77" t="str">
        <f>HYPERLINK("http://dx.doi.org/10.1007/s12040-019-1274-7","http://dx.doi.org/10.1007/s12040-019-1274-7")</f>
        <v>http://dx.doi.org/10.1007/s12040-019-1274-7</v>
      </c>
      <c r="BG77" t="s">
        <v>74</v>
      </c>
      <c r="BH77" t="s">
        <v>74</v>
      </c>
      <c r="BI77">
        <v>11</v>
      </c>
      <c r="BJ77" t="s">
        <v>1842</v>
      </c>
      <c r="BK77" t="s">
        <v>294</v>
      </c>
      <c r="BL77" t="s">
        <v>1843</v>
      </c>
      <c r="BM77" t="s">
        <v>1844</v>
      </c>
      <c r="BN77" t="s">
        <v>74</v>
      </c>
      <c r="BO77" t="s">
        <v>74</v>
      </c>
      <c r="BP77" t="s">
        <v>74</v>
      </c>
      <c r="BQ77" t="s">
        <v>74</v>
      </c>
      <c r="BR77" t="s">
        <v>108</v>
      </c>
      <c r="BS77" t="s">
        <v>1845</v>
      </c>
      <c r="BT77" t="str">
        <f>HYPERLINK("https%3A%2F%2Fwww.webofscience.com%2Fwos%2Fwoscc%2Ffull-record%2FWOS:000514631000020","View Full Record in Web of Science")</f>
        <v>View Full Record in Web of Science</v>
      </c>
    </row>
    <row r="78" spans="1:72" x14ac:dyDescent="0.15">
      <c r="A78" t="s">
        <v>133</v>
      </c>
      <c r="B78" t="s">
        <v>1846</v>
      </c>
      <c r="C78" t="s">
        <v>74</v>
      </c>
      <c r="D78" t="s">
        <v>74</v>
      </c>
      <c r="E78" t="s">
        <v>74</v>
      </c>
      <c r="F78" t="s">
        <v>1847</v>
      </c>
      <c r="G78" t="s">
        <v>74</v>
      </c>
      <c r="H78" t="s">
        <v>74</v>
      </c>
      <c r="I78" t="s">
        <v>1848</v>
      </c>
      <c r="J78" t="s">
        <v>1849</v>
      </c>
      <c r="K78" t="s">
        <v>74</v>
      </c>
      <c r="L78" t="s">
        <v>74</v>
      </c>
      <c r="M78" t="s">
        <v>80</v>
      </c>
      <c r="N78" t="s">
        <v>138</v>
      </c>
      <c r="O78" t="s">
        <v>74</v>
      </c>
      <c r="P78" t="s">
        <v>74</v>
      </c>
      <c r="Q78" t="s">
        <v>74</v>
      </c>
      <c r="R78" t="s">
        <v>74</v>
      </c>
      <c r="S78" t="s">
        <v>74</v>
      </c>
      <c r="T78" t="s">
        <v>1850</v>
      </c>
      <c r="U78" t="s">
        <v>1851</v>
      </c>
      <c r="V78" t="s">
        <v>1852</v>
      </c>
      <c r="W78" t="s">
        <v>1853</v>
      </c>
      <c r="X78" t="s">
        <v>1854</v>
      </c>
      <c r="Y78" t="s">
        <v>1855</v>
      </c>
      <c r="Z78" t="s">
        <v>1856</v>
      </c>
      <c r="AA78" t="s">
        <v>1857</v>
      </c>
      <c r="AB78" t="s">
        <v>1858</v>
      </c>
      <c r="AC78" t="s">
        <v>1859</v>
      </c>
      <c r="AD78" t="s">
        <v>1860</v>
      </c>
      <c r="AE78" t="s">
        <v>1861</v>
      </c>
      <c r="AF78" t="s">
        <v>74</v>
      </c>
      <c r="AG78">
        <v>45</v>
      </c>
      <c r="AH78">
        <v>3</v>
      </c>
      <c r="AI78">
        <v>3</v>
      </c>
      <c r="AJ78">
        <v>1</v>
      </c>
      <c r="AK78">
        <v>17</v>
      </c>
      <c r="AL78" t="s">
        <v>1862</v>
      </c>
      <c r="AM78" t="s">
        <v>1730</v>
      </c>
      <c r="AN78" t="s">
        <v>1863</v>
      </c>
      <c r="AO78" t="s">
        <v>1864</v>
      </c>
      <c r="AP78" t="s">
        <v>1865</v>
      </c>
      <c r="AQ78" t="s">
        <v>74</v>
      </c>
      <c r="AR78" t="s">
        <v>1866</v>
      </c>
      <c r="AS78" t="s">
        <v>1867</v>
      </c>
      <c r="AT78" t="s">
        <v>1527</v>
      </c>
      <c r="AU78">
        <v>2020</v>
      </c>
      <c r="AV78">
        <v>62</v>
      </c>
      <c r="AW78">
        <v>2</v>
      </c>
      <c r="AX78" t="s">
        <v>74</v>
      </c>
      <c r="AY78" t="s">
        <v>74</v>
      </c>
      <c r="AZ78" t="s">
        <v>74</v>
      </c>
      <c r="BA78" t="s">
        <v>74</v>
      </c>
      <c r="BB78">
        <v>91</v>
      </c>
      <c r="BC78">
        <v>103</v>
      </c>
      <c r="BD78" t="s">
        <v>74</v>
      </c>
      <c r="BE78" t="s">
        <v>1868</v>
      </c>
      <c r="BF78" t="str">
        <f>HYPERLINK("http://dx.doi.org/10.1007/s12033-019-00225-y","http://dx.doi.org/10.1007/s12033-019-00225-y")</f>
        <v>http://dx.doi.org/10.1007/s12033-019-00225-y</v>
      </c>
      <c r="BG78" t="s">
        <v>74</v>
      </c>
      <c r="BH78" t="s">
        <v>1272</v>
      </c>
      <c r="BI78">
        <v>13</v>
      </c>
      <c r="BJ78" t="s">
        <v>1660</v>
      </c>
      <c r="BK78" t="s">
        <v>294</v>
      </c>
      <c r="BL78" t="s">
        <v>1660</v>
      </c>
      <c r="BM78" t="s">
        <v>1869</v>
      </c>
      <c r="BN78">
        <v>31863411</v>
      </c>
      <c r="BO78" t="s">
        <v>74</v>
      </c>
      <c r="BP78" t="s">
        <v>74</v>
      </c>
      <c r="BQ78" t="s">
        <v>74</v>
      </c>
      <c r="BR78" t="s">
        <v>108</v>
      </c>
      <c r="BS78" t="s">
        <v>1870</v>
      </c>
      <c r="BT78" t="str">
        <f>HYPERLINK("https%3A%2F%2Fwww.webofscience.com%2Fwos%2Fwoscc%2Ffull-record%2FWOS:000507077500001","View Full Record in Web of Science")</f>
        <v>View Full Record in Web of Science</v>
      </c>
    </row>
    <row r="79" spans="1:72" x14ac:dyDescent="0.15">
      <c r="A79" t="s">
        <v>133</v>
      </c>
      <c r="B79" t="s">
        <v>1871</v>
      </c>
      <c r="C79" t="s">
        <v>74</v>
      </c>
      <c r="D79" t="s">
        <v>74</v>
      </c>
      <c r="E79" t="s">
        <v>74</v>
      </c>
      <c r="F79" t="s">
        <v>1872</v>
      </c>
      <c r="G79" t="s">
        <v>74</v>
      </c>
      <c r="H79" t="s">
        <v>74</v>
      </c>
      <c r="I79" t="s">
        <v>1873</v>
      </c>
      <c r="J79" t="s">
        <v>1359</v>
      </c>
      <c r="K79" t="s">
        <v>74</v>
      </c>
      <c r="L79" t="s">
        <v>74</v>
      </c>
      <c r="M79" t="s">
        <v>80</v>
      </c>
      <c r="N79" t="s">
        <v>138</v>
      </c>
      <c r="O79" t="s">
        <v>74</v>
      </c>
      <c r="P79" t="s">
        <v>74</v>
      </c>
      <c r="Q79" t="s">
        <v>74</v>
      </c>
      <c r="R79" t="s">
        <v>74</v>
      </c>
      <c r="S79" t="s">
        <v>74</v>
      </c>
      <c r="T79" t="s">
        <v>1874</v>
      </c>
      <c r="U79" t="s">
        <v>1875</v>
      </c>
      <c r="V79" t="s">
        <v>1876</v>
      </c>
      <c r="W79" t="s">
        <v>1877</v>
      </c>
      <c r="X79" t="s">
        <v>1878</v>
      </c>
      <c r="Y79" t="s">
        <v>1879</v>
      </c>
      <c r="Z79" t="s">
        <v>1880</v>
      </c>
      <c r="AA79" t="s">
        <v>74</v>
      </c>
      <c r="AB79" t="s">
        <v>74</v>
      </c>
      <c r="AC79" t="s">
        <v>1881</v>
      </c>
      <c r="AD79" t="s">
        <v>1882</v>
      </c>
      <c r="AE79" t="s">
        <v>1883</v>
      </c>
      <c r="AF79" t="s">
        <v>74</v>
      </c>
      <c r="AG79">
        <v>29</v>
      </c>
      <c r="AH79">
        <v>4</v>
      </c>
      <c r="AI79">
        <v>4</v>
      </c>
      <c r="AJ79">
        <v>2</v>
      </c>
      <c r="AK79">
        <v>32</v>
      </c>
      <c r="AL79" t="s">
        <v>1372</v>
      </c>
      <c r="AM79" t="s">
        <v>1373</v>
      </c>
      <c r="AN79" t="s">
        <v>1374</v>
      </c>
      <c r="AO79" t="s">
        <v>1375</v>
      </c>
      <c r="AP79" t="s">
        <v>1376</v>
      </c>
      <c r="AQ79" t="s">
        <v>74</v>
      </c>
      <c r="AR79" t="s">
        <v>1377</v>
      </c>
      <c r="AS79" t="s">
        <v>1378</v>
      </c>
      <c r="AT79" t="s">
        <v>1840</v>
      </c>
      <c r="AU79">
        <v>2019</v>
      </c>
      <c r="AV79">
        <v>38</v>
      </c>
      <c r="AW79" t="s">
        <v>74</v>
      </c>
      <c r="AX79" t="s">
        <v>74</v>
      </c>
      <c r="AY79" t="s">
        <v>74</v>
      </c>
      <c r="AZ79" t="s">
        <v>74</v>
      </c>
      <c r="BA79" t="s">
        <v>74</v>
      </c>
      <c r="BB79" t="s">
        <v>74</v>
      </c>
      <c r="BC79" t="s">
        <v>74</v>
      </c>
      <c r="BD79">
        <v>3432</v>
      </c>
      <c r="BE79" t="s">
        <v>1884</v>
      </c>
      <c r="BF79" t="str">
        <f>HYPERLINK("http://dx.doi.org/10.33265/polar.v38.3432","http://dx.doi.org/10.33265/polar.v38.3432")</f>
        <v>http://dx.doi.org/10.33265/polar.v38.3432</v>
      </c>
      <c r="BG79" t="s">
        <v>74</v>
      </c>
      <c r="BH79" t="s">
        <v>74</v>
      </c>
      <c r="BI79">
        <v>14</v>
      </c>
      <c r="BJ79" t="s">
        <v>1381</v>
      </c>
      <c r="BK79" t="s">
        <v>294</v>
      </c>
      <c r="BL79" t="s">
        <v>1382</v>
      </c>
      <c r="BM79" t="s">
        <v>1885</v>
      </c>
      <c r="BN79" t="s">
        <v>74</v>
      </c>
      <c r="BO79" t="s">
        <v>107</v>
      </c>
      <c r="BP79" t="s">
        <v>74</v>
      </c>
      <c r="BQ79" t="s">
        <v>74</v>
      </c>
      <c r="BR79" t="s">
        <v>108</v>
      </c>
      <c r="BS79" t="s">
        <v>1886</v>
      </c>
      <c r="BT79" t="str">
        <f>HYPERLINK("https%3A%2F%2Fwww.webofscience.com%2Fwos%2Fwoscc%2Ffull-record%2FWOS:000505180600001","View Full Record in Web of Science")</f>
        <v>View Full Record in Web of Science</v>
      </c>
    </row>
    <row r="80" spans="1:72" x14ac:dyDescent="0.15">
      <c r="A80" t="s">
        <v>133</v>
      </c>
      <c r="B80" t="s">
        <v>1887</v>
      </c>
      <c r="C80" t="s">
        <v>74</v>
      </c>
      <c r="D80" t="s">
        <v>74</v>
      </c>
      <c r="E80" t="s">
        <v>74</v>
      </c>
      <c r="F80" t="s">
        <v>1888</v>
      </c>
      <c r="G80" t="s">
        <v>74</v>
      </c>
      <c r="H80" t="s">
        <v>74</v>
      </c>
      <c r="I80" t="s">
        <v>1889</v>
      </c>
      <c r="J80" t="s">
        <v>1890</v>
      </c>
      <c r="K80" t="s">
        <v>74</v>
      </c>
      <c r="L80" t="s">
        <v>74</v>
      </c>
      <c r="M80" t="s">
        <v>80</v>
      </c>
      <c r="N80" t="s">
        <v>1891</v>
      </c>
      <c r="O80" t="s">
        <v>74</v>
      </c>
      <c r="P80" t="s">
        <v>74</v>
      </c>
      <c r="Q80" t="s">
        <v>74</v>
      </c>
      <c r="R80" t="s">
        <v>74</v>
      </c>
      <c r="S80" t="s">
        <v>74</v>
      </c>
      <c r="T80" t="s">
        <v>74</v>
      </c>
      <c r="U80" t="s">
        <v>74</v>
      </c>
      <c r="V80" t="s">
        <v>74</v>
      </c>
      <c r="W80" t="s">
        <v>74</v>
      </c>
      <c r="X80" t="s">
        <v>74</v>
      </c>
      <c r="Y80" t="s">
        <v>74</v>
      </c>
      <c r="Z80" t="s">
        <v>74</v>
      </c>
      <c r="AA80" t="s">
        <v>74</v>
      </c>
      <c r="AB80" t="s">
        <v>74</v>
      </c>
      <c r="AC80" t="s">
        <v>74</v>
      </c>
      <c r="AD80" t="s">
        <v>74</v>
      </c>
      <c r="AE80" t="s">
        <v>74</v>
      </c>
      <c r="AF80" t="s">
        <v>74</v>
      </c>
      <c r="AG80">
        <v>0</v>
      </c>
      <c r="AH80">
        <v>0</v>
      </c>
      <c r="AI80">
        <v>0</v>
      </c>
      <c r="AJ80">
        <v>0</v>
      </c>
      <c r="AK80">
        <v>4</v>
      </c>
      <c r="AL80" t="s">
        <v>1892</v>
      </c>
      <c r="AM80" t="s">
        <v>1265</v>
      </c>
      <c r="AN80" t="s">
        <v>1893</v>
      </c>
      <c r="AO80" t="s">
        <v>1894</v>
      </c>
      <c r="AP80" t="s">
        <v>1895</v>
      </c>
      <c r="AQ80" t="s">
        <v>74</v>
      </c>
      <c r="AR80" t="s">
        <v>1890</v>
      </c>
      <c r="AS80" t="s">
        <v>1896</v>
      </c>
      <c r="AT80" t="s">
        <v>1840</v>
      </c>
      <c r="AU80">
        <v>2019</v>
      </c>
      <c r="AV80">
        <v>366</v>
      </c>
      <c r="AW80">
        <v>6472</v>
      </c>
      <c r="AX80" t="s">
        <v>74</v>
      </c>
      <c r="AY80" t="s">
        <v>74</v>
      </c>
      <c r="AZ80" t="s">
        <v>555</v>
      </c>
      <c r="BA80" t="s">
        <v>74</v>
      </c>
      <c r="BB80">
        <v>1424</v>
      </c>
      <c r="BC80">
        <v>1424</v>
      </c>
      <c r="BD80" t="s">
        <v>74</v>
      </c>
      <c r="BE80" t="s">
        <v>74</v>
      </c>
      <c r="BF80" t="s">
        <v>74</v>
      </c>
      <c r="BG80" t="s">
        <v>74</v>
      </c>
      <c r="BH80" t="s">
        <v>74</v>
      </c>
      <c r="BI80">
        <v>1</v>
      </c>
      <c r="BJ80" t="s">
        <v>1245</v>
      </c>
      <c r="BK80" t="s">
        <v>294</v>
      </c>
      <c r="BL80" t="s">
        <v>1246</v>
      </c>
      <c r="BM80" t="s">
        <v>1897</v>
      </c>
      <c r="BN80" t="s">
        <v>74</v>
      </c>
      <c r="BO80" t="s">
        <v>74</v>
      </c>
      <c r="BP80" t="s">
        <v>74</v>
      </c>
      <c r="BQ80" t="s">
        <v>74</v>
      </c>
      <c r="BR80" t="s">
        <v>108</v>
      </c>
      <c r="BS80" t="s">
        <v>1898</v>
      </c>
      <c r="BT80" t="str">
        <f>HYPERLINK("https%3A%2F%2Fwww.webofscience.com%2Fwos%2Fwoscc%2Ffull-record%2FWOS:000503861000063","View Full Record in Web of Science")</f>
        <v>View Full Record in Web of Science</v>
      </c>
    </row>
    <row r="81" spans="1:72" x14ac:dyDescent="0.15">
      <c r="A81" t="s">
        <v>133</v>
      </c>
      <c r="B81" t="s">
        <v>1899</v>
      </c>
      <c r="C81" t="s">
        <v>74</v>
      </c>
      <c r="D81" t="s">
        <v>74</v>
      </c>
      <c r="E81" t="s">
        <v>74</v>
      </c>
      <c r="F81" t="s">
        <v>1900</v>
      </c>
      <c r="G81" t="s">
        <v>74</v>
      </c>
      <c r="H81" t="s">
        <v>74</v>
      </c>
      <c r="I81" t="s">
        <v>1901</v>
      </c>
      <c r="J81" t="s">
        <v>1902</v>
      </c>
      <c r="K81" t="s">
        <v>74</v>
      </c>
      <c r="L81" t="s">
        <v>74</v>
      </c>
      <c r="M81" t="s">
        <v>80</v>
      </c>
      <c r="N81" t="s">
        <v>138</v>
      </c>
      <c r="O81" t="s">
        <v>74</v>
      </c>
      <c r="P81" t="s">
        <v>74</v>
      </c>
      <c r="Q81" t="s">
        <v>74</v>
      </c>
      <c r="R81" t="s">
        <v>74</v>
      </c>
      <c r="S81" t="s">
        <v>74</v>
      </c>
      <c r="T81" t="s">
        <v>1903</v>
      </c>
      <c r="U81" t="s">
        <v>1904</v>
      </c>
      <c r="V81" t="s">
        <v>1905</v>
      </c>
      <c r="W81" t="s">
        <v>1906</v>
      </c>
      <c r="X81" t="s">
        <v>1907</v>
      </c>
      <c r="Y81" t="s">
        <v>1908</v>
      </c>
      <c r="Z81" t="s">
        <v>1909</v>
      </c>
      <c r="AA81" t="s">
        <v>1910</v>
      </c>
      <c r="AB81" t="s">
        <v>1911</v>
      </c>
      <c r="AC81" t="s">
        <v>1912</v>
      </c>
      <c r="AD81" t="s">
        <v>1913</v>
      </c>
      <c r="AE81" t="s">
        <v>1914</v>
      </c>
      <c r="AF81" t="s">
        <v>74</v>
      </c>
      <c r="AG81">
        <v>74</v>
      </c>
      <c r="AH81">
        <v>43</v>
      </c>
      <c r="AI81">
        <v>44</v>
      </c>
      <c r="AJ81">
        <v>0</v>
      </c>
      <c r="AK81">
        <v>15</v>
      </c>
      <c r="AL81" t="s">
        <v>1915</v>
      </c>
      <c r="AM81" t="s">
        <v>1916</v>
      </c>
      <c r="AN81" t="s">
        <v>1917</v>
      </c>
      <c r="AO81" t="s">
        <v>1918</v>
      </c>
      <c r="AP81" t="s">
        <v>1919</v>
      </c>
      <c r="AQ81" t="s">
        <v>74</v>
      </c>
      <c r="AR81" t="s">
        <v>1902</v>
      </c>
      <c r="AS81" t="s">
        <v>1920</v>
      </c>
      <c r="AT81" t="s">
        <v>1298</v>
      </c>
      <c r="AU81">
        <v>2020</v>
      </c>
      <c r="AV81">
        <v>24</v>
      </c>
      <c r="AW81">
        <v>2</v>
      </c>
      <c r="AX81" t="s">
        <v>74</v>
      </c>
      <c r="AY81" t="s">
        <v>74</v>
      </c>
      <c r="AZ81" t="s">
        <v>74</v>
      </c>
      <c r="BA81" t="s">
        <v>74</v>
      </c>
      <c r="BB81">
        <v>277</v>
      </c>
      <c r="BC81">
        <v>291</v>
      </c>
      <c r="BD81" t="s">
        <v>74</v>
      </c>
      <c r="BE81" t="s">
        <v>1921</v>
      </c>
      <c r="BF81" t="str">
        <f>HYPERLINK("http://dx.doi.org/10.1007/s00792-019-01153-0","http://dx.doi.org/10.1007/s00792-019-01153-0")</f>
        <v>http://dx.doi.org/10.1007/s00792-019-01153-0</v>
      </c>
      <c r="BG81" t="s">
        <v>74</v>
      </c>
      <c r="BH81" t="s">
        <v>1272</v>
      </c>
      <c r="BI81">
        <v>15</v>
      </c>
      <c r="BJ81" t="s">
        <v>1922</v>
      </c>
      <c r="BK81" t="s">
        <v>294</v>
      </c>
      <c r="BL81" t="s">
        <v>1922</v>
      </c>
      <c r="BM81" t="s">
        <v>1923</v>
      </c>
      <c r="BN81">
        <v>31863235</v>
      </c>
      <c r="BO81" t="s">
        <v>74</v>
      </c>
      <c r="BP81" t="s">
        <v>74</v>
      </c>
      <c r="BQ81" t="s">
        <v>74</v>
      </c>
      <c r="BR81" t="s">
        <v>108</v>
      </c>
      <c r="BS81" t="s">
        <v>1924</v>
      </c>
      <c r="BT81" t="str">
        <f>HYPERLINK("https%3A%2F%2Fwww.webofscience.com%2Fwos%2Fwoscc%2Ffull-record%2FWOS:000503774300001","View Full Record in Web of Science")</f>
        <v>View Full Record in Web of Science</v>
      </c>
    </row>
    <row r="82" spans="1:72" x14ac:dyDescent="0.15">
      <c r="A82" t="s">
        <v>133</v>
      </c>
      <c r="B82" t="s">
        <v>1925</v>
      </c>
      <c r="C82" t="s">
        <v>74</v>
      </c>
      <c r="D82" t="s">
        <v>74</v>
      </c>
      <c r="E82" t="s">
        <v>74</v>
      </c>
      <c r="F82" t="s">
        <v>1926</v>
      </c>
      <c r="G82" t="s">
        <v>74</v>
      </c>
      <c r="H82" t="s">
        <v>74</v>
      </c>
      <c r="I82" t="s">
        <v>1927</v>
      </c>
      <c r="J82" t="s">
        <v>1928</v>
      </c>
      <c r="K82" t="s">
        <v>74</v>
      </c>
      <c r="L82" t="s">
        <v>74</v>
      </c>
      <c r="M82" t="s">
        <v>80</v>
      </c>
      <c r="N82" t="s">
        <v>138</v>
      </c>
      <c r="O82" t="s">
        <v>74</v>
      </c>
      <c r="P82" t="s">
        <v>74</v>
      </c>
      <c r="Q82" t="s">
        <v>74</v>
      </c>
      <c r="R82" t="s">
        <v>74</v>
      </c>
      <c r="S82" t="s">
        <v>74</v>
      </c>
      <c r="T82" t="s">
        <v>1929</v>
      </c>
      <c r="U82" t="s">
        <v>1930</v>
      </c>
      <c r="V82" t="s">
        <v>1931</v>
      </c>
      <c r="W82" t="s">
        <v>1932</v>
      </c>
      <c r="X82" t="s">
        <v>1933</v>
      </c>
      <c r="Y82" t="s">
        <v>1934</v>
      </c>
      <c r="Z82" t="s">
        <v>1935</v>
      </c>
      <c r="AA82" t="s">
        <v>74</v>
      </c>
      <c r="AB82" t="s">
        <v>1936</v>
      </c>
      <c r="AC82" t="s">
        <v>1937</v>
      </c>
      <c r="AD82" t="s">
        <v>1938</v>
      </c>
      <c r="AE82" t="s">
        <v>1939</v>
      </c>
      <c r="AF82" t="s">
        <v>74</v>
      </c>
      <c r="AG82">
        <v>61</v>
      </c>
      <c r="AH82">
        <v>28</v>
      </c>
      <c r="AI82">
        <v>32</v>
      </c>
      <c r="AJ82">
        <v>20</v>
      </c>
      <c r="AK82">
        <v>139</v>
      </c>
      <c r="AL82" t="s">
        <v>1264</v>
      </c>
      <c r="AM82" t="s">
        <v>1265</v>
      </c>
      <c r="AN82" t="s">
        <v>1266</v>
      </c>
      <c r="AO82" t="s">
        <v>1940</v>
      </c>
      <c r="AP82" t="s">
        <v>1941</v>
      </c>
      <c r="AQ82" t="s">
        <v>74</v>
      </c>
      <c r="AR82" t="s">
        <v>1942</v>
      </c>
      <c r="AS82" t="s">
        <v>1943</v>
      </c>
      <c r="AT82" t="s">
        <v>1270</v>
      </c>
      <c r="AU82">
        <v>2019</v>
      </c>
      <c r="AV82">
        <v>124</v>
      </c>
      <c r="AW82">
        <v>12</v>
      </c>
      <c r="AX82" t="s">
        <v>74</v>
      </c>
      <c r="AY82" t="s">
        <v>74</v>
      </c>
      <c r="AZ82" t="s">
        <v>74</v>
      </c>
      <c r="BA82" t="s">
        <v>74</v>
      </c>
      <c r="BB82">
        <v>9417</v>
      </c>
      <c r="BC82">
        <v>9438</v>
      </c>
      <c r="BD82" t="s">
        <v>74</v>
      </c>
      <c r="BE82" t="s">
        <v>1944</v>
      </c>
      <c r="BF82" t="str">
        <f>HYPERLINK("http://dx.doi.org/10.1029/2019JC015331","http://dx.doi.org/10.1029/2019JC015331")</f>
        <v>http://dx.doi.org/10.1029/2019JC015331</v>
      </c>
      <c r="BG82" t="s">
        <v>74</v>
      </c>
      <c r="BH82" t="s">
        <v>1272</v>
      </c>
      <c r="BI82">
        <v>22</v>
      </c>
      <c r="BJ82" t="s">
        <v>1945</v>
      </c>
      <c r="BK82" t="s">
        <v>294</v>
      </c>
      <c r="BL82" t="s">
        <v>1945</v>
      </c>
      <c r="BM82" t="s">
        <v>1946</v>
      </c>
      <c r="BN82" t="s">
        <v>74</v>
      </c>
      <c r="BO82" t="s">
        <v>666</v>
      </c>
      <c r="BP82" t="s">
        <v>74</v>
      </c>
      <c r="BQ82" t="s">
        <v>74</v>
      </c>
      <c r="BR82" t="s">
        <v>108</v>
      </c>
      <c r="BS82" t="s">
        <v>1947</v>
      </c>
      <c r="BT82" t="str">
        <f>HYPERLINK("https%3A%2F%2Fwww.webofscience.com%2Fwos%2Fwoscc%2Ffull-record%2FWOS:000503600900001","View Full Record in Web of Science")</f>
        <v>View Full Record in Web of Science</v>
      </c>
    </row>
    <row r="83" spans="1:72" x14ac:dyDescent="0.15">
      <c r="A83" t="s">
        <v>133</v>
      </c>
      <c r="B83" t="s">
        <v>1948</v>
      </c>
      <c r="C83" t="s">
        <v>74</v>
      </c>
      <c r="D83" t="s">
        <v>74</v>
      </c>
      <c r="E83" t="s">
        <v>74</v>
      </c>
      <c r="F83" t="s">
        <v>1949</v>
      </c>
      <c r="G83" t="s">
        <v>74</v>
      </c>
      <c r="H83" t="s">
        <v>74</v>
      </c>
      <c r="I83" t="s">
        <v>1950</v>
      </c>
      <c r="J83" t="s">
        <v>1951</v>
      </c>
      <c r="K83" t="s">
        <v>74</v>
      </c>
      <c r="L83" t="s">
        <v>74</v>
      </c>
      <c r="M83" t="s">
        <v>80</v>
      </c>
      <c r="N83" t="s">
        <v>138</v>
      </c>
      <c r="O83" t="s">
        <v>74</v>
      </c>
      <c r="P83" t="s">
        <v>74</v>
      </c>
      <c r="Q83" t="s">
        <v>74</v>
      </c>
      <c r="R83" t="s">
        <v>74</v>
      </c>
      <c r="S83" t="s">
        <v>74</v>
      </c>
      <c r="T83" t="s">
        <v>1952</v>
      </c>
      <c r="U83" t="s">
        <v>1953</v>
      </c>
      <c r="V83" t="s">
        <v>1954</v>
      </c>
      <c r="W83" t="s">
        <v>1955</v>
      </c>
      <c r="X83" t="s">
        <v>1956</v>
      </c>
      <c r="Y83" t="s">
        <v>1957</v>
      </c>
      <c r="Z83" t="s">
        <v>1958</v>
      </c>
      <c r="AA83" t="s">
        <v>1959</v>
      </c>
      <c r="AB83" t="s">
        <v>1960</v>
      </c>
      <c r="AC83" t="s">
        <v>1961</v>
      </c>
      <c r="AD83" t="s">
        <v>1962</v>
      </c>
      <c r="AE83" t="s">
        <v>1963</v>
      </c>
      <c r="AF83" t="s">
        <v>74</v>
      </c>
      <c r="AG83">
        <v>37</v>
      </c>
      <c r="AH83">
        <v>11</v>
      </c>
      <c r="AI83">
        <v>15</v>
      </c>
      <c r="AJ83">
        <v>1</v>
      </c>
      <c r="AK83">
        <v>48</v>
      </c>
      <c r="AL83" t="s">
        <v>1964</v>
      </c>
      <c r="AM83" t="s">
        <v>1965</v>
      </c>
      <c r="AN83" t="s">
        <v>1966</v>
      </c>
      <c r="AO83" t="s">
        <v>1967</v>
      </c>
      <c r="AP83" t="s">
        <v>1968</v>
      </c>
      <c r="AQ83" t="s">
        <v>74</v>
      </c>
      <c r="AR83" t="s">
        <v>1969</v>
      </c>
      <c r="AS83" t="s">
        <v>1970</v>
      </c>
      <c r="AT83" t="s">
        <v>1546</v>
      </c>
      <c r="AU83">
        <v>2020</v>
      </c>
      <c r="AV83">
        <v>80</v>
      </c>
      <c r="AW83">
        <v>1</v>
      </c>
      <c r="AX83" t="s">
        <v>74</v>
      </c>
      <c r="AY83" t="s">
        <v>74</v>
      </c>
      <c r="AZ83" t="s">
        <v>74</v>
      </c>
      <c r="BA83" t="s">
        <v>74</v>
      </c>
      <c r="BB83">
        <v>73</v>
      </c>
      <c r="BC83">
        <v>80</v>
      </c>
      <c r="BD83" t="s">
        <v>74</v>
      </c>
      <c r="BE83" t="s">
        <v>1971</v>
      </c>
      <c r="BF83" t="str">
        <f>HYPERLINK("http://dx.doi.org/10.1007/s00248-019-01472-x","http://dx.doi.org/10.1007/s00248-019-01472-x")</f>
        <v>http://dx.doi.org/10.1007/s00248-019-01472-x</v>
      </c>
      <c r="BG83" t="s">
        <v>74</v>
      </c>
      <c r="BH83" t="s">
        <v>1272</v>
      </c>
      <c r="BI83">
        <v>8</v>
      </c>
      <c r="BJ83" t="s">
        <v>1972</v>
      </c>
      <c r="BK83" t="s">
        <v>294</v>
      </c>
      <c r="BL83" t="s">
        <v>1973</v>
      </c>
      <c r="BM83" t="s">
        <v>1974</v>
      </c>
      <c r="BN83">
        <v>31863131</v>
      </c>
      <c r="BO83" t="s">
        <v>74</v>
      </c>
      <c r="BP83" t="s">
        <v>74</v>
      </c>
      <c r="BQ83" t="s">
        <v>74</v>
      </c>
      <c r="BR83" t="s">
        <v>108</v>
      </c>
      <c r="BS83" t="s">
        <v>1975</v>
      </c>
      <c r="BT83" t="str">
        <f>HYPERLINK("https%3A%2F%2Fwww.webofscience.com%2Fwos%2Fwoscc%2Ffull-record%2FWOS:000503655800001","View Full Record in Web of Science")</f>
        <v>View Full Record in Web of Science</v>
      </c>
    </row>
    <row r="84" spans="1:72" x14ac:dyDescent="0.15">
      <c r="A84" t="s">
        <v>133</v>
      </c>
      <c r="B84" t="s">
        <v>1976</v>
      </c>
      <c r="C84" t="s">
        <v>74</v>
      </c>
      <c r="D84" t="s">
        <v>74</v>
      </c>
      <c r="E84" t="s">
        <v>74</v>
      </c>
      <c r="F84" t="s">
        <v>1977</v>
      </c>
      <c r="G84" t="s">
        <v>74</v>
      </c>
      <c r="H84" t="s">
        <v>74</v>
      </c>
      <c r="I84" t="s">
        <v>1978</v>
      </c>
      <c r="J84" t="s">
        <v>1073</v>
      </c>
      <c r="K84" t="s">
        <v>74</v>
      </c>
      <c r="L84" t="s">
        <v>74</v>
      </c>
      <c r="M84" t="s">
        <v>80</v>
      </c>
      <c r="N84" t="s">
        <v>138</v>
      </c>
      <c r="O84" t="s">
        <v>74</v>
      </c>
      <c r="P84" t="s">
        <v>74</v>
      </c>
      <c r="Q84" t="s">
        <v>74</v>
      </c>
      <c r="R84" t="s">
        <v>74</v>
      </c>
      <c r="S84" t="s">
        <v>74</v>
      </c>
      <c r="T84" t="s">
        <v>1979</v>
      </c>
      <c r="U84" t="s">
        <v>1980</v>
      </c>
      <c r="V84" t="s">
        <v>1981</v>
      </c>
      <c r="W84" t="s">
        <v>1982</v>
      </c>
      <c r="X84" t="s">
        <v>1983</v>
      </c>
      <c r="Y84" t="s">
        <v>1984</v>
      </c>
      <c r="Z84" t="s">
        <v>1985</v>
      </c>
      <c r="AA84" t="s">
        <v>74</v>
      </c>
      <c r="AB84" t="s">
        <v>74</v>
      </c>
      <c r="AC84" t="s">
        <v>1986</v>
      </c>
      <c r="AD84" t="s">
        <v>1987</v>
      </c>
      <c r="AE84" t="s">
        <v>1988</v>
      </c>
      <c r="AF84" t="s">
        <v>74</v>
      </c>
      <c r="AG84">
        <v>47</v>
      </c>
      <c r="AH84">
        <v>87</v>
      </c>
      <c r="AI84">
        <v>93</v>
      </c>
      <c r="AJ84">
        <v>15</v>
      </c>
      <c r="AK84">
        <v>129</v>
      </c>
      <c r="AL84" t="s">
        <v>284</v>
      </c>
      <c r="AM84" t="s">
        <v>285</v>
      </c>
      <c r="AN84" t="s">
        <v>286</v>
      </c>
      <c r="AO84" t="s">
        <v>1086</v>
      </c>
      <c r="AP84" t="s">
        <v>1087</v>
      </c>
      <c r="AQ84" t="s">
        <v>74</v>
      </c>
      <c r="AR84" t="s">
        <v>1088</v>
      </c>
      <c r="AS84" t="s">
        <v>1089</v>
      </c>
      <c r="AT84" t="s">
        <v>1840</v>
      </c>
      <c r="AU84">
        <v>2019</v>
      </c>
      <c r="AV84">
        <v>697</v>
      </c>
      <c r="AW84" t="s">
        <v>74</v>
      </c>
      <c r="AX84" t="s">
        <v>74</v>
      </c>
      <c r="AY84" t="s">
        <v>74</v>
      </c>
      <c r="AZ84" t="s">
        <v>74</v>
      </c>
      <c r="BA84" t="s">
        <v>74</v>
      </c>
      <c r="BB84" t="s">
        <v>74</v>
      </c>
      <c r="BC84" t="s">
        <v>74</v>
      </c>
      <c r="BD84">
        <v>134021</v>
      </c>
      <c r="BE84" t="s">
        <v>1989</v>
      </c>
      <c r="BF84" t="str">
        <f>HYPERLINK("http://dx.doi.org/10.1016/j.scitotenv.2019.134021","http://dx.doi.org/10.1016/j.scitotenv.2019.134021")</f>
        <v>http://dx.doi.org/10.1016/j.scitotenv.2019.134021</v>
      </c>
      <c r="BG84" t="s">
        <v>74</v>
      </c>
      <c r="BH84" t="s">
        <v>74</v>
      </c>
      <c r="BI84">
        <v>8</v>
      </c>
      <c r="BJ84" t="s">
        <v>387</v>
      </c>
      <c r="BK84" t="s">
        <v>294</v>
      </c>
      <c r="BL84" t="s">
        <v>388</v>
      </c>
      <c r="BM84" t="s">
        <v>1990</v>
      </c>
      <c r="BN84">
        <v>31484095</v>
      </c>
      <c r="BO84" t="s">
        <v>559</v>
      </c>
      <c r="BP84" t="s">
        <v>74</v>
      </c>
      <c r="BQ84" t="s">
        <v>74</v>
      </c>
      <c r="BR84" t="s">
        <v>108</v>
      </c>
      <c r="BS84" t="s">
        <v>1991</v>
      </c>
      <c r="BT84" t="str">
        <f>HYPERLINK("https%3A%2F%2Fwww.webofscience.com%2Fwos%2Fwoscc%2Ffull-record%2FWOS:000499668600086","View Full Record in Web of Science")</f>
        <v>View Full Record in Web of Science</v>
      </c>
    </row>
    <row r="85" spans="1:72" x14ac:dyDescent="0.15">
      <c r="A85" t="s">
        <v>133</v>
      </c>
      <c r="B85" t="s">
        <v>1992</v>
      </c>
      <c r="C85" t="s">
        <v>74</v>
      </c>
      <c r="D85" t="s">
        <v>74</v>
      </c>
      <c r="E85" t="s">
        <v>74</v>
      </c>
      <c r="F85" t="s">
        <v>1993</v>
      </c>
      <c r="G85" t="s">
        <v>74</v>
      </c>
      <c r="H85" t="s">
        <v>74</v>
      </c>
      <c r="I85" t="s">
        <v>1994</v>
      </c>
      <c r="J85" t="s">
        <v>1995</v>
      </c>
      <c r="K85" t="s">
        <v>74</v>
      </c>
      <c r="L85" t="s">
        <v>74</v>
      </c>
      <c r="M85" t="s">
        <v>80</v>
      </c>
      <c r="N85" t="s">
        <v>1996</v>
      </c>
      <c r="O85" t="s">
        <v>1997</v>
      </c>
      <c r="P85" t="s">
        <v>1998</v>
      </c>
      <c r="Q85" t="s">
        <v>1999</v>
      </c>
      <c r="R85" t="s">
        <v>74</v>
      </c>
      <c r="S85" t="s">
        <v>74</v>
      </c>
      <c r="T85" t="s">
        <v>2000</v>
      </c>
      <c r="U85" t="s">
        <v>2001</v>
      </c>
      <c r="V85" t="s">
        <v>2002</v>
      </c>
      <c r="W85" t="s">
        <v>2003</v>
      </c>
      <c r="X85" t="s">
        <v>2004</v>
      </c>
      <c r="Y85" t="s">
        <v>2005</v>
      </c>
      <c r="Z85" t="s">
        <v>2006</v>
      </c>
      <c r="AA85" t="s">
        <v>2007</v>
      </c>
      <c r="AB85" t="s">
        <v>2008</v>
      </c>
      <c r="AC85" t="s">
        <v>2009</v>
      </c>
      <c r="AD85" t="s">
        <v>2010</v>
      </c>
      <c r="AE85" t="s">
        <v>2011</v>
      </c>
      <c r="AF85" t="s">
        <v>74</v>
      </c>
      <c r="AG85">
        <v>40</v>
      </c>
      <c r="AH85">
        <v>1</v>
      </c>
      <c r="AI85">
        <v>2</v>
      </c>
      <c r="AJ85">
        <v>6</v>
      </c>
      <c r="AK85">
        <v>13</v>
      </c>
      <c r="AL85" t="s">
        <v>2012</v>
      </c>
      <c r="AM85" t="s">
        <v>1730</v>
      </c>
      <c r="AN85" t="s">
        <v>2013</v>
      </c>
      <c r="AO85" t="s">
        <v>74</v>
      </c>
      <c r="AP85" t="s">
        <v>2014</v>
      </c>
      <c r="AQ85" t="s">
        <v>74</v>
      </c>
      <c r="AR85" t="s">
        <v>2015</v>
      </c>
      <c r="AS85" t="s">
        <v>2016</v>
      </c>
      <c r="AT85" t="s">
        <v>2017</v>
      </c>
      <c r="AU85">
        <v>2019</v>
      </c>
      <c r="AV85">
        <v>20</v>
      </c>
      <c r="AW85" t="s">
        <v>74</v>
      </c>
      <c r="AX85" t="s">
        <v>74</v>
      </c>
      <c r="AY85">
        <v>1</v>
      </c>
      <c r="AZ85" t="s">
        <v>74</v>
      </c>
      <c r="BA85" t="s">
        <v>74</v>
      </c>
      <c r="BB85" t="s">
        <v>74</v>
      </c>
      <c r="BC85" t="s">
        <v>74</v>
      </c>
      <c r="BD85">
        <v>77</v>
      </c>
      <c r="BE85" t="s">
        <v>2018</v>
      </c>
      <c r="BF85" t="str">
        <f>HYPERLINK("http://dx.doi.org/10.1186/s40360-019-0353-3","http://dx.doi.org/10.1186/s40360-019-0353-3")</f>
        <v>http://dx.doi.org/10.1186/s40360-019-0353-3</v>
      </c>
      <c r="BG85" t="s">
        <v>74</v>
      </c>
      <c r="BH85" t="s">
        <v>74</v>
      </c>
      <c r="BI85">
        <v>10</v>
      </c>
      <c r="BJ85" t="s">
        <v>2019</v>
      </c>
      <c r="BK85" t="s">
        <v>2020</v>
      </c>
      <c r="BL85" t="s">
        <v>2019</v>
      </c>
      <c r="BM85" t="s">
        <v>2021</v>
      </c>
      <c r="BN85">
        <v>31852531</v>
      </c>
      <c r="BO85" t="s">
        <v>693</v>
      </c>
      <c r="BP85" t="s">
        <v>74</v>
      </c>
      <c r="BQ85" t="s">
        <v>74</v>
      </c>
      <c r="BR85" t="s">
        <v>108</v>
      </c>
      <c r="BS85" t="s">
        <v>2022</v>
      </c>
      <c r="BT85" t="str">
        <f>HYPERLINK("https%3A%2F%2Fwww.webofscience.com%2Fwos%2Fwoscc%2Ffull-record%2FWOS:000512055100007","View Full Record in Web of Science")</f>
        <v>View Full Record in Web of Science</v>
      </c>
    </row>
    <row r="86" spans="1:72" x14ac:dyDescent="0.15">
      <c r="A86" t="s">
        <v>133</v>
      </c>
      <c r="B86" t="s">
        <v>2023</v>
      </c>
      <c r="C86" t="s">
        <v>74</v>
      </c>
      <c r="D86" t="s">
        <v>74</v>
      </c>
      <c r="E86" t="s">
        <v>74</v>
      </c>
      <c r="F86" t="s">
        <v>2024</v>
      </c>
      <c r="G86" t="s">
        <v>74</v>
      </c>
      <c r="H86" t="s">
        <v>74</v>
      </c>
      <c r="I86" t="s">
        <v>2025</v>
      </c>
      <c r="J86" t="s">
        <v>2026</v>
      </c>
      <c r="K86" t="s">
        <v>74</v>
      </c>
      <c r="L86" t="s">
        <v>74</v>
      </c>
      <c r="M86" t="s">
        <v>80</v>
      </c>
      <c r="N86" t="s">
        <v>138</v>
      </c>
      <c r="O86" t="s">
        <v>74</v>
      </c>
      <c r="P86" t="s">
        <v>74</v>
      </c>
      <c r="Q86" t="s">
        <v>74</v>
      </c>
      <c r="R86" t="s">
        <v>74</v>
      </c>
      <c r="S86" t="s">
        <v>74</v>
      </c>
      <c r="T86" t="s">
        <v>74</v>
      </c>
      <c r="U86" t="s">
        <v>2027</v>
      </c>
      <c r="V86" t="s">
        <v>2028</v>
      </c>
      <c r="W86" t="s">
        <v>2029</v>
      </c>
      <c r="X86" t="s">
        <v>2030</v>
      </c>
      <c r="Y86" t="s">
        <v>2031</v>
      </c>
      <c r="Z86" t="s">
        <v>2032</v>
      </c>
      <c r="AA86" t="s">
        <v>2033</v>
      </c>
      <c r="AB86" t="s">
        <v>2034</v>
      </c>
      <c r="AC86" t="s">
        <v>2035</v>
      </c>
      <c r="AD86" t="s">
        <v>2036</v>
      </c>
      <c r="AE86" t="s">
        <v>2037</v>
      </c>
      <c r="AF86" t="s">
        <v>74</v>
      </c>
      <c r="AG86">
        <v>49</v>
      </c>
      <c r="AH86">
        <v>57</v>
      </c>
      <c r="AI86">
        <v>61</v>
      </c>
      <c r="AJ86">
        <v>6</v>
      </c>
      <c r="AK86">
        <v>42</v>
      </c>
      <c r="AL86" t="s">
        <v>2038</v>
      </c>
      <c r="AM86" t="s">
        <v>1730</v>
      </c>
      <c r="AN86" t="s">
        <v>2039</v>
      </c>
      <c r="AO86" t="s">
        <v>2040</v>
      </c>
      <c r="AP86" t="s">
        <v>74</v>
      </c>
      <c r="AQ86" t="s">
        <v>74</v>
      </c>
      <c r="AR86" t="s">
        <v>2041</v>
      </c>
      <c r="AS86" t="s">
        <v>2042</v>
      </c>
      <c r="AT86" t="s">
        <v>2017</v>
      </c>
      <c r="AU86">
        <v>2019</v>
      </c>
      <c r="AV86">
        <v>10</v>
      </c>
      <c r="AW86" t="s">
        <v>74</v>
      </c>
      <c r="AX86" t="s">
        <v>74</v>
      </c>
      <c r="AY86" t="s">
        <v>74</v>
      </c>
      <c r="AZ86" t="s">
        <v>74</v>
      </c>
      <c r="BA86" t="s">
        <v>74</v>
      </c>
      <c r="BB86" t="s">
        <v>74</v>
      </c>
      <c r="BC86" t="s">
        <v>74</v>
      </c>
      <c r="BD86">
        <v>5781</v>
      </c>
      <c r="BE86" t="s">
        <v>2043</v>
      </c>
      <c r="BF86" t="str">
        <f>HYPERLINK("http://dx.doi.org/10.1038/s41467-019-13717-x","http://dx.doi.org/10.1038/s41467-019-13717-x")</f>
        <v>http://dx.doi.org/10.1038/s41467-019-13717-x</v>
      </c>
      <c r="BG86" t="s">
        <v>74</v>
      </c>
      <c r="BH86" t="s">
        <v>74</v>
      </c>
      <c r="BI86">
        <v>12</v>
      </c>
      <c r="BJ86" t="s">
        <v>1245</v>
      </c>
      <c r="BK86" t="s">
        <v>294</v>
      </c>
      <c r="BL86" t="s">
        <v>1246</v>
      </c>
      <c r="BM86" t="s">
        <v>2044</v>
      </c>
      <c r="BN86">
        <v>31857594</v>
      </c>
      <c r="BO86" t="s">
        <v>2045</v>
      </c>
      <c r="BP86" t="s">
        <v>74</v>
      </c>
      <c r="BQ86" t="s">
        <v>74</v>
      </c>
      <c r="BR86" t="s">
        <v>108</v>
      </c>
      <c r="BS86" t="s">
        <v>2046</v>
      </c>
      <c r="BT86" t="str">
        <f>HYPERLINK("https%3A%2F%2Fwww.webofscience.com%2Fwos%2Fwoscc%2Ffull-record%2FWOS:000509779000001","View Full Record in Web of Science")</f>
        <v>View Full Record in Web of Science</v>
      </c>
    </row>
    <row r="87" spans="1:72" x14ac:dyDescent="0.15">
      <c r="A87" t="s">
        <v>133</v>
      </c>
      <c r="B87" t="s">
        <v>2047</v>
      </c>
      <c r="C87" t="s">
        <v>74</v>
      </c>
      <c r="D87" t="s">
        <v>74</v>
      </c>
      <c r="E87" t="s">
        <v>74</v>
      </c>
      <c r="F87" t="s">
        <v>2048</v>
      </c>
      <c r="G87" t="s">
        <v>74</v>
      </c>
      <c r="H87" t="s">
        <v>74</v>
      </c>
      <c r="I87" t="s">
        <v>2049</v>
      </c>
      <c r="J87" t="s">
        <v>2026</v>
      </c>
      <c r="K87" t="s">
        <v>74</v>
      </c>
      <c r="L87" t="s">
        <v>74</v>
      </c>
      <c r="M87" t="s">
        <v>80</v>
      </c>
      <c r="N87" t="s">
        <v>138</v>
      </c>
      <c r="O87" t="s">
        <v>74</v>
      </c>
      <c r="P87" t="s">
        <v>74</v>
      </c>
      <c r="Q87" t="s">
        <v>74</v>
      </c>
      <c r="R87" t="s">
        <v>74</v>
      </c>
      <c r="S87" t="s">
        <v>74</v>
      </c>
      <c r="T87" t="s">
        <v>74</v>
      </c>
      <c r="U87" t="s">
        <v>2050</v>
      </c>
      <c r="V87" t="s">
        <v>2051</v>
      </c>
      <c r="W87" t="s">
        <v>2052</v>
      </c>
      <c r="X87" t="s">
        <v>2053</v>
      </c>
      <c r="Y87" t="s">
        <v>2054</v>
      </c>
      <c r="Z87" t="s">
        <v>2055</v>
      </c>
      <c r="AA87" t="s">
        <v>2056</v>
      </c>
      <c r="AB87" t="s">
        <v>2057</v>
      </c>
      <c r="AC87" t="s">
        <v>2058</v>
      </c>
      <c r="AD87" t="s">
        <v>2059</v>
      </c>
      <c r="AE87" t="s">
        <v>2060</v>
      </c>
      <c r="AF87" t="s">
        <v>74</v>
      </c>
      <c r="AG87">
        <v>85</v>
      </c>
      <c r="AH87">
        <v>11</v>
      </c>
      <c r="AI87">
        <v>12</v>
      </c>
      <c r="AJ87">
        <v>3</v>
      </c>
      <c r="AK87">
        <v>30</v>
      </c>
      <c r="AL87" t="s">
        <v>2038</v>
      </c>
      <c r="AM87" t="s">
        <v>1730</v>
      </c>
      <c r="AN87" t="s">
        <v>2039</v>
      </c>
      <c r="AO87" t="s">
        <v>2040</v>
      </c>
      <c r="AP87" t="s">
        <v>74</v>
      </c>
      <c r="AQ87" t="s">
        <v>74</v>
      </c>
      <c r="AR87" t="s">
        <v>2041</v>
      </c>
      <c r="AS87" t="s">
        <v>2042</v>
      </c>
      <c r="AT87" t="s">
        <v>2017</v>
      </c>
      <c r="AU87">
        <v>2019</v>
      </c>
      <c r="AV87">
        <v>10</v>
      </c>
      <c r="AW87" t="s">
        <v>74</v>
      </c>
      <c r="AX87" t="s">
        <v>74</v>
      </c>
      <c r="AY87" t="s">
        <v>74</v>
      </c>
      <c r="AZ87" t="s">
        <v>74</v>
      </c>
      <c r="BA87" t="s">
        <v>74</v>
      </c>
      <c r="BB87" t="s">
        <v>74</v>
      </c>
      <c r="BC87" t="s">
        <v>74</v>
      </c>
      <c r="BD87">
        <v>5786</v>
      </c>
      <c r="BE87" t="s">
        <v>2061</v>
      </c>
      <c r="BF87" t="str">
        <f>HYPERLINK("http://dx.doi.org/10.1038/s41467-019-13741-x","http://dx.doi.org/10.1038/s41467-019-13741-x")</f>
        <v>http://dx.doi.org/10.1038/s41467-019-13741-x</v>
      </c>
      <c r="BG87" t="s">
        <v>74</v>
      </c>
      <c r="BH87" t="s">
        <v>74</v>
      </c>
      <c r="BI87">
        <v>10</v>
      </c>
      <c r="BJ87" t="s">
        <v>1245</v>
      </c>
      <c r="BK87" t="s">
        <v>294</v>
      </c>
      <c r="BL87" t="s">
        <v>1246</v>
      </c>
      <c r="BM87" t="s">
        <v>2044</v>
      </c>
      <c r="BN87">
        <v>31857591</v>
      </c>
      <c r="BO87" t="s">
        <v>693</v>
      </c>
      <c r="BP87" t="s">
        <v>74</v>
      </c>
      <c r="BQ87" t="s">
        <v>74</v>
      </c>
      <c r="BR87" t="s">
        <v>108</v>
      </c>
      <c r="BS87" t="s">
        <v>2062</v>
      </c>
      <c r="BT87" t="str">
        <f>HYPERLINK("https%3A%2F%2Fwww.webofscience.com%2Fwos%2Fwoscc%2Ffull-record%2FWOS:000509779000006","View Full Record in Web of Science")</f>
        <v>View Full Record in Web of Science</v>
      </c>
    </row>
    <row r="88" spans="1:72" x14ac:dyDescent="0.15">
      <c r="A88" t="s">
        <v>133</v>
      </c>
      <c r="B88" t="s">
        <v>2063</v>
      </c>
      <c r="C88" t="s">
        <v>74</v>
      </c>
      <c r="D88" t="s">
        <v>74</v>
      </c>
      <c r="E88" t="s">
        <v>74</v>
      </c>
      <c r="F88" t="s">
        <v>2064</v>
      </c>
      <c r="G88" t="s">
        <v>74</v>
      </c>
      <c r="H88" t="s">
        <v>74</v>
      </c>
      <c r="I88" t="s">
        <v>2065</v>
      </c>
      <c r="J88" t="s">
        <v>2066</v>
      </c>
      <c r="K88" t="s">
        <v>74</v>
      </c>
      <c r="L88" t="s">
        <v>74</v>
      </c>
      <c r="M88" t="s">
        <v>80</v>
      </c>
      <c r="N88" t="s">
        <v>138</v>
      </c>
      <c r="O88" t="s">
        <v>74</v>
      </c>
      <c r="P88" t="s">
        <v>74</v>
      </c>
      <c r="Q88" t="s">
        <v>74</v>
      </c>
      <c r="R88" t="s">
        <v>74</v>
      </c>
      <c r="S88" t="s">
        <v>74</v>
      </c>
      <c r="T88" t="s">
        <v>2067</v>
      </c>
      <c r="U88" t="s">
        <v>2068</v>
      </c>
      <c r="V88" t="s">
        <v>2069</v>
      </c>
      <c r="W88" t="s">
        <v>2070</v>
      </c>
      <c r="X88" t="s">
        <v>2071</v>
      </c>
      <c r="Y88" t="s">
        <v>2072</v>
      </c>
      <c r="Z88" t="s">
        <v>2073</v>
      </c>
      <c r="AA88" t="s">
        <v>2074</v>
      </c>
      <c r="AB88" t="s">
        <v>2075</v>
      </c>
      <c r="AC88" t="s">
        <v>2076</v>
      </c>
      <c r="AD88" t="s">
        <v>2077</v>
      </c>
      <c r="AE88" t="s">
        <v>2078</v>
      </c>
      <c r="AF88" t="s">
        <v>74</v>
      </c>
      <c r="AG88">
        <v>60</v>
      </c>
      <c r="AH88">
        <v>15</v>
      </c>
      <c r="AI88">
        <v>16</v>
      </c>
      <c r="AJ88">
        <v>1</v>
      </c>
      <c r="AK88">
        <v>36</v>
      </c>
      <c r="AL88" t="s">
        <v>429</v>
      </c>
      <c r="AM88" t="s">
        <v>430</v>
      </c>
      <c r="AN88" t="s">
        <v>431</v>
      </c>
      <c r="AO88" t="s">
        <v>2079</v>
      </c>
      <c r="AP88" t="s">
        <v>2080</v>
      </c>
      <c r="AQ88" t="s">
        <v>74</v>
      </c>
      <c r="AR88" t="s">
        <v>2066</v>
      </c>
      <c r="AS88" t="s">
        <v>2081</v>
      </c>
      <c r="AT88" t="s">
        <v>1298</v>
      </c>
      <c r="AU88">
        <v>2020</v>
      </c>
      <c r="AV88">
        <v>129</v>
      </c>
      <c r="AW88">
        <v>3</v>
      </c>
      <c r="AX88" t="s">
        <v>74</v>
      </c>
      <c r="AY88" t="s">
        <v>74</v>
      </c>
      <c r="AZ88" t="s">
        <v>74</v>
      </c>
      <c r="BA88" t="s">
        <v>74</v>
      </c>
      <c r="BB88">
        <v>331</v>
      </c>
      <c r="BC88">
        <v>345</v>
      </c>
      <c r="BD88" t="s">
        <v>74</v>
      </c>
      <c r="BE88" t="s">
        <v>2082</v>
      </c>
      <c r="BF88" t="str">
        <f>HYPERLINK("http://dx.doi.org/10.1111/oik.06585","http://dx.doi.org/10.1111/oik.06585")</f>
        <v>http://dx.doi.org/10.1111/oik.06585</v>
      </c>
      <c r="BG88" t="s">
        <v>74</v>
      </c>
      <c r="BH88" t="s">
        <v>1272</v>
      </c>
      <c r="BI88">
        <v>15</v>
      </c>
      <c r="BJ88" t="s">
        <v>437</v>
      </c>
      <c r="BK88" t="s">
        <v>294</v>
      </c>
      <c r="BL88" t="s">
        <v>388</v>
      </c>
      <c r="BM88" t="s">
        <v>2083</v>
      </c>
      <c r="BN88" t="s">
        <v>74</v>
      </c>
      <c r="BO88" t="s">
        <v>74</v>
      </c>
      <c r="BP88" t="s">
        <v>74</v>
      </c>
      <c r="BQ88" t="s">
        <v>74</v>
      </c>
      <c r="BR88" t="s">
        <v>108</v>
      </c>
      <c r="BS88" t="s">
        <v>2084</v>
      </c>
      <c r="BT88" t="str">
        <f>HYPERLINK("https%3A%2F%2Fwww.webofscience.com%2Fwos%2Fwoscc%2Ffull-record%2FWOS:000504046800001","View Full Record in Web of Science")</f>
        <v>View Full Record in Web of Science</v>
      </c>
    </row>
    <row r="89" spans="1:72" x14ac:dyDescent="0.15">
      <c r="A89" t="s">
        <v>133</v>
      </c>
      <c r="B89" t="s">
        <v>2085</v>
      </c>
      <c r="C89" t="s">
        <v>74</v>
      </c>
      <c r="D89" t="s">
        <v>74</v>
      </c>
      <c r="E89" t="s">
        <v>74</v>
      </c>
      <c r="F89" t="s">
        <v>2086</v>
      </c>
      <c r="G89" t="s">
        <v>74</v>
      </c>
      <c r="H89" t="s">
        <v>74</v>
      </c>
      <c r="I89" t="s">
        <v>2087</v>
      </c>
      <c r="J89" t="s">
        <v>2088</v>
      </c>
      <c r="K89" t="s">
        <v>74</v>
      </c>
      <c r="L89" t="s">
        <v>74</v>
      </c>
      <c r="M89" t="s">
        <v>80</v>
      </c>
      <c r="N89" t="s">
        <v>138</v>
      </c>
      <c r="O89" t="s">
        <v>74</v>
      </c>
      <c r="P89" t="s">
        <v>74</v>
      </c>
      <c r="Q89" t="s">
        <v>74</v>
      </c>
      <c r="R89" t="s">
        <v>74</v>
      </c>
      <c r="S89" t="s">
        <v>74</v>
      </c>
      <c r="T89" t="s">
        <v>74</v>
      </c>
      <c r="U89" t="s">
        <v>2089</v>
      </c>
      <c r="V89" t="s">
        <v>2090</v>
      </c>
      <c r="W89" t="s">
        <v>2091</v>
      </c>
      <c r="X89" t="s">
        <v>2092</v>
      </c>
      <c r="Y89" t="s">
        <v>2093</v>
      </c>
      <c r="Z89" t="s">
        <v>2094</v>
      </c>
      <c r="AA89" t="s">
        <v>74</v>
      </c>
      <c r="AB89" t="s">
        <v>2095</v>
      </c>
      <c r="AC89" t="s">
        <v>2096</v>
      </c>
      <c r="AD89" t="s">
        <v>2097</v>
      </c>
      <c r="AE89" t="s">
        <v>2098</v>
      </c>
      <c r="AF89" t="s">
        <v>74</v>
      </c>
      <c r="AG89">
        <v>21</v>
      </c>
      <c r="AH89">
        <v>7</v>
      </c>
      <c r="AI89">
        <v>9</v>
      </c>
      <c r="AJ89">
        <v>0</v>
      </c>
      <c r="AK89">
        <v>2</v>
      </c>
      <c r="AL89" t="s">
        <v>2099</v>
      </c>
      <c r="AM89" t="s">
        <v>2100</v>
      </c>
      <c r="AN89" t="s">
        <v>2101</v>
      </c>
      <c r="AO89" t="s">
        <v>2102</v>
      </c>
      <c r="AP89" t="s">
        <v>2103</v>
      </c>
      <c r="AQ89" t="s">
        <v>74</v>
      </c>
      <c r="AR89" t="s">
        <v>2088</v>
      </c>
      <c r="AS89" t="s">
        <v>2104</v>
      </c>
      <c r="AT89" t="s">
        <v>2017</v>
      </c>
      <c r="AU89">
        <v>2019</v>
      </c>
      <c r="AV89">
        <v>13</v>
      </c>
      <c r="AW89">
        <v>12</v>
      </c>
      <c r="AX89" t="s">
        <v>74</v>
      </c>
      <c r="AY89" t="s">
        <v>74</v>
      </c>
      <c r="AZ89" t="s">
        <v>74</v>
      </c>
      <c r="BA89" t="s">
        <v>74</v>
      </c>
      <c r="BB89">
        <v>3405</v>
      </c>
      <c r="BC89">
        <v>3412</v>
      </c>
      <c r="BD89" t="s">
        <v>74</v>
      </c>
      <c r="BE89" t="s">
        <v>2105</v>
      </c>
      <c r="BF89" t="str">
        <f>HYPERLINK("http://dx.doi.org/10.5194/tc-13-3405-2019","http://dx.doi.org/10.5194/tc-13-3405-2019")</f>
        <v>http://dx.doi.org/10.5194/tc-13-3405-2019</v>
      </c>
      <c r="BG89" t="s">
        <v>74</v>
      </c>
      <c r="BH89" t="s">
        <v>74</v>
      </c>
      <c r="BI89">
        <v>8</v>
      </c>
      <c r="BJ89" t="s">
        <v>462</v>
      </c>
      <c r="BK89" t="s">
        <v>294</v>
      </c>
      <c r="BL89" t="s">
        <v>463</v>
      </c>
      <c r="BM89" t="s">
        <v>2106</v>
      </c>
      <c r="BN89" t="s">
        <v>74</v>
      </c>
      <c r="BO89" t="s">
        <v>2107</v>
      </c>
      <c r="BP89" t="s">
        <v>74</v>
      </c>
      <c r="BQ89" t="s">
        <v>74</v>
      </c>
      <c r="BR89" t="s">
        <v>108</v>
      </c>
      <c r="BS89" t="s">
        <v>2108</v>
      </c>
      <c r="BT89" t="str">
        <f>HYPERLINK("https%3A%2F%2Fwww.webofscience.com%2Fwos%2Fwoscc%2Ffull-record%2FWOS:000503461200001","View Full Record in Web of Science")</f>
        <v>View Full Record in Web of Science</v>
      </c>
    </row>
    <row r="90" spans="1:72" x14ac:dyDescent="0.15">
      <c r="A90" t="s">
        <v>133</v>
      </c>
      <c r="B90" t="s">
        <v>2109</v>
      </c>
      <c r="C90" t="s">
        <v>74</v>
      </c>
      <c r="D90" t="s">
        <v>74</v>
      </c>
      <c r="E90" t="s">
        <v>74</v>
      </c>
      <c r="F90" t="s">
        <v>2110</v>
      </c>
      <c r="G90" t="s">
        <v>74</v>
      </c>
      <c r="H90" t="s">
        <v>74</v>
      </c>
      <c r="I90" t="s">
        <v>2111</v>
      </c>
      <c r="J90" t="s">
        <v>2112</v>
      </c>
      <c r="K90" t="s">
        <v>74</v>
      </c>
      <c r="L90" t="s">
        <v>74</v>
      </c>
      <c r="M90" t="s">
        <v>80</v>
      </c>
      <c r="N90" t="s">
        <v>138</v>
      </c>
      <c r="O90" t="s">
        <v>74</v>
      </c>
      <c r="P90" t="s">
        <v>74</v>
      </c>
      <c r="Q90" t="s">
        <v>74</v>
      </c>
      <c r="R90" t="s">
        <v>74</v>
      </c>
      <c r="S90" t="s">
        <v>74</v>
      </c>
      <c r="T90" t="s">
        <v>2113</v>
      </c>
      <c r="U90" t="s">
        <v>2114</v>
      </c>
      <c r="V90" t="s">
        <v>2115</v>
      </c>
      <c r="W90" t="s">
        <v>2116</v>
      </c>
      <c r="X90" t="s">
        <v>2117</v>
      </c>
      <c r="Y90" t="s">
        <v>2118</v>
      </c>
      <c r="Z90" t="s">
        <v>2119</v>
      </c>
      <c r="AA90" t="s">
        <v>74</v>
      </c>
      <c r="AB90" t="s">
        <v>2120</v>
      </c>
      <c r="AC90" t="s">
        <v>2121</v>
      </c>
      <c r="AD90" t="s">
        <v>2122</v>
      </c>
      <c r="AE90" t="s">
        <v>2123</v>
      </c>
      <c r="AF90" t="s">
        <v>74</v>
      </c>
      <c r="AG90">
        <v>126</v>
      </c>
      <c r="AH90">
        <v>5</v>
      </c>
      <c r="AI90">
        <v>8</v>
      </c>
      <c r="AJ90">
        <v>2</v>
      </c>
      <c r="AK90">
        <v>12</v>
      </c>
      <c r="AL90" t="s">
        <v>429</v>
      </c>
      <c r="AM90" t="s">
        <v>430</v>
      </c>
      <c r="AN90" t="s">
        <v>431</v>
      </c>
      <c r="AO90" t="s">
        <v>2124</v>
      </c>
      <c r="AP90" t="s">
        <v>2125</v>
      </c>
      <c r="AQ90" t="s">
        <v>74</v>
      </c>
      <c r="AR90" t="s">
        <v>2126</v>
      </c>
      <c r="AS90" t="s">
        <v>2127</v>
      </c>
      <c r="AT90" t="s">
        <v>291</v>
      </c>
      <c r="AU90">
        <v>2020</v>
      </c>
      <c r="AV90">
        <v>62</v>
      </c>
      <c r="AW90">
        <v>1</v>
      </c>
      <c r="AX90" t="s">
        <v>74</v>
      </c>
      <c r="AY90" t="s">
        <v>74</v>
      </c>
      <c r="AZ90" t="s">
        <v>74</v>
      </c>
      <c r="BA90" t="s">
        <v>74</v>
      </c>
      <c r="BB90">
        <v>134</v>
      </c>
      <c r="BC90">
        <v>150</v>
      </c>
      <c r="BD90" t="s">
        <v>74</v>
      </c>
      <c r="BE90" t="s">
        <v>2128</v>
      </c>
      <c r="BF90" t="str">
        <f>HYPERLINK("http://dx.doi.org/10.1002/1438-390X.12036","http://dx.doi.org/10.1002/1438-390X.12036")</f>
        <v>http://dx.doi.org/10.1002/1438-390X.12036</v>
      </c>
      <c r="BG90" t="s">
        <v>74</v>
      </c>
      <c r="BH90" t="s">
        <v>1272</v>
      </c>
      <c r="BI90">
        <v>17</v>
      </c>
      <c r="BJ90" t="s">
        <v>437</v>
      </c>
      <c r="BK90" t="s">
        <v>294</v>
      </c>
      <c r="BL90" t="s">
        <v>388</v>
      </c>
      <c r="BM90" t="s">
        <v>2129</v>
      </c>
      <c r="BN90" t="s">
        <v>74</v>
      </c>
      <c r="BO90" t="s">
        <v>74</v>
      </c>
      <c r="BP90" t="s">
        <v>74</v>
      </c>
      <c r="BQ90" t="s">
        <v>74</v>
      </c>
      <c r="BR90" t="s">
        <v>108</v>
      </c>
      <c r="BS90" t="s">
        <v>2130</v>
      </c>
      <c r="BT90" t="str">
        <f>HYPERLINK("https%3A%2F%2Fwww.webofscience.com%2Fwos%2Fwoscc%2Ffull-record%2FWOS:000503735300001","View Full Record in Web of Science")</f>
        <v>View Full Record in Web of Science</v>
      </c>
    </row>
    <row r="91" spans="1:72" x14ac:dyDescent="0.15">
      <c r="A91" t="s">
        <v>133</v>
      </c>
      <c r="B91" t="s">
        <v>2131</v>
      </c>
      <c r="C91" t="s">
        <v>74</v>
      </c>
      <c r="D91" t="s">
        <v>74</v>
      </c>
      <c r="E91" t="s">
        <v>74</v>
      </c>
      <c r="F91" t="s">
        <v>2132</v>
      </c>
      <c r="G91" t="s">
        <v>74</v>
      </c>
      <c r="H91" t="s">
        <v>74</v>
      </c>
      <c r="I91" t="s">
        <v>2133</v>
      </c>
      <c r="J91" t="s">
        <v>2134</v>
      </c>
      <c r="K91" t="s">
        <v>74</v>
      </c>
      <c r="L91" t="s">
        <v>74</v>
      </c>
      <c r="M91" t="s">
        <v>80</v>
      </c>
      <c r="N91" t="s">
        <v>138</v>
      </c>
      <c r="O91" t="s">
        <v>74</v>
      </c>
      <c r="P91" t="s">
        <v>74</v>
      </c>
      <c r="Q91" t="s">
        <v>74</v>
      </c>
      <c r="R91" t="s">
        <v>74</v>
      </c>
      <c r="S91" t="s">
        <v>74</v>
      </c>
      <c r="T91" t="s">
        <v>2135</v>
      </c>
      <c r="U91" t="s">
        <v>2136</v>
      </c>
      <c r="V91" t="s">
        <v>2137</v>
      </c>
      <c r="W91" t="s">
        <v>2138</v>
      </c>
      <c r="X91" t="s">
        <v>2139</v>
      </c>
      <c r="Y91" t="s">
        <v>2140</v>
      </c>
      <c r="Z91" t="s">
        <v>2141</v>
      </c>
      <c r="AA91" t="s">
        <v>2142</v>
      </c>
      <c r="AB91" t="s">
        <v>2143</v>
      </c>
      <c r="AC91" t="s">
        <v>2144</v>
      </c>
      <c r="AD91" t="s">
        <v>2145</v>
      </c>
      <c r="AE91" t="s">
        <v>2146</v>
      </c>
      <c r="AF91" t="s">
        <v>74</v>
      </c>
      <c r="AG91">
        <v>71</v>
      </c>
      <c r="AH91">
        <v>39</v>
      </c>
      <c r="AI91">
        <v>40</v>
      </c>
      <c r="AJ91">
        <v>1</v>
      </c>
      <c r="AK91">
        <v>56</v>
      </c>
      <c r="AL91" t="s">
        <v>2147</v>
      </c>
      <c r="AM91" t="s">
        <v>2148</v>
      </c>
      <c r="AN91" t="s">
        <v>2149</v>
      </c>
      <c r="AO91" t="s">
        <v>2150</v>
      </c>
      <c r="AP91" t="s">
        <v>2151</v>
      </c>
      <c r="AQ91" t="s">
        <v>74</v>
      </c>
      <c r="AR91" t="s">
        <v>2152</v>
      </c>
      <c r="AS91" t="s">
        <v>2153</v>
      </c>
      <c r="AT91" t="s">
        <v>1527</v>
      </c>
      <c r="AU91">
        <v>2020</v>
      </c>
      <c r="AV91">
        <v>30</v>
      </c>
      <c r="AW91">
        <v>9</v>
      </c>
      <c r="AX91" t="s">
        <v>74</v>
      </c>
      <c r="AY91" t="s">
        <v>74</v>
      </c>
      <c r="AZ91" t="s">
        <v>74</v>
      </c>
      <c r="BA91" t="s">
        <v>74</v>
      </c>
      <c r="BB91" t="s">
        <v>74</v>
      </c>
      <c r="BC91" t="s">
        <v>74</v>
      </c>
      <c r="BD91">
        <v>1900390</v>
      </c>
      <c r="BE91" t="s">
        <v>2154</v>
      </c>
      <c r="BF91" t="str">
        <f>HYPERLINK("http://dx.doi.org/10.1002/adfm.201900390","http://dx.doi.org/10.1002/adfm.201900390")</f>
        <v>http://dx.doi.org/10.1002/adfm.201900390</v>
      </c>
      <c r="BG91" t="s">
        <v>74</v>
      </c>
      <c r="BH91" t="s">
        <v>1272</v>
      </c>
      <c r="BI91">
        <v>11</v>
      </c>
      <c r="BJ91" t="s">
        <v>2155</v>
      </c>
      <c r="BK91" t="s">
        <v>294</v>
      </c>
      <c r="BL91" t="s">
        <v>2156</v>
      </c>
      <c r="BM91" t="s">
        <v>2157</v>
      </c>
      <c r="BN91" t="s">
        <v>74</v>
      </c>
      <c r="BO91" t="s">
        <v>1482</v>
      </c>
      <c r="BP91" t="s">
        <v>74</v>
      </c>
      <c r="BQ91" t="s">
        <v>74</v>
      </c>
      <c r="BR91" t="s">
        <v>108</v>
      </c>
      <c r="BS91" t="s">
        <v>2158</v>
      </c>
      <c r="BT91" t="str">
        <f>HYPERLINK("https%3A%2F%2Fwww.webofscience.com%2Fwos%2Fwoscc%2Ffull-record%2FWOS:000503227400001","View Full Record in Web of Science")</f>
        <v>View Full Record in Web of Science</v>
      </c>
    </row>
    <row r="92" spans="1:72" x14ac:dyDescent="0.15">
      <c r="A92" t="s">
        <v>133</v>
      </c>
      <c r="B92" t="s">
        <v>2159</v>
      </c>
      <c r="C92" t="s">
        <v>74</v>
      </c>
      <c r="D92" t="s">
        <v>74</v>
      </c>
      <c r="E92" t="s">
        <v>74</v>
      </c>
      <c r="F92" t="s">
        <v>2160</v>
      </c>
      <c r="G92" t="s">
        <v>74</v>
      </c>
      <c r="H92" t="s">
        <v>74</v>
      </c>
      <c r="I92" t="s">
        <v>2161</v>
      </c>
      <c r="J92" t="s">
        <v>2162</v>
      </c>
      <c r="K92" t="s">
        <v>74</v>
      </c>
      <c r="L92" t="s">
        <v>74</v>
      </c>
      <c r="M92" t="s">
        <v>80</v>
      </c>
      <c r="N92" t="s">
        <v>138</v>
      </c>
      <c r="O92" t="s">
        <v>74</v>
      </c>
      <c r="P92" t="s">
        <v>74</v>
      </c>
      <c r="Q92" t="s">
        <v>74</v>
      </c>
      <c r="R92" t="s">
        <v>74</v>
      </c>
      <c r="S92" t="s">
        <v>74</v>
      </c>
      <c r="T92" t="s">
        <v>2163</v>
      </c>
      <c r="U92" t="s">
        <v>2164</v>
      </c>
      <c r="V92" t="s">
        <v>2165</v>
      </c>
      <c r="W92" t="s">
        <v>2166</v>
      </c>
      <c r="X92" t="s">
        <v>2167</v>
      </c>
      <c r="Y92" t="s">
        <v>2168</v>
      </c>
      <c r="Z92" t="s">
        <v>2169</v>
      </c>
      <c r="AA92" t="s">
        <v>2170</v>
      </c>
      <c r="AB92" t="s">
        <v>2171</v>
      </c>
      <c r="AC92" t="s">
        <v>2172</v>
      </c>
      <c r="AD92" t="s">
        <v>2173</v>
      </c>
      <c r="AE92" t="s">
        <v>2174</v>
      </c>
      <c r="AF92" t="s">
        <v>74</v>
      </c>
      <c r="AG92">
        <v>118</v>
      </c>
      <c r="AH92">
        <v>39</v>
      </c>
      <c r="AI92">
        <v>42</v>
      </c>
      <c r="AJ92">
        <v>5</v>
      </c>
      <c r="AK92">
        <v>43</v>
      </c>
      <c r="AL92" t="s">
        <v>429</v>
      </c>
      <c r="AM92" t="s">
        <v>430</v>
      </c>
      <c r="AN92" t="s">
        <v>431</v>
      </c>
      <c r="AO92" t="s">
        <v>2175</v>
      </c>
      <c r="AP92" t="s">
        <v>2176</v>
      </c>
      <c r="AQ92" t="s">
        <v>74</v>
      </c>
      <c r="AR92" t="s">
        <v>2177</v>
      </c>
      <c r="AS92" t="s">
        <v>2178</v>
      </c>
      <c r="AT92" t="s">
        <v>1405</v>
      </c>
      <c r="AU92">
        <v>2020</v>
      </c>
      <c r="AV92">
        <v>36</v>
      </c>
      <c r="AW92">
        <v>2</v>
      </c>
      <c r="AX92" t="s">
        <v>74</v>
      </c>
      <c r="AY92" t="s">
        <v>74</v>
      </c>
      <c r="AZ92" t="s">
        <v>74</v>
      </c>
      <c r="BA92" t="s">
        <v>74</v>
      </c>
      <c r="BB92">
        <v>565</v>
      </c>
      <c r="BC92">
        <v>594</v>
      </c>
      <c r="BD92" t="s">
        <v>74</v>
      </c>
      <c r="BE92" t="s">
        <v>2179</v>
      </c>
      <c r="BF92" t="str">
        <f>HYPERLINK("http://dx.doi.org/10.1111/mms.12661","http://dx.doi.org/10.1111/mms.12661")</f>
        <v>http://dx.doi.org/10.1111/mms.12661</v>
      </c>
      <c r="BG92" t="s">
        <v>74</v>
      </c>
      <c r="BH92" t="s">
        <v>1272</v>
      </c>
      <c r="BI92">
        <v>30</v>
      </c>
      <c r="BJ92" t="s">
        <v>2180</v>
      </c>
      <c r="BK92" t="s">
        <v>294</v>
      </c>
      <c r="BL92" t="s">
        <v>2180</v>
      </c>
      <c r="BM92" t="s">
        <v>2181</v>
      </c>
      <c r="BN92" t="s">
        <v>74</v>
      </c>
      <c r="BO92" t="s">
        <v>559</v>
      </c>
      <c r="BP92" t="s">
        <v>74</v>
      </c>
      <c r="BQ92" t="s">
        <v>74</v>
      </c>
      <c r="BR92" t="s">
        <v>108</v>
      </c>
      <c r="BS92" t="s">
        <v>2182</v>
      </c>
      <c r="BT92" t="str">
        <f>HYPERLINK("https%3A%2F%2Fwww.webofscience.com%2Fwos%2Fwoscc%2Ffull-record%2FWOS:000503315800001","View Full Record in Web of Science")</f>
        <v>View Full Record in Web of Science</v>
      </c>
    </row>
    <row r="93" spans="1:72" x14ac:dyDescent="0.15">
      <c r="A93" t="s">
        <v>133</v>
      </c>
      <c r="B93" t="s">
        <v>2183</v>
      </c>
      <c r="C93" t="s">
        <v>74</v>
      </c>
      <c r="D93" t="s">
        <v>74</v>
      </c>
      <c r="E93" t="s">
        <v>74</v>
      </c>
      <c r="F93" t="s">
        <v>2184</v>
      </c>
      <c r="G93" t="s">
        <v>74</v>
      </c>
      <c r="H93" t="s">
        <v>74</v>
      </c>
      <c r="I93" t="s">
        <v>2185</v>
      </c>
      <c r="J93" t="s">
        <v>2186</v>
      </c>
      <c r="K93" t="s">
        <v>74</v>
      </c>
      <c r="L93" t="s">
        <v>74</v>
      </c>
      <c r="M93" t="s">
        <v>80</v>
      </c>
      <c r="N93" t="s">
        <v>138</v>
      </c>
      <c r="O93" t="s">
        <v>74</v>
      </c>
      <c r="P93" t="s">
        <v>74</v>
      </c>
      <c r="Q93" t="s">
        <v>74</v>
      </c>
      <c r="R93" t="s">
        <v>74</v>
      </c>
      <c r="S93" t="s">
        <v>74</v>
      </c>
      <c r="T93" t="s">
        <v>2187</v>
      </c>
      <c r="U93" t="s">
        <v>2188</v>
      </c>
      <c r="V93" t="s">
        <v>2189</v>
      </c>
      <c r="W93" t="s">
        <v>2190</v>
      </c>
      <c r="X93" t="s">
        <v>2191</v>
      </c>
      <c r="Y93" t="s">
        <v>2192</v>
      </c>
      <c r="Z93" t="s">
        <v>2193</v>
      </c>
      <c r="AA93" t="s">
        <v>74</v>
      </c>
      <c r="AB93" t="s">
        <v>2194</v>
      </c>
      <c r="AC93" t="s">
        <v>2195</v>
      </c>
      <c r="AD93" t="s">
        <v>2196</v>
      </c>
      <c r="AE93" t="s">
        <v>2197</v>
      </c>
      <c r="AF93" t="s">
        <v>74</v>
      </c>
      <c r="AG93">
        <v>94</v>
      </c>
      <c r="AH93">
        <v>14</v>
      </c>
      <c r="AI93">
        <v>14</v>
      </c>
      <c r="AJ93">
        <v>2</v>
      </c>
      <c r="AK93">
        <v>29</v>
      </c>
      <c r="AL93" t="s">
        <v>1650</v>
      </c>
      <c r="AM93" t="s">
        <v>1651</v>
      </c>
      <c r="AN93" t="s">
        <v>1652</v>
      </c>
      <c r="AO93" t="s">
        <v>2198</v>
      </c>
      <c r="AP93" t="s">
        <v>2199</v>
      </c>
      <c r="AQ93" t="s">
        <v>74</v>
      </c>
      <c r="AR93" t="s">
        <v>2186</v>
      </c>
      <c r="AS93" t="s">
        <v>2200</v>
      </c>
      <c r="AT93" t="s">
        <v>2201</v>
      </c>
      <c r="AU93">
        <v>2020</v>
      </c>
      <c r="AV93">
        <v>112</v>
      </c>
      <c r="AW93">
        <v>1</v>
      </c>
      <c r="AX93" t="s">
        <v>74</v>
      </c>
      <c r="AY93" t="s">
        <v>74</v>
      </c>
      <c r="AZ93" t="s">
        <v>74</v>
      </c>
      <c r="BA93" t="s">
        <v>74</v>
      </c>
      <c r="BB93">
        <v>9</v>
      </c>
      <c r="BC93">
        <v>23</v>
      </c>
      <c r="BD93" t="s">
        <v>74</v>
      </c>
      <c r="BE93" t="s">
        <v>2202</v>
      </c>
      <c r="BF93" t="str">
        <f>HYPERLINK("http://dx.doi.org/10.1080/00275514.2019.1680219","http://dx.doi.org/10.1080/00275514.2019.1680219")</f>
        <v>http://dx.doi.org/10.1080/00275514.2019.1680219</v>
      </c>
      <c r="BG93" t="s">
        <v>74</v>
      </c>
      <c r="BH93" t="s">
        <v>1272</v>
      </c>
      <c r="BI93">
        <v>15</v>
      </c>
      <c r="BJ93" t="s">
        <v>2203</v>
      </c>
      <c r="BK93" t="s">
        <v>294</v>
      </c>
      <c r="BL93" t="s">
        <v>2203</v>
      </c>
      <c r="BM93" t="s">
        <v>2204</v>
      </c>
      <c r="BN93">
        <v>31852403</v>
      </c>
      <c r="BO93" t="s">
        <v>74</v>
      </c>
      <c r="BP93" t="s">
        <v>74</v>
      </c>
      <c r="BQ93" t="s">
        <v>74</v>
      </c>
      <c r="BR93" t="s">
        <v>108</v>
      </c>
      <c r="BS93" t="s">
        <v>2205</v>
      </c>
      <c r="BT93" t="str">
        <f>HYPERLINK("https%3A%2F%2Fwww.webofscience.com%2Fwos%2Fwoscc%2Ffull-record%2FWOS:000503291700001","View Full Record in Web of Science")</f>
        <v>View Full Record in Web of Science</v>
      </c>
    </row>
    <row r="94" spans="1:72" x14ac:dyDescent="0.15">
      <c r="A94" t="s">
        <v>133</v>
      </c>
      <c r="B94" t="s">
        <v>2206</v>
      </c>
      <c r="C94" t="s">
        <v>74</v>
      </c>
      <c r="D94" t="s">
        <v>74</v>
      </c>
      <c r="E94" t="s">
        <v>74</v>
      </c>
      <c r="F94" t="s">
        <v>2207</v>
      </c>
      <c r="G94" t="s">
        <v>74</v>
      </c>
      <c r="H94" t="s">
        <v>74</v>
      </c>
      <c r="I94" t="s">
        <v>2208</v>
      </c>
      <c r="J94" t="s">
        <v>1438</v>
      </c>
      <c r="K94" t="s">
        <v>74</v>
      </c>
      <c r="L94" t="s">
        <v>74</v>
      </c>
      <c r="M94" t="s">
        <v>80</v>
      </c>
      <c r="N94" t="s">
        <v>138</v>
      </c>
      <c r="O94" t="s">
        <v>74</v>
      </c>
      <c r="P94" t="s">
        <v>74</v>
      </c>
      <c r="Q94" t="s">
        <v>74</v>
      </c>
      <c r="R94" t="s">
        <v>74</v>
      </c>
      <c r="S94" t="s">
        <v>74</v>
      </c>
      <c r="T94" t="s">
        <v>74</v>
      </c>
      <c r="U94" t="s">
        <v>2209</v>
      </c>
      <c r="V94" t="s">
        <v>2210</v>
      </c>
      <c r="W94" t="s">
        <v>2211</v>
      </c>
      <c r="X94" t="s">
        <v>2212</v>
      </c>
      <c r="Y94" t="s">
        <v>2213</v>
      </c>
      <c r="Z94" t="s">
        <v>2214</v>
      </c>
      <c r="AA94" t="s">
        <v>2215</v>
      </c>
      <c r="AB94" t="s">
        <v>2216</v>
      </c>
      <c r="AC94" t="s">
        <v>2217</v>
      </c>
      <c r="AD94" t="s">
        <v>2218</v>
      </c>
      <c r="AE94" t="s">
        <v>2219</v>
      </c>
      <c r="AF94" t="s">
        <v>74</v>
      </c>
      <c r="AG94">
        <v>116</v>
      </c>
      <c r="AH94">
        <v>4</v>
      </c>
      <c r="AI94">
        <v>4</v>
      </c>
      <c r="AJ94">
        <v>2</v>
      </c>
      <c r="AK94">
        <v>20</v>
      </c>
      <c r="AL94" t="s">
        <v>1264</v>
      </c>
      <c r="AM94" t="s">
        <v>1265</v>
      </c>
      <c r="AN94" t="s">
        <v>1266</v>
      </c>
      <c r="AO94" t="s">
        <v>1450</v>
      </c>
      <c r="AP94" t="s">
        <v>1451</v>
      </c>
      <c r="AQ94" t="s">
        <v>74</v>
      </c>
      <c r="AR94" t="s">
        <v>1452</v>
      </c>
      <c r="AS94" t="s">
        <v>1453</v>
      </c>
      <c r="AT94" t="s">
        <v>1270</v>
      </c>
      <c r="AU94">
        <v>2019</v>
      </c>
      <c r="AV94">
        <v>34</v>
      </c>
      <c r="AW94">
        <v>12</v>
      </c>
      <c r="AX94" t="s">
        <v>74</v>
      </c>
      <c r="AY94" t="s">
        <v>74</v>
      </c>
      <c r="AZ94" t="s">
        <v>74</v>
      </c>
      <c r="BA94" t="s">
        <v>74</v>
      </c>
      <c r="BB94">
        <v>2080</v>
      </c>
      <c r="BC94">
        <v>2097</v>
      </c>
      <c r="BD94" t="s">
        <v>74</v>
      </c>
      <c r="BE94" t="s">
        <v>2220</v>
      </c>
      <c r="BF94" t="str">
        <f>HYPERLINK("http://dx.doi.org/10.1029/2019PA003613","http://dx.doi.org/10.1029/2019PA003613")</f>
        <v>http://dx.doi.org/10.1029/2019PA003613</v>
      </c>
      <c r="BG94" t="s">
        <v>74</v>
      </c>
      <c r="BH94" t="s">
        <v>1272</v>
      </c>
      <c r="BI94">
        <v>18</v>
      </c>
      <c r="BJ94" t="s">
        <v>1455</v>
      </c>
      <c r="BK94" t="s">
        <v>294</v>
      </c>
      <c r="BL94" t="s">
        <v>1456</v>
      </c>
      <c r="BM94" t="s">
        <v>1457</v>
      </c>
      <c r="BN94" t="s">
        <v>74</v>
      </c>
      <c r="BO94" t="s">
        <v>2221</v>
      </c>
      <c r="BP94" t="s">
        <v>74</v>
      </c>
      <c r="BQ94" t="s">
        <v>74</v>
      </c>
      <c r="BR94" t="s">
        <v>108</v>
      </c>
      <c r="BS94" t="s">
        <v>2222</v>
      </c>
      <c r="BT94" t="str">
        <f>HYPERLINK("https%3A%2F%2Fwww.webofscience.com%2Fwos%2Fwoscc%2Ffull-record%2FWOS:000503344400001","View Full Record in Web of Science")</f>
        <v>View Full Record in Web of Science</v>
      </c>
    </row>
    <row r="95" spans="1:72" x14ac:dyDescent="0.15">
      <c r="A95" t="s">
        <v>133</v>
      </c>
      <c r="B95" t="s">
        <v>2223</v>
      </c>
      <c r="C95" t="s">
        <v>74</v>
      </c>
      <c r="D95" t="s">
        <v>74</v>
      </c>
      <c r="E95" t="s">
        <v>74</v>
      </c>
      <c r="F95" t="s">
        <v>2224</v>
      </c>
      <c r="G95" t="s">
        <v>74</v>
      </c>
      <c r="H95" t="s">
        <v>74</v>
      </c>
      <c r="I95" t="s">
        <v>2225</v>
      </c>
      <c r="J95" t="s">
        <v>1487</v>
      </c>
      <c r="K95" t="s">
        <v>74</v>
      </c>
      <c r="L95" t="s">
        <v>74</v>
      </c>
      <c r="M95" t="s">
        <v>80</v>
      </c>
      <c r="N95" t="s">
        <v>138</v>
      </c>
      <c r="O95" t="s">
        <v>74</v>
      </c>
      <c r="P95" t="s">
        <v>74</v>
      </c>
      <c r="Q95" t="s">
        <v>74</v>
      </c>
      <c r="R95" t="s">
        <v>74</v>
      </c>
      <c r="S95" t="s">
        <v>74</v>
      </c>
      <c r="T95" t="s">
        <v>2226</v>
      </c>
      <c r="U95" t="s">
        <v>2227</v>
      </c>
      <c r="V95" t="s">
        <v>2228</v>
      </c>
      <c r="W95" t="s">
        <v>2229</v>
      </c>
      <c r="X95" t="s">
        <v>2230</v>
      </c>
      <c r="Y95" t="s">
        <v>2231</v>
      </c>
      <c r="Z95" t="s">
        <v>2232</v>
      </c>
      <c r="AA95" t="s">
        <v>74</v>
      </c>
      <c r="AB95" t="s">
        <v>74</v>
      </c>
      <c r="AC95" t="s">
        <v>2233</v>
      </c>
      <c r="AD95" t="s">
        <v>2234</v>
      </c>
      <c r="AE95" t="s">
        <v>2235</v>
      </c>
      <c r="AF95" t="s">
        <v>74</v>
      </c>
      <c r="AG95">
        <v>52</v>
      </c>
      <c r="AH95">
        <v>10</v>
      </c>
      <c r="AI95">
        <v>10</v>
      </c>
      <c r="AJ95">
        <v>0</v>
      </c>
      <c r="AK95">
        <v>6</v>
      </c>
      <c r="AL95" t="s">
        <v>1264</v>
      </c>
      <c r="AM95" t="s">
        <v>1265</v>
      </c>
      <c r="AN95" t="s">
        <v>1266</v>
      </c>
      <c r="AO95" t="s">
        <v>1500</v>
      </c>
      <c r="AP95" t="s">
        <v>1501</v>
      </c>
      <c r="AQ95" t="s">
        <v>74</v>
      </c>
      <c r="AR95" t="s">
        <v>1502</v>
      </c>
      <c r="AS95" t="s">
        <v>1503</v>
      </c>
      <c r="AT95" t="s">
        <v>1379</v>
      </c>
      <c r="AU95">
        <v>2019</v>
      </c>
      <c r="AV95">
        <v>124</v>
      </c>
      <c r="AW95">
        <v>24</v>
      </c>
      <c r="AX95" t="s">
        <v>74</v>
      </c>
      <c r="AY95" t="s">
        <v>74</v>
      </c>
      <c r="AZ95" t="s">
        <v>74</v>
      </c>
      <c r="BA95" t="s">
        <v>74</v>
      </c>
      <c r="BB95">
        <v>13663</v>
      </c>
      <c r="BC95">
        <v>13679</v>
      </c>
      <c r="BD95" t="s">
        <v>74</v>
      </c>
      <c r="BE95" t="s">
        <v>2236</v>
      </c>
      <c r="BF95" t="str">
        <f>HYPERLINK("http://dx.doi.org/10.1029/2019JD030637","http://dx.doi.org/10.1029/2019JD030637")</f>
        <v>http://dx.doi.org/10.1029/2019JD030637</v>
      </c>
      <c r="BG95" t="s">
        <v>74</v>
      </c>
      <c r="BH95" t="s">
        <v>1272</v>
      </c>
      <c r="BI95">
        <v>17</v>
      </c>
      <c r="BJ95" t="s">
        <v>1024</v>
      </c>
      <c r="BK95" t="s">
        <v>294</v>
      </c>
      <c r="BL95" t="s">
        <v>1024</v>
      </c>
      <c r="BM95" t="s">
        <v>1505</v>
      </c>
      <c r="BN95" t="s">
        <v>74</v>
      </c>
      <c r="BO95" t="s">
        <v>2237</v>
      </c>
      <c r="BP95" t="s">
        <v>74</v>
      </c>
      <c r="BQ95" t="s">
        <v>74</v>
      </c>
      <c r="BR95" t="s">
        <v>108</v>
      </c>
      <c r="BS95" t="s">
        <v>2238</v>
      </c>
      <c r="BT95" t="str">
        <f>HYPERLINK("https%3A%2F%2Fwww.webofscience.com%2Fwos%2Fwoscc%2Ffull-record%2FWOS:000503223800001","View Full Record in Web of Science")</f>
        <v>View Full Record in Web of Science</v>
      </c>
    </row>
    <row r="96" spans="1:72" x14ac:dyDescent="0.15">
      <c r="A96" t="s">
        <v>133</v>
      </c>
      <c r="B96" t="s">
        <v>2239</v>
      </c>
      <c r="C96" t="s">
        <v>74</v>
      </c>
      <c r="D96" t="s">
        <v>74</v>
      </c>
      <c r="E96" t="s">
        <v>74</v>
      </c>
      <c r="F96" t="s">
        <v>2240</v>
      </c>
      <c r="G96" t="s">
        <v>74</v>
      </c>
      <c r="H96" t="s">
        <v>74</v>
      </c>
      <c r="I96" t="s">
        <v>2241</v>
      </c>
      <c r="J96" t="s">
        <v>2242</v>
      </c>
      <c r="K96" t="s">
        <v>74</v>
      </c>
      <c r="L96" t="s">
        <v>74</v>
      </c>
      <c r="M96" t="s">
        <v>80</v>
      </c>
      <c r="N96" t="s">
        <v>138</v>
      </c>
      <c r="O96" t="s">
        <v>74</v>
      </c>
      <c r="P96" t="s">
        <v>74</v>
      </c>
      <c r="Q96" t="s">
        <v>74</v>
      </c>
      <c r="R96" t="s">
        <v>74</v>
      </c>
      <c r="S96" t="s">
        <v>74</v>
      </c>
      <c r="T96" t="s">
        <v>74</v>
      </c>
      <c r="U96" t="s">
        <v>2243</v>
      </c>
      <c r="V96" t="s">
        <v>2244</v>
      </c>
      <c r="W96" t="s">
        <v>2245</v>
      </c>
      <c r="X96" t="s">
        <v>2246</v>
      </c>
      <c r="Y96" t="s">
        <v>2247</v>
      </c>
      <c r="Z96" t="s">
        <v>2248</v>
      </c>
      <c r="AA96" t="s">
        <v>2249</v>
      </c>
      <c r="AB96" t="s">
        <v>2250</v>
      </c>
      <c r="AC96" t="s">
        <v>2251</v>
      </c>
      <c r="AD96" t="s">
        <v>2252</v>
      </c>
      <c r="AE96" t="s">
        <v>2253</v>
      </c>
      <c r="AF96" t="s">
        <v>74</v>
      </c>
      <c r="AG96">
        <v>98</v>
      </c>
      <c r="AH96">
        <v>33</v>
      </c>
      <c r="AI96">
        <v>33</v>
      </c>
      <c r="AJ96">
        <v>1</v>
      </c>
      <c r="AK96">
        <v>3</v>
      </c>
      <c r="AL96" t="s">
        <v>2099</v>
      </c>
      <c r="AM96" t="s">
        <v>2100</v>
      </c>
      <c r="AN96" t="s">
        <v>2101</v>
      </c>
      <c r="AO96" t="s">
        <v>2254</v>
      </c>
      <c r="AP96" t="s">
        <v>2255</v>
      </c>
      <c r="AQ96" t="s">
        <v>74</v>
      </c>
      <c r="AR96" t="s">
        <v>2256</v>
      </c>
      <c r="AS96" t="s">
        <v>2257</v>
      </c>
      <c r="AT96" t="s">
        <v>2258</v>
      </c>
      <c r="AU96">
        <v>2019</v>
      </c>
      <c r="AV96">
        <v>19</v>
      </c>
      <c r="AW96">
        <v>24</v>
      </c>
      <c r="AX96" t="s">
        <v>74</v>
      </c>
      <c r="AY96" t="s">
        <v>74</v>
      </c>
      <c r="AZ96" t="s">
        <v>74</v>
      </c>
      <c r="BA96" t="s">
        <v>74</v>
      </c>
      <c r="BB96">
        <v>15377</v>
      </c>
      <c r="BC96">
        <v>15414</v>
      </c>
      <c r="BD96" t="s">
        <v>74</v>
      </c>
      <c r="BE96" t="s">
        <v>2259</v>
      </c>
      <c r="BF96" t="str">
        <f>HYPERLINK("http://dx.doi.org/10.5194/acp-19-15377-2019","http://dx.doi.org/10.5194/acp-19-15377-2019")</f>
        <v>http://dx.doi.org/10.5194/acp-19-15377-2019</v>
      </c>
      <c r="BG96" t="s">
        <v>74</v>
      </c>
      <c r="BH96" t="s">
        <v>74</v>
      </c>
      <c r="BI96">
        <v>38</v>
      </c>
      <c r="BJ96" t="s">
        <v>103</v>
      </c>
      <c r="BK96" t="s">
        <v>294</v>
      </c>
      <c r="BL96" t="s">
        <v>105</v>
      </c>
      <c r="BM96" t="s">
        <v>2260</v>
      </c>
      <c r="BN96" t="s">
        <v>74</v>
      </c>
      <c r="BO96" t="s">
        <v>2261</v>
      </c>
      <c r="BP96" t="s">
        <v>74</v>
      </c>
      <c r="BQ96" t="s">
        <v>74</v>
      </c>
      <c r="BR96" t="s">
        <v>108</v>
      </c>
      <c r="BS96" t="s">
        <v>2262</v>
      </c>
      <c r="BT96" t="str">
        <f>HYPERLINK("https%3A%2F%2Fwww.webofscience.com%2Fwos%2Fwoscc%2Ffull-record%2FWOS:000503444400003","View Full Record in Web of Science")</f>
        <v>View Full Record in Web of Science</v>
      </c>
    </row>
    <row r="97" spans="1:72" x14ac:dyDescent="0.15">
      <c r="A97" t="s">
        <v>133</v>
      </c>
      <c r="B97" t="s">
        <v>2263</v>
      </c>
      <c r="C97" t="s">
        <v>74</v>
      </c>
      <c r="D97" t="s">
        <v>74</v>
      </c>
      <c r="E97" t="s">
        <v>74</v>
      </c>
      <c r="F97" t="s">
        <v>2264</v>
      </c>
      <c r="G97" t="s">
        <v>74</v>
      </c>
      <c r="H97" t="s">
        <v>74</v>
      </c>
      <c r="I97" t="s">
        <v>2265</v>
      </c>
      <c r="J97" t="s">
        <v>2088</v>
      </c>
      <c r="K97" t="s">
        <v>74</v>
      </c>
      <c r="L97" t="s">
        <v>74</v>
      </c>
      <c r="M97" t="s">
        <v>80</v>
      </c>
      <c r="N97" t="s">
        <v>138</v>
      </c>
      <c r="O97" t="s">
        <v>74</v>
      </c>
      <c r="P97" t="s">
        <v>74</v>
      </c>
      <c r="Q97" t="s">
        <v>74</v>
      </c>
      <c r="R97" t="s">
        <v>74</v>
      </c>
      <c r="S97" t="s">
        <v>74</v>
      </c>
      <c r="T97" t="s">
        <v>74</v>
      </c>
      <c r="U97" t="s">
        <v>2266</v>
      </c>
      <c r="V97" t="s">
        <v>2267</v>
      </c>
      <c r="W97" t="s">
        <v>2268</v>
      </c>
      <c r="X97" t="s">
        <v>2269</v>
      </c>
      <c r="Y97" t="s">
        <v>2270</v>
      </c>
      <c r="Z97" t="s">
        <v>2271</v>
      </c>
      <c r="AA97" t="s">
        <v>2272</v>
      </c>
      <c r="AB97" t="s">
        <v>2273</v>
      </c>
      <c r="AC97" t="s">
        <v>2274</v>
      </c>
      <c r="AD97" t="s">
        <v>2275</v>
      </c>
      <c r="AE97" t="s">
        <v>2276</v>
      </c>
      <c r="AF97" t="s">
        <v>74</v>
      </c>
      <c r="AG97">
        <v>72</v>
      </c>
      <c r="AH97">
        <v>15</v>
      </c>
      <c r="AI97">
        <v>15</v>
      </c>
      <c r="AJ97">
        <v>0</v>
      </c>
      <c r="AK97">
        <v>14</v>
      </c>
      <c r="AL97" t="s">
        <v>2099</v>
      </c>
      <c r="AM97" t="s">
        <v>2100</v>
      </c>
      <c r="AN97" t="s">
        <v>2101</v>
      </c>
      <c r="AO97" t="s">
        <v>2102</v>
      </c>
      <c r="AP97" t="s">
        <v>2103</v>
      </c>
      <c r="AQ97" t="s">
        <v>74</v>
      </c>
      <c r="AR97" t="s">
        <v>2088</v>
      </c>
      <c r="AS97" t="s">
        <v>2104</v>
      </c>
      <c r="AT97" t="s">
        <v>2258</v>
      </c>
      <c r="AU97">
        <v>2019</v>
      </c>
      <c r="AV97">
        <v>13</v>
      </c>
      <c r="AW97">
        <v>12</v>
      </c>
      <c r="AX97" t="s">
        <v>74</v>
      </c>
      <c r="AY97" t="s">
        <v>74</v>
      </c>
      <c r="AZ97" t="s">
        <v>74</v>
      </c>
      <c r="BA97" t="s">
        <v>74</v>
      </c>
      <c r="BB97">
        <v>3383</v>
      </c>
      <c r="BC97">
        <v>3403</v>
      </c>
      <c r="BD97" t="s">
        <v>74</v>
      </c>
      <c r="BE97" t="s">
        <v>2277</v>
      </c>
      <c r="BF97" t="str">
        <f>HYPERLINK("http://dx.doi.org/10.5194/tc-13-3383-2019","http://dx.doi.org/10.5194/tc-13-3383-2019")</f>
        <v>http://dx.doi.org/10.5194/tc-13-3383-2019</v>
      </c>
      <c r="BG97" t="s">
        <v>74</v>
      </c>
      <c r="BH97" t="s">
        <v>74</v>
      </c>
      <c r="BI97">
        <v>21</v>
      </c>
      <c r="BJ97" t="s">
        <v>462</v>
      </c>
      <c r="BK97" t="s">
        <v>294</v>
      </c>
      <c r="BL97" t="s">
        <v>463</v>
      </c>
      <c r="BM97" t="s">
        <v>2278</v>
      </c>
      <c r="BN97" t="s">
        <v>74</v>
      </c>
      <c r="BO97" t="s">
        <v>2279</v>
      </c>
      <c r="BP97" t="s">
        <v>74</v>
      </c>
      <c r="BQ97" t="s">
        <v>74</v>
      </c>
      <c r="BR97" t="s">
        <v>108</v>
      </c>
      <c r="BS97" t="s">
        <v>2280</v>
      </c>
      <c r="BT97" t="str">
        <f>HYPERLINK("https%3A%2F%2Fwww.webofscience.com%2Fwos%2Fwoscc%2Ffull-record%2FWOS:000503446800003","View Full Record in Web of Science")</f>
        <v>View Full Record in Web of Science</v>
      </c>
    </row>
    <row r="98" spans="1:72" x14ac:dyDescent="0.15">
      <c r="A98" t="s">
        <v>133</v>
      </c>
      <c r="B98" t="s">
        <v>2281</v>
      </c>
      <c r="C98" t="s">
        <v>74</v>
      </c>
      <c r="D98" t="s">
        <v>74</v>
      </c>
      <c r="E98" t="s">
        <v>74</v>
      </c>
      <c r="F98" t="s">
        <v>2282</v>
      </c>
      <c r="G98" t="s">
        <v>74</v>
      </c>
      <c r="H98" t="s">
        <v>74</v>
      </c>
      <c r="I98" t="s">
        <v>2283</v>
      </c>
      <c r="J98" t="s">
        <v>1462</v>
      </c>
      <c r="K98" t="s">
        <v>74</v>
      </c>
      <c r="L98" t="s">
        <v>74</v>
      </c>
      <c r="M98" t="s">
        <v>80</v>
      </c>
      <c r="N98" t="s">
        <v>138</v>
      </c>
      <c r="O98" t="s">
        <v>74</v>
      </c>
      <c r="P98" t="s">
        <v>74</v>
      </c>
      <c r="Q98" t="s">
        <v>74</v>
      </c>
      <c r="R98" t="s">
        <v>74</v>
      </c>
      <c r="S98" t="s">
        <v>74</v>
      </c>
      <c r="T98" t="s">
        <v>2284</v>
      </c>
      <c r="U98" t="s">
        <v>2285</v>
      </c>
      <c r="V98" t="s">
        <v>2286</v>
      </c>
      <c r="W98" t="s">
        <v>2287</v>
      </c>
      <c r="X98" t="s">
        <v>2288</v>
      </c>
      <c r="Y98" t="s">
        <v>2289</v>
      </c>
      <c r="Z98" t="s">
        <v>2290</v>
      </c>
      <c r="AA98" t="s">
        <v>2291</v>
      </c>
      <c r="AB98" t="s">
        <v>2292</v>
      </c>
      <c r="AC98" t="s">
        <v>2293</v>
      </c>
      <c r="AD98" t="s">
        <v>2294</v>
      </c>
      <c r="AE98" t="s">
        <v>2295</v>
      </c>
      <c r="AF98" t="s">
        <v>74</v>
      </c>
      <c r="AG98">
        <v>49</v>
      </c>
      <c r="AH98">
        <v>16</v>
      </c>
      <c r="AI98">
        <v>17</v>
      </c>
      <c r="AJ98">
        <v>3</v>
      </c>
      <c r="AK98">
        <v>10</v>
      </c>
      <c r="AL98" t="s">
        <v>1264</v>
      </c>
      <c r="AM98" t="s">
        <v>1265</v>
      </c>
      <c r="AN98" t="s">
        <v>1266</v>
      </c>
      <c r="AO98" t="s">
        <v>1475</v>
      </c>
      <c r="AP98" t="s">
        <v>1476</v>
      </c>
      <c r="AQ98" t="s">
        <v>74</v>
      </c>
      <c r="AR98" t="s">
        <v>1477</v>
      </c>
      <c r="AS98" t="s">
        <v>1478</v>
      </c>
      <c r="AT98" t="s">
        <v>1479</v>
      </c>
      <c r="AU98">
        <v>2019</v>
      </c>
      <c r="AV98">
        <v>46</v>
      </c>
      <c r="AW98">
        <v>24</v>
      </c>
      <c r="AX98" t="s">
        <v>74</v>
      </c>
      <c r="AY98" t="s">
        <v>74</v>
      </c>
      <c r="AZ98" t="s">
        <v>74</v>
      </c>
      <c r="BA98" t="s">
        <v>74</v>
      </c>
      <c r="BB98">
        <v>14567</v>
      </c>
      <c r="BC98">
        <v>14575</v>
      </c>
      <c r="BD98" t="s">
        <v>74</v>
      </c>
      <c r="BE98" t="s">
        <v>2296</v>
      </c>
      <c r="BF98" t="str">
        <f>HYPERLINK("http://dx.doi.org/10.1029/2019GL084657","http://dx.doi.org/10.1029/2019GL084657")</f>
        <v>http://dx.doi.org/10.1029/2019GL084657</v>
      </c>
      <c r="BG98" t="s">
        <v>74</v>
      </c>
      <c r="BH98" t="s">
        <v>1272</v>
      </c>
      <c r="BI98">
        <v>9</v>
      </c>
      <c r="BJ98" t="s">
        <v>849</v>
      </c>
      <c r="BK98" t="s">
        <v>294</v>
      </c>
      <c r="BL98" t="s">
        <v>850</v>
      </c>
      <c r="BM98" t="s">
        <v>1481</v>
      </c>
      <c r="BN98" t="s">
        <v>74</v>
      </c>
      <c r="BO98" t="s">
        <v>666</v>
      </c>
      <c r="BP98" t="s">
        <v>74</v>
      </c>
      <c r="BQ98" t="s">
        <v>74</v>
      </c>
      <c r="BR98" t="s">
        <v>108</v>
      </c>
      <c r="BS98" t="s">
        <v>2297</v>
      </c>
      <c r="BT98" t="str">
        <f>HYPERLINK("https%3A%2F%2Fwww.webofscience.com%2Fwos%2Fwoscc%2Ffull-record%2FWOS:000502929400001","View Full Record in Web of Science")</f>
        <v>View Full Record in Web of Science</v>
      </c>
    </row>
    <row r="99" spans="1:72" x14ac:dyDescent="0.15">
      <c r="A99" t="s">
        <v>133</v>
      </c>
      <c r="B99" t="s">
        <v>2298</v>
      </c>
      <c r="C99" t="s">
        <v>74</v>
      </c>
      <c r="D99" t="s">
        <v>74</v>
      </c>
      <c r="E99" t="s">
        <v>74</v>
      </c>
      <c r="F99" t="s">
        <v>2299</v>
      </c>
      <c r="G99" t="s">
        <v>74</v>
      </c>
      <c r="H99" t="s">
        <v>74</v>
      </c>
      <c r="I99" t="s">
        <v>2300</v>
      </c>
      <c r="J99" t="s">
        <v>1774</v>
      </c>
      <c r="K99" t="s">
        <v>74</v>
      </c>
      <c r="L99" t="s">
        <v>74</v>
      </c>
      <c r="M99" t="s">
        <v>80</v>
      </c>
      <c r="N99" t="s">
        <v>138</v>
      </c>
      <c r="O99" t="s">
        <v>74</v>
      </c>
      <c r="P99" t="s">
        <v>74</v>
      </c>
      <c r="Q99" t="s">
        <v>74</v>
      </c>
      <c r="R99" t="s">
        <v>74</v>
      </c>
      <c r="S99" t="s">
        <v>74</v>
      </c>
      <c r="T99" t="s">
        <v>2301</v>
      </c>
      <c r="U99" t="s">
        <v>2302</v>
      </c>
      <c r="V99" t="s">
        <v>2303</v>
      </c>
      <c r="W99" t="s">
        <v>2304</v>
      </c>
      <c r="X99" t="s">
        <v>2305</v>
      </c>
      <c r="Y99" t="s">
        <v>2306</v>
      </c>
      <c r="Z99" t="s">
        <v>2307</v>
      </c>
      <c r="AA99" t="s">
        <v>2308</v>
      </c>
      <c r="AB99" t="s">
        <v>2309</v>
      </c>
      <c r="AC99" t="s">
        <v>2310</v>
      </c>
      <c r="AD99" t="s">
        <v>2311</v>
      </c>
      <c r="AE99" t="s">
        <v>2312</v>
      </c>
      <c r="AF99" t="s">
        <v>74</v>
      </c>
      <c r="AG99">
        <v>64</v>
      </c>
      <c r="AH99">
        <v>66</v>
      </c>
      <c r="AI99">
        <v>68</v>
      </c>
      <c r="AJ99">
        <v>5</v>
      </c>
      <c r="AK99">
        <v>32</v>
      </c>
      <c r="AL99" t="s">
        <v>1264</v>
      </c>
      <c r="AM99" t="s">
        <v>1265</v>
      </c>
      <c r="AN99" t="s">
        <v>1266</v>
      </c>
      <c r="AO99" t="s">
        <v>74</v>
      </c>
      <c r="AP99" t="s">
        <v>1786</v>
      </c>
      <c r="AQ99" t="s">
        <v>74</v>
      </c>
      <c r="AR99" t="s">
        <v>1787</v>
      </c>
      <c r="AS99" t="s">
        <v>1788</v>
      </c>
      <c r="AT99" t="s">
        <v>1270</v>
      </c>
      <c r="AU99">
        <v>2019</v>
      </c>
      <c r="AV99">
        <v>11</v>
      </c>
      <c r="AW99">
        <v>12</v>
      </c>
      <c r="AX99" t="s">
        <v>74</v>
      </c>
      <c r="AY99" t="s">
        <v>74</v>
      </c>
      <c r="AZ99" t="s">
        <v>74</v>
      </c>
      <c r="BA99" t="s">
        <v>74</v>
      </c>
      <c r="BB99">
        <v>4377</v>
      </c>
      <c r="BC99">
        <v>4394</v>
      </c>
      <c r="BD99" t="s">
        <v>74</v>
      </c>
      <c r="BE99" t="s">
        <v>2313</v>
      </c>
      <c r="BF99" t="str">
        <f>HYPERLINK("http://dx.doi.org/10.1029/2019MS001866","http://dx.doi.org/10.1029/2019MS001866")</f>
        <v>http://dx.doi.org/10.1029/2019MS001866</v>
      </c>
      <c r="BG99" t="s">
        <v>74</v>
      </c>
      <c r="BH99" t="s">
        <v>1272</v>
      </c>
      <c r="BI99">
        <v>18</v>
      </c>
      <c r="BJ99" t="s">
        <v>1024</v>
      </c>
      <c r="BK99" t="s">
        <v>294</v>
      </c>
      <c r="BL99" t="s">
        <v>1024</v>
      </c>
      <c r="BM99" t="s">
        <v>1790</v>
      </c>
      <c r="BN99" t="s">
        <v>74</v>
      </c>
      <c r="BO99" t="s">
        <v>1791</v>
      </c>
      <c r="BP99" t="s">
        <v>74</v>
      </c>
      <c r="BQ99" t="s">
        <v>74</v>
      </c>
      <c r="BR99" t="s">
        <v>108</v>
      </c>
      <c r="BS99" t="s">
        <v>2314</v>
      </c>
      <c r="BT99" t="str">
        <f>HYPERLINK("https%3A%2F%2Fwww.webofscience.com%2Fwos%2Fwoscc%2Ffull-record%2FWOS:000502989000001","View Full Record in Web of Science")</f>
        <v>View Full Record in Web of Science</v>
      </c>
    </row>
    <row r="100" spans="1:72" x14ac:dyDescent="0.15">
      <c r="A100" t="s">
        <v>133</v>
      </c>
      <c r="B100" t="s">
        <v>2315</v>
      </c>
      <c r="C100" t="s">
        <v>74</v>
      </c>
      <c r="D100" t="s">
        <v>74</v>
      </c>
      <c r="E100" t="s">
        <v>74</v>
      </c>
      <c r="F100" t="s">
        <v>2316</v>
      </c>
      <c r="G100" t="s">
        <v>74</v>
      </c>
      <c r="H100" t="s">
        <v>74</v>
      </c>
      <c r="I100" t="s">
        <v>2317</v>
      </c>
      <c r="J100" t="s">
        <v>1928</v>
      </c>
      <c r="K100" t="s">
        <v>74</v>
      </c>
      <c r="L100" t="s">
        <v>74</v>
      </c>
      <c r="M100" t="s">
        <v>80</v>
      </c>
      <c r="N100" t="s">
        <v>138</v>
      </c>
      <c r="O100" t="s">
        <v>74</v>
      </c>
      <c r="P100" t="s">
        <v>74</v>
      </c>
      <c r="Q100" t="s">
        <v>74</v>
      </c>
      <c r="R100" t="s">
        <v>74</v>
      </c>
      <c r="S100" t="s">
        <v>74</v>
      </c>
      <c r="T100" t="s">
        <v>2318</v>
      </c>
      <c r="U100" t="s">
        <v>2319</v>
      </c>
      <c r="V100" t="s">
        <v>2320</v>
      </c>
      <c r="W100" t="s">
        <v>2321</v>
      </c>
      <c r="X100" t="s">
        <v>2322</v>
      </c>
      <c r="Y100" t="s">
        <v>2323</v>
      </c>
      <c r="Z100" t="s">
        <v>2324</v>
      </c>
      <c r="AA100" t="s">
        <v>74</v>
      </c>
      <c r="AB100" t="s">
        <v>2325</v>
      </c>
      <c r="AC100" t="s">
        <v>2326</v>
      </c>
      <c r="AD100" t="s">
        <v>2327</v>
      </c>
      <c r="AE100" t="s">
        <v>2328</v>
      </c>
      <c r="AF100" t="s">
        <v>74</v>
      </c>
      <c r="AG100">
        <v>56</v>
      </c>
      <c r="AH100">
        <v>18</v>
      </c>
      <c r="AI100">
        <v>21</v>
      </c>
      <c r="AJ100">
        <v>0</v>
      </c>
      <c r="AK100">
        <v>37</v>
      </c>
      <c r="AL100" t="s">
        <v>1264</v>
      </c>
      <c r="AM100" t="s">
        <v>1265</v>
      </c>
      <c r="AN100" t="s">
        <v>1266</v>
      </c>
      <c r="AO100" t="s">
        <v>1940</v>
      </c>
      <c r="AP100" t="s">
        <v>1941</v>
      </c>
      <c r="AQ100" t="s">
        <v>74</v>
      </c>
      <c r="AR100" t="s">
        <v>1942</v>
      </c>
      <c r="AS100" t="s">
        <v>1943</v>
      </c>
      <c r="AT100" t="s">
        <v>1270</v>
      </c>
      <c r="AU100">
        <v>2019</v>
      </c>
      <c r="AV100">
        <v>124</v>
      </c>
      <c r="AW100">
        <v>12</v>
      </c>
      <c r="AX100" t="s">
        <v>74</v>
      </c>
      <c r="AY100" t="s">
        <v>74</v>
      </c>
      <c r="AZ100" t="s">
        <v>74</v>
      </c>
      <c r="BA100" t="s">
        <v>74</v>
      </c>
      <c r="BB100">
        <v>9277</v>
      </c>
      <c r="BC100">
        <v>9294</v>
      </c>
      <c r="BD100" t="s">
        <v>74</v>
      </c>
      <c r="BE100" t="s">
        <v>2329</v>
      </c>
      <c r="BF100" t="str">
        <f>HYPERLINK("http://dx.doi.org/10.1029/2018JC014907","http://dx.doi.org/10.1029/2018JC014907")</f>
        <v>http://dx.doi.org/10.1029/2018JC014907</v>
      </c>
      <c r="BG100" t="s">
        <v>74</v>
      </c>
      <c r="BH100" t="s">
        <v>1272</v>
      </c>
      <c r="BI100">
        <v>18</v>
      </c>
      <c r="BJ100" t="s">
        <v>1945</v>
      </c>
      <c r="BK100" t="s">
        <v>294</v>
      </c>
      <c r="BL100" t="s">
        <v>1945</v>
      </c>
      <c r="BM100" t="s">
        <v>1946</v>
      </c>
      <c r="BN100" t="s">
        <v>74</v>
      </c>
      <c r="BO100" t="s">
        <v>2330</v>
      </c>
      <c r="BP100" t="s">
        <v>74</v>
      </c>
      <c r="BQ100" t="s">
        <v>74</v>
      </c>
      <c r="BR100" t="s">
        <v>108</v>
      </c>
      <c r="BS100" t="s">
        <v>2331</v>
      </c>
      <c r="BT100" t="str">
        <f>HYPERLINK("https%3A%2F%2Fwww.webofscience.com%2Fwos%2Fwoscc%2Ffull-record%2FWOS:000502913300001","View Full Record in Web of Science")</f>
        <v>View Full Record in Web of Science</v>
      </c>
    </row>
    <row r="101" spans="1:72" x14ac:dyDescent="0.15">
      <c r="A101" t="s">
        <v>133</v>
      </c>
      <c r="B101" t="s">
        <v>2332</v>
      </c>
      <c r="C101" t="s">
        <v>74</v>
      </c>
      <c r="D101" t="s">
        <v>74</v>
      </c>
      <c r="E101" t="s">
        <v>74</v>
      </c>
      <c r="F101" t="s">
        <v>2333</v>
      </c>
      <c r="G101" t="s">
        <v>74</v>
      </c>
      <c r="H101" t="s">
        <v>74</v>
      </c>
      <c r="I101" t="s">
        <v>2334</v>
      </c>
      <c r="J101" t="s">
        <v>1412</v>
      </c>
      <c r="K101" t="s">
        <v>74</v>
      </c>
      <c r="L101" t="s">
        <v>74</v>
      </c>
      <c r="M101" t="s">
        <v>80</v>
      </c>
      <c r="N101" t="s">
        <v>138</v>
      </c>
      <c r="O101" t="s">
        <v>74</v>
      </c>
      <c r="P101" t="s">
        <v>74</v>
      </c>
      <c r="Q101" t="s">
        <v>74</v>
      </c>
      <c r="R101" t="s">
        <v>74</v>
      </c>
      <c r="S101" t="s">
        <v>74</v>
      </c>
      <c r="T101" t="s">
        <v>2335</v>
      </c>
      <c r="U101" t="s">
        <v>2336</v>
      </c>
      <c r="V101" t="s">
        <v>2337</v>
      </c>
      <c r="W101" t="s">
        <v>2338</v>
      </c>
      <c r="X101" t="s">
        <v>2339</v>
      </c>
      <c r="Y101" t="s">
        <v>2340</v>
      </c>
      <c r="Z101" t="s">
        <v>2341</v>
      </c>
      <c r="AA101" t="s">
        <v>2342</v>
      </c>
      <c r="AB101" t="s">
        <v>2343</v>
      </c>
      <c r="AC101" t="s">
        <v>2344</v>
      </c>
      <c r="AD101" t="s">
        <v>2345</v>
      </c>
      <c r="AE101" t="s">
        <v>2346</v>
      </c>
      <c r="AF101" t="s">
        <v>74</v>
      </c>
      <c r="AG101">
        <v>74</v>
      </c>
      <c r="AH101">
        <v>34</v>
      </c>
      <c r="AI101">
        <v>43</v>
      </c>
      <c r="AJ101">
        <v>7</v>
      </c>
      <c r="AK101">
        <v>64</v>
      </c>
      <c r="AL101" t="s">
        <v>1425</v>
      </c>
      <c r="AM101" t="s">
        <v>1265</v>
      </c>
      <c r="AN101" t="s">
        <v>1426</v>
      </c>
      <c r="AO101" t="s">
        <v>1427</v>
      </c>
      <c r="AP101" t="s">
        <v>74</v>
      </c>
      <c r="AQ101" t="s">
        <v>74</v>
      </c>
      <c r="AR101" t="s">
        <v>1429</v>
      </c>
      <c r="AS101" t="s">
        <v>1430</v>
      </c>
      <c r="AT101" t="s">
        <v>2258</v>
      </c>
      <c r="AU101">
        <v>2019</v>
      </c>
      <c r="AV101">
        <v>116</v>
      </c>
      <c r="AW101">
        <v>51</v>
      </c>
      <c r="AX101" t="s">
        <v>74</v>
      </c>
      <c r="AY101" t="s">
        <v>74</v>
      </c>
      <c r="AZ101" t="s">
        <v>74</v>
      </c>
      <c r="BA101" t="s">
        <v>74</v>
      </c>
      <c r="BB101">
        <v>25721</v>
      </c>
      <c r="BC101">
        <v>25727</v>
      </c>
      <c r="BD101" t="s">
        <v>74</v>
      </c>
      <c r="BE101" t="s">
        <v>2347</v>
      </c>
      <c r="BF101" t="str">
        <f>HYPERLINK("http://dx.doi.org/10.1073/pnas.1913093116","http://dx.doi.org/10.1073/pnas.1913093116")</f>
        <v>http://dx.doi.org/10.1073/pnas.1913093116</v>
      </c>
      <c r="BG101" t="s">
        <v>74</v>
      </c>
      <c r="BH101" t="s">
        <v>74</v>
      </c>
      <c r="BI101">
        <v>7</v>
      </c>
      <c r="BJ101" t="s">
        <v>1245</v>
      </c>
      <c r="BK101" t="s">
        <v>294</v>
      </c>
      <c r="BL101" t="s">
        <v>1246</v>
      </c>
      <c r="BM101" t="s">
        <v>2348</v>
      </c>
      <c r="BN101">
        <v>31792174</v>
      </c>
      <c r="BO101" t="s">
        <v>2349</v>
      </c>
      <c r="BP101" t="s">
        <v>74</v>
      </c>
      <c r="BQ101" t="s">
        <v>74</v>
      </c>
      <c r="BR101" t="s">
        <v>108</v>
      </c>
      <c r="BS101" t="s">
        <v>2350</v>
      </c>
      <c r="BT101" t="str">
        <f>HYPERLINK("https%3A%2F%2Fwww.webofscience.com%2Fwos%2Fwoscc%2Ffull-record%2FWOS:000503281500055","View Full Record in Web of Science")</f>
        <v>View Full Record in Web of Science</v>
      </c>
    </row>
    <row r="102" spans="1:72" x14ac:dyDescent="0.15">
      <c r="A102" t="s">
        <v>133</v>
      </c>
      <c r="B102" t="s">
        <v>2351</v>
      </c>
      <c r="C102" t="s">
        <v>74</v>
      </c>
      <c r="D102" t="s">
        <v>74</v>
      </c>
      <c r="E102" t="s">
        <v>74</v>
      </c>
      <c r="F102" t="s">
        <v>2352</v>
      </c>
      <c r="G102" t="s">
        <v>74</v>
      </c>
      <c r="H102" t="s">
        <v>74</v>
      </c>
      <c r="I102" t="s">
        <v>2353</v>
      </c>
      <c r="J102" t="s">
        <v>1487</v>
      </c>
      <c r="K102" t="s">
        <v>74</v>
      </c>
      <c r="L102" t="s">
        <v>74</v>
      </c>
      <c r="M102" t="s">
        <v>80</v>
      </c>
      <c r="N102" t="s">
        <v>138</v>
      </c>
      <c r="O102" t="s">
        <v>74</v>
      </c>
      <c r="P102" t="s">
        <v>74</v>
      </c>
      <c r="Q102" t="s">
        <v>74</v>
      </c>
      <c r="R102" t="s">
        <v>74</v>
      </c>
      <c r="S102" t="s">
        <v>74</v>
      </c>
      <c r="T102" t="s">
        <v>74</v>
      </c>
      <c r="U102" t="s">
        <v>2354</v>
      </c>
      <c r="V102" t="s">
        <v>2355</v>
      </c>
      <c r="W102" t="s">
        <v>2356</v>
      </c>
      <c r="X102" t="s">
        <v>2357</v>
      </c>
      <c r="Y102" t="s">
        <v>2358</v>
      </c>
      <c r="Z102" t="s">
        <v>2359</v>
      </c>
      <c r="AA102" t="s">
        <v>2360</v>
      </c>
      <c r="AB102" t="s">
        <v>2361</v>
      </c>
      <c r="AC102" t="s">
        <v>2362</v>
      </c>
      <c r="AD102" t="s">
        <v>2363</v>
      </c>
      <c r="AE102" t="s">
        <v>2364</v>
      </c>
      <c r="AF102" t="s">
        <v>74</v>
      </c>
      <c r="AG102">
        <v>17</v>
      </c>
      <c r="AH102">
        <v>12</v>
      </c>
      <c r="AI102">
        <v>13</v>
      </c>
      <c r="AJ102">
        <v>0</v>
      </c>
      <c r="AK102">
        <v>9</v>
      </c>
      <c r="AL102" t="s">
        <v>1264</v>
      </c>
      <c r="AM102" t="s">
        <v>1265</v>
      </c>
      <c r="AN102" t="s">
        <v>1266</v>
      </c>
      <c r="AO102" t="s">
        <v>1500</v>
      </c>
      <c r="AP102" t="s">
        <v>1501</v>
      </c>
      <c r="AQ102" t="s">
        <v>74</v>
      </c>
      <c r="AR102" t="s">
        <v>1502</v>
      </c>
      <c r="AS102" t="s">
        <v>1503</v>
      </c>
      <c r="AT102" t="s">
        <v>2365</v>
      </c>
      <c r="AU102">
        <v>2019</v>
      </c>
      <c r="AV102">
        <v>124</v>
      </c>
      <c r="AW102">
        <v>23</v>
      </c>
      <c r="AX102" t="s">
        <v>74</v>
      </c>
      <c r="AY102" t="s">
        <v>74</v>
      </c>
      <c r="AZ102" t="s">
        <v>74</v>
      </c>
      <c r="BA102" t="s">
        <v>74</v>
      </c>
      <c r="BB102">
        <v>13312</v>
      </c>
      <c r="BC102">
        <v>13324</v>
      </c>
      <c r="BD102" t="s">
        <v>74</v>
      </c>
      <c r="BE102" t="s">
        <v>2366</v>
      </c>
      <c r="BF102" t="str">
        <f>HYPERLINK("http://dx.doi.org/10.1029/2019JD031011","http://dx.doi.org/10.1029/2019JD031011")</f>
        <v>http://dx.doi.org/10.1029/2019JD031011</v>
      </c>
      <c r="BG102" t="s">
        <v>74</v>
      </c>
      <c r="BH102" t="s">
        <v>74</v>
      </c>
      <c r="BI102">
        <v>13</v>
      </c>
      <c r="BJ102" t="s">
        <v>1024</v>
      </c>
      <c r="BK102" t="s">
        <v>294</v>
      </c>
      <c r="BL102" t="s">
        <v>1024</v>
      </c>
      <c r="BM102" t="s">
        <v>2367</v>
      </c>
      <c r="BN102" t="s">
        <v>74</v>
      </c>
      <c r="BO102" t="s">
        <v>2330</v>
      </c>
      <c r="BP102" t="s">
        <v>74</v>
      </c>
      <c r="BQ102" t="s">
        <v>74</v>
      </c>
      <c r="BR102" t="s">
        <v>108</v>
      </c>
      <c r="BS102" t="s">
        <v>2368</v>
      </c>
      <c r="BT102" t="str">
        <f>HYPERLINK("https%3A%2F%2Fwww.webofscience.com%2Fwos%2Fwoscc%2Ffull-record%2FWOS:000505626200053","View Full Record in Web of Science")</f>
        <v>View Full Record in Web of Science</v>
      </c>
    </row>
    <row r="103" spans="1:72" x14ac:dyDescent="0.15">
      <c r="A103" t="s">
        <v>133</v>
      </c>
      <c r="B103" t="s">
        <v>2369</v>
      </c>
      <c r="C103" t="s">
        <v>74</v>
      </c>
      <c r="D103" t="s">
        <v>74</v>
      </c>
      <c r="E103" t="s">
        <v>74</v>
      </c>
      <c r="F103" t="s">
        <v>2370</v>
      </c>
      <c r="G103" t="s">
        <v>74</v>
      </c>
      <c r="H103" t="s">
        <v>74</v>
      </c>
      <c r="I103" t="s">
        <v>2371</v>
      </c>
      <c r="J103" t="s">
        <v>1487</v>
      </c>
      <c r="K103" t="s">
        <v>74</v>
      </c>
      <c r="L103" t="s">
        <v>74</v>
      </c>
      <c r="M103" t="s">
        <v>80</v>
      </c>
      <c r="N103" t="s">
        <v>138</v>
      </c>
      <c r="O103" t="s">
        <v>74</v>
      </c>
      <c r="P103" t="s">
        <v>74</v>
      </c>
      <c r="Q103" t="s">
        <v>74</v>
      </c>
      <c r="R103" t="s">
        <v>74</v>
      </c>
      <c r="S103" t="s">
        <v>74</v>
      </c>
      <c r="T103" t="s">
        <v>2372</v>
      </c>
      <c r="U103" t="s">
        <v>2373</v>
      </c>
      <c r="V103" t="s">
        <v>2374</v>
      </c>
      <c r="W103" t="s">
        <v>2375</v>
      </c>
      <c r="X103" t="s">
        <v>2376</v>
      </c>
      <c r="Y103" t="s">
        <v>2377</v>
      </c>
      <c r="Z103" t="s">
        <v>2378</v>
      </c>
      <c r="AA103" t="s">
        <v>2379</v>
      </c>
      <c r="AB103" t="s">
        <v>2380</v>
      </c>
      <c r="AC103" t="s">
        <v>2381</v>
      </c>
      <c r="AD103" t="s">
        <v>2382</v>
      </c>
      <c r="AE103" t="s">
        <v>2383</v>
      </c>
      <c r="AF103" t="s">
        <v>74</v>
      </c>
      <c r="AG103">
        <v>75</v>
      </c>
      <c r="AH103">
        <v>41</v>
      </c>
      <c r="AI103">
        <v>43</v>
      </c>
      <c r="AJ103">
        <v>9</v>
      </c>
      <c r="AK103">
        <v>52</v>
      </c>
      <c r="AL103" t="s">
        <v>1264</v>
      </c>
      <c r="AM103" t="s">
        <v>1265</v>
      </c>
      <c r="AN103" t="s">
        <v>1266</v>
      </c>
      <c r="AO103" t="s">
        <v>1500</v>
      </c>
      <c r="AP103" t="s">
        <v>1501</v>
      </c>
      <c r="AQ103" t="s">
        <v>74</v>
      </c>
      <c r="AR103" t="s">
        <v>1502</v>
      </c>
      <c r="AS103" t="s">
        <v>1503</v>
      </c>
      <c r="AT103" t="s">
        <v>1379</v>
      </c>
      <c r="AU103">
        <v>2019</v>
      </c>
      <c r="AV103">
        <v>124</v>
      </c>
      <c r="AW103">
        <v>24</v>
      </c>
      <c r="AX103" t="s">
        <v>74</v>
      </c>
      <c r="AY103" t="s">
        <v>74</v>
      </c>
      <c r="AZ103" t="s">
        <v>74</v>
      </c>
      <c r="BA103" t="s">
        <v>74</v>
      </c>
      <c r="BB103">
        <v>13625</v>
      </c>
      <c r="BC103">
        <v>13647</v>
      </c>
      <c r="BD103" t="s">
        <v>74</v>
      </c>
      <c r="BE103" t="s">
        <v>2384</v>
      </c>
      <c r="BF103" t="str">
        <f>HYPERLINK("http://dx.doi.org/10.1029/2019JD030665","http://dx.doi.org/10.1029/2019JD030665")</f>
        <v>http://dx.doi.org/10.1029/2019JD030665</v>
      </c>
      <c r="BG103" t="s">
        <v>74</v>
      </c>
      <c r="BH103" t="s">
        <v>1272</v>
      </c>
      <c r="BI103">
        <v>23</v>
      </c>
      <c r="BJ103" t="s">
        <v>1024</v>
      </c>
      <c r="BK103" t="s">
        <v>294</v>
      </c>
      <c r="BL103" t="s">
        <v>1024</v>
      </c>
      <c r="BM103" t="s">
        <v>1505</v>
      </c>
      <c r="BN103" t="s">
        <v>74</v>
      </c>
      <c r="BO103" t="s">
        <v>2385</v>
      </c>
      <c r="BP103" t="s">
        <v>74</v>
      </c>
      <c r="BQ103" t="s">
        <v>74</v>
      </c>
      <c r="BR103" t="s">
        <v>108</v>
      </c>
      <c r="BS103" t="s">
        <v>2386</v>
      </c>
      <c r="BT103" t="str">
        <f>HYPERLINK("https%3A%2F%2Fwww.webofscience.com%2Fwos%2Fwoscc%2Ffull-record%2FWOS:000502795600001","View Full Record in Web of Science")</f>
        <v>View Full Record in Web of Science</v>
      </c>
    </row>
    <row r="104" spans="1:72" x14ac:dyDescent="0.15">
      <c r="A104" t="s">
        <v>133</v>
      </c>
      <c r="B104" t="s">
        <v>2387</v>
      </c>
      <c r="C104" t="s">
        <v>74</v>
      </c>
      <c r="D104" t="s">
        <v>74</v>
      </c>
      <c r="E104" t="s">
        <v>74</v>
      </c>
      <c r="F104" t="s">
        <v>2388</v>
      </c>
      <c r="G104" t="s">
        <v>74</v>
      </c>
      <c r="H104" t="s">
        <v>74</v>
      </c>
      <c r="I104" t="s">
        <v>2389</v>
      </c>
      <c r="J104" t="s">
        <v>1928</v>
      </c>
      <c r="K104" t="s">
        <v>74</v>
      </c>
      <c r="L104" t="s">
        <v>74</v>
      </c>
      <c r="M104" t="s">
        <v>80</v>
      </c>
      <c r="N104" t="s">
        <v>138</v>
      </c>
      <c r="O104" t="s">
        <v>74</v>
      </c>
      <c r="P104" t="s">
        <v>74</v>
      </c>
      <c r="Q104" t="s">
        <v>74</v>
      </c>
      <c r="R104" t="s">
        <v>74</v>
      </c>
      <c r="S104" t="s">
        <v>74</v>
      </c>
      <c r="T104" t="s">
        <v>2390</v>
      </c>
      <c r="U104" t="s">
        <v>2391</v>
      </c>
      <c r="V104" t="s">
        <v>2392</v>
      </c>
      <c r="W104" t="s">
        <v>2393</v>
      </c>
      <c r="X104" t="s">
        <v>2394</v>
      </c>
      <c r="Y104" t="s">
        <v>2395</v>
      </c>
      <c r="Z104" t="s">
        <v>2396</v>
      </c>
      <c r="AA104" t="s">
        <v>2397</v>
      </c>
      <c r="AB104" t="s">
        <v>2398</v>
      </c>
      <c r="AC104" t="s">
        <v>2399</v>
      </c>
      <c r="AD104" t="s">
        <v>2400</v>
      </c>
      <c r="AE104" t="s">
        <v>2401</v>
      </c>
      <c r="AF104" t="s">
        <v>74</v>
      </c>
      <c r="AG104">
        <v>91</v>
      </c>
      <c r="AH104">
        <v>15</v>
      </c>
      <c r="AI104">
        <v>16</v>
      </c>
      <c r="AJ104">
        <v>0</v>
      </c>
      <c r="AK104">
        <v>20</v>
      </c>
      <c r="AL104" t="s">
        <v>1264</v>
      </c>
      <c r="AM104" t="s">
        <v>1265</v>
      </c>
      <c r="AN104" t="s">
        <v>1266</v>
      </c>
      <c r="AO104" t="s">
        <v>1940</v>
      </c>
      <c r="AP104" t="s">
        <v>1941</v>
      </c>
      <c r="AQ104" t="s">
        <v>74</v>
      </c>
      <c r="AR104" t="s">
        <v>1942</v>
      </c>
      <c r="AS104" t="s">
        <v>1943</v>
      </c>
      <c r="AT104" t="s">
        <v>1270</v>
      </c>
      <c r="AU104">
        <v>2019</v>
      </c>
      <c r="AV104">
        <v>124</v>
      </c>
      <c r="AW104">
        <v>12</v>
      </c>
      <c r="AX104" t="s">
        <v>74</v>
      </c>
      <c r="AY104" t="s">
        <v>74</v>
      </c>
      <c r="AZ104" t="s">
        <v>74</v>
      </c>
      <c r="BA104" t="s">
        <v>74</v>
      </c>
      <c r="BB104">
        <v>9053</v>
      </c>
      <c r="BC104">
        <v>9084</v>
      </c>
      <c r="BD104" t="s">
        <v>74</v>
      </c>
      <c r="BE104" t="s">
        <v>2402</v>
      </c>
      <c r="BF104" t="str">
        <f>HYPERLINK("http://dx.doi.org/10.1029/2019JC015100","http://dx.doi.org/10.1029/2019JC015100")</f>
        <v>http://dx.doi.org/10.1029/2019JC015100</v>
      </c>
      <c r="BG104" t="s">
        <v>74</v>
      </c>
      <c r="BH104" t="s">
        <v>1272</v>
      </c>
      <c r="BI104">
        <v>32</v>
      </c>
      <c r="BJ104" t="s">
        <v>1945</v>
      </c>
      <c r="BK104" t="s">
        <v>294</v>
      </c>
      <c r="BL104" t="s">
        <v>1945</v>
      </c>
      <c r="BM104" t="s">
        <v>1946</v>
      </c>
      <c r="BN104" t="s">
        <v>74</v>
      </c>
      <c r="BO104" t="s">
        <v>2403</v>
      </c>
      <c r="BP104" t="s">
        <v>74</v>
      </c>
      <c r="BQ104" t="s">
        <v>74</v>
      </c>
      <c r="BR104" t="s">
        <v>108</v>
      </c>
      <c r="BS104" t="s">
        <v>2404</v>
      </c>
      <c r="BT104" t="str">
        <f>HYPERLINK("https%3A%2F%2Fwww.webofscience.com%2Fwos%2Fwoscc%2Ffull-record%2FWOS:000502671500001","View Full Record in Web of Science")</f>
        <v>View Full Record in Web of Science</v>
      </c>
    </row>
    <row r="105" spans="1:72" x14ac:dyDescent="0.15">
      <c r="A105" t="s">
        <v>133</v>
      </c>
      <c r="B105" t="s">
        <v>2405</v>
      </c>
      <c r="C105" t="s">
        <v>74</v>
      </c>
      <c r="D105" t="s">
        <v>74</v>
      </c>
      <c r="E105" t="s">
        <v>74</v>
      </c>
      <c r="F105" t="s">
        <v>2406</v>
      </c>
      <c r="G105" t="s">
        <v>74</v>
      </c>
      <c r="H105" t="s">
        <v>74</v>
      </c>
      <c r="I105" t="s">
        <v>2407</v>
      </c>
      <c r="J105" t="s">
        <v>2408</v>
      </c>
      <c r="K105" t="s">
        <v>74</v>
      </c>
      <c r="L105" t="s">
        <v>74</v>
      </c>
      <c r="M105" t="s">
        <v>80</v>
      </c>
      <c r="N105" t="s">
        <v>138</v>
      </c>
      <c r="O105" t="s">
        <v>74</v>
      </c>
      <c r="P105" t="s">
        <v>74</v>
      </c>
      <c r="Q105" t="s">
        <v>74</v>
      </c>
      <c r="R105" t="s">
        <v>74</v>
      </c>
      <c r="S105" t="s">
        <v>74</v>
      </c>
      <c r="T105" t="s">
        <v>74</v>
      </c>
      <c r="U105" t="s">
        <v>2409</v>
      </c>
      <c r="V105" t="s">
        <v>2410</v>
      </c>
      <c r="W105" t="s">
        <v>2411</v>
      </c>
      <c r="X105" t="s">
        <v>2412</v>
      </c>
      <c r="Y105" t="s">
        <v>2413</v>
      </c>
      <c r="Z105" t="s">
        <v>2414</v>
      </c>
      <c r="AA105" t="s">
        <v>74</v>
      </c>
      <c r="AB105" t="s">
        <v>2415</v>
      </c>
      <c r="AC105" t="s">
        <v>2416</v>
      </c>
      <c r="AD105" t="s">
        <v>2417</v>
      </c>
      <c r="AE105" t="s">
        <v>2418</v>
      </c>
      <c r="AF105" t="s">
        <v>74</v>
      </c>
      <c r="AG105">
        <v>50</v>
      </c>
      <c r="AH105">
        <v>2</v>
      </c>
      <c r="AI105">
        <v>4</v>
      </c>
      <c r="AJ105">
        <v>0</v>
      </c>
      <c r="AK105">
        <v>6</v>
      </c>
      <c r="AL105" t="s">
        <v>429</v>
      </c>
      <c r="AM105" t="s">
        <v>430</v>
      </c>
      <c r="AN105" t="s">
        <v>431</v>
      </c>
      <c r="AO105" t="s">
        <v>2419</v>
      </c>
      <c r="AP105" t="s">
        <v>2420</v>
      </c>
      <c r="AQ105" t="s">
        <v>74</v>
      </c>
      <c r="AR105" t="s">
        <v>2421</v>
      </c>
      <c r="AS105" t="s">
        <v>2422</v>
      </c>
      <c r="AT105" t="s">
        <v>291</v>
      </c>
      <c r="AU105">
        <v>2020</v>
      </c>
      <c r="AV105">
        <v>55</v>
      </c>
      <c r="AW105">
        <v>1</v>
      </c>
      <c r="AX105" t="s">
        <v>74</v>
      </c>
      <c r="AY105" t="s">
        <v>74</v>
      </c>
      <c r="AZ105" t="s">
        <v>74</v>
      </c>
      <c r="BA105" t="s">
        <v>74</v>
      </c>
      <c r="BB105">
        <v>3</v>
      </c>
      <c r="BC105">
        <v>19</v>
      </c>
      <c r="BD105" t="s">
        <v>74</v>
      </c>
      <c r="BE105" t="s">
        <v>2423</v>
      </c>
      <c r="BF105" t="str">
        <f>HYPERLINK("http://dx.doi.org/10.1111/maps.13413","http://dx.doi.org/10.1111/maps.13413")</f>
        <v>http://dx.doi.org/10.1111/maps.13413</v>
      </c>
      <c r="BG105" t="s">
        <v>74</v>
      </c>
      <c r="BH105" t="s">
        <v>1272</v>
      </c>
      <c r="BI105">
        <v>17</v>
      </c>
      <c r="BJ105" t="s">
        <v>1067</v>
      </c>
      <c r="BK105" t="s">
        <v>294</v>
      </c>
      <c r="BL105" t="s">
        <v>1067</v>
      </c>
      <c r="BM105" t="s">
        <v>2424</v>
      </c>
      <c r="BN105" t="s">
        <v>74</v>
      </c>
      <c r="BO105" t="s">
        <v>588</v>
      </c>
      <c r="BP105" t="s">
        <v>74</v>
      </c>
      <c r="BQ105" t="s">
        <v>74</v>
      </c>
      <c r="BR105" t="s">
        <v>108</v>
      </c>
      <c r="BS105" t="s">
        <v>2425</v>
      </c>
      <c r="BT105" t="str">
        <f>HYPERLINK("https%3A%2F%2Fwww.webofscience.com%2Fwos%2Fwoscc%2Ffull-record%2FWOS:000502600400001","View Full Record in Web of Science")</f>
        <v>View Full Record in Web of Science</v>
      </c>
    </row>
    <row r="106" spans="1:72" x14ac:dyDescent="0.15">
      <c r="A106" t="s">
        <v>133</v>
      </c>
      <c r="B106" t="s">
        <v>2426</v>
      </c>
      <c r="C106" t="s">
        <v>74</v>
      </c>
      <c r="D106" t="s">
        <v>74</v>
      </c>
      <c r="E106" t="s">
        <v>74</v>
      </c>
      <c r="F106" t="s">
        <v>2427</v>
      </c>
      <c r="G106" t="s">
        <v>74</v>
      </c>
      <c r="H106" t="s">
        <v>74</v>
      </c>
      <c r="I106" t="s">
        <v>2428</v>
      </c>
      <c r="J106" t="s">
        <v>2429</v>
      </c>
      <c r="K106" t="s">
        <v>74</v>
      </c>
      <c r="L106" t="s">
        <v>74</v>
      </c>
      <c r="M106" t="s">
        <v>80</v>
      </c>
      <c r="N106" t="s">
        <v>138</v>
      </c>
      <c r="O106" t="s">
        <v>74</v>
      </c>
      <c r="P106" t="s">
        <v>74</v>
      </c>
      <c r="Q106" t="s">
        <v>74</v>
      </c>
      <c r="R106" t="s">
        <v>74</v>
      </c>
      <c r="S106" t="s">
        <v>74</v>
      </c>
      <c r="T106" t="s">
        <v>2430</v>
      </c>
      <c r="U106" t="s">
        <v>2431</v>
      </c>
      <c r="V106" t="s">
        <v>2432</v>
      </c>
      <c r="W106" t="s">
        <v>2433</v>
      </c>
      <c r="X106" t="s">
        <v>2434</v>
      </c>
      <c r="Y106" t="s">
        <v>2435</v>
      </c>
      <c r="Z106" t="s">
        <v>2436</v>
      </c>
      <c r="AA106" t="s">
        <v>2437</v>
      </c>
      <c r="AB106" t="s">
        <v>74</v>
      </c>
      <c r="AC106" t="s">
        <v>2438</v>
      </c>
      <c r="AD106" t="s">
        <v>2439</v>
      </c>
      <c r="AE106" t="s">
        <v>2440</v>
      </c>
      <c r="AF106" t="s">
        <v>74</v>
      </c>
      <c r="AG106">
        <v>70</v>
      </c>
      <c r="AH106">
        <v>12</v>
      </c>
      <c r="AI106">
        <v>13</v>
      </c>
      <c r="AJ106">
        <v>1</v>
      </c>
      <c r="AK106">
        <v>28</v>
      </c>
      <c r="AL106" t="s">
        <v>379</v>
      </c>
      <c r="AM106" t="s">
        <v>380</v>
      </c>
      <c r="AN106" t="s">
        <v>381</v>
      </c>
      <c r="AO106" t="s">
        <v>2441</v>
      </c>
      <c r="AP106" t="s">
        <v>74</v>
      </c>
      <c r="AQ106" t="s">
        <v>74</v>
      </c>
      <c r="AR106" t="s">
        <v>2442</v>
      </c>
      <c r="AS106" t="s">
        <v>2443</v>
      </c>
      <c r="AT106" t="s">
        <v>2444</v>
      </c>
      <c r="AU106">
        <v>2019</v>
      </c>
      <c r="AV106">
        <v>226</v>
      </c>
      <c r="AW106" t="s">
        <v>74</v>
      </c>
      <c r="AX106" t="s">
        <v>74</v>
      </c>
      <c r="AY106" t="s">
        <v>74</v>
      </c>
      <c r="AZ106" t="s">
        <v>74</v>
      </c>
      <c r="BA106" t="s">
        <v>74</v>
      </c>
      <c r="BB106" t="s">
        <v>74</v>
      </c>
      <c r="BC106" t="s">
        <v>74</v>
      </c>
      <c r="BD106">
        <v>106005</v>
      </c>
      <c r="BE106" t="s">
        <v>2445</v>
      </c>
      <c r="BF106" t="str">
        <f>HYPERLINK("http://dx.doi.org/10.1016/j.quascirev.2019.106005","http://dx.doi.org/10.1016/j.quascirev.2019.106005")</f>
        <v>http://dx.doi.org/10.1016/j.quascirev.2019.106005</v>
      </c>
      <c r="BG106" t="s">
        <v>74</v>
      </c>
      <c r="BH106" t="s">
        <v>74</v>
      </c>
      <c r="BI106">
        <v>14</v>
      </c>
      <c r="BJ106" t="s">
        <v>462</v>
      </c>
      <c r="BK106" t="s">
        <v>294</v>
      </c>
      <c r="BL106" t="s">
        <v>463</v>
      </c>
      <c r="BM106" t="s">
        <v>2446</v>
      </c>
      <c r="BN106" t="s">
        <v>74</v>
      </c>
      <c r="BO106" t="s">
        <v>74</v>
      </c>
      <c r="BP106" t="s">
        <v>74</v>
      </c>
      <c r="BQ106" t="s">
        <v>74</v>
      </c>
      <c r="BR106" t="s">
        <v>108</v>
      </c>
      <c r="BS106" t="s">
        <v>2447</v>
      </c>
      <c r="BT106" t="str">
        <f>HYPERLINK("https%3A%2F%2Fwww.webofscience.com%2Fwos%2Fwoscc%2Ffull-record%2FWOS:000501392800005","View Full Record in Web of Science")</f>
        <v>View Full Record in Web of Science</v>
      </c>
    </row>
    <row r="107" spans="1:72" x14ac:dyDescent="0.15">
      <c r="A107" t="s">
        <v>133</v>
      </c>
      <c r="B107" t="s">
        <v>2448</v>
      </c>
      <c r="C107" t="s">
        <v>74</v>
      </c>
      <c r="D107" t="s">
        <v>74</v>
      </c>
      <c r="E107" t="s">
        <v>74</v>
      </c>
      <c r="F107" t="s">
        <v>2449</v>
      </c>
      <c r="G107" t="s">
        <v>74</v>
      </c>
      <c r="H107" t="s">
        <v>74</v>
      </c>
      <c r="I107" t="s">
        <v>2450</v>
      </c>
      <c r="J107" t="s">
        <v>2451</v>
      </c>
      <c r="K107" t="s">
        <v>74</v>
      </c>
      <c r="L107" t="s">
        <v>74</v>
      </c>
      <c r="M107" t="s">
        <v>80</v>
      </c>
      <c r="N107" t="s">
        <v>138</v>
      </c>
      <c r="O107" t="s">
        <v>74</v>
      </c>
      <c r="P107" t="s">
        <v>74</v>
      </c>
      <c r="Q107" t="s">
        <v>74</v>
      </c>
      <c r="R107" t="s">
        <v>74</v>
      </c>
      <c r="S107" t="s">
        <v>74</v>
      </c>
      <c r="T107" t="s">
        <v>2452</v>
      </c>
      <c r="U107" t="s">
        <v>2453</v>
      </c>
      <c r="V107" t="s">
        <v>2454</v>
      </c>
      <c r="W107" t="s">
        <v>2455</v>
      </c>
      <c r="X107" t="s">
        <v>2456</v>
      </c>
      <c r="Y107" t="s">
        <v>2457</v>
      </c>
      <c r="Z107" t="s">
        <v>2458</v>
      </c>
      <c r="AA107" t="s">
        <v>2459</v>
      </c>
      <c r="AB107" t="s">
        <v>2460</v>
      </c>
      <c r="AC107" t="s">
        <v>2461</v>
      </c>
      <c r="AD107" t="s">
        <v>2462</v>
      </c>
      <c r="AE107" t="s">
        <v>2463</v>
      </c>
      <c r="AF107" t="s">
        <v>74</v>
      </c>
      <c r="AG107">
        <v>46</v>
      </c>
      <c r="AH107">
        <v>31</v>
      </c>
      <c r="AI107">
        <v>35</v>
      </c>
      <c r="AJ107">
        <v>0</v>
      </c>
      <c r="AK107">
        <v>2</v>
      </c>
      <c r="AL107" t="s">
        <v>709</v>
      </c>
      <c r="AM107" t="s">
        <v>380</v>
      </c>
      <c r="AN107" t="s">
        <v>710</v>
      </c>
      <c r="AO107" t="s">
        <v>2464</v>
      </c>
      <c r="AP107" t="s">
        <v>2465</v>
      </c>
      <c r="AQ107" t="s">
        <v>74</v>
      </c>
      <c r="AR107" t="s">
        <v>2466</v>
      </c>
      <c r="AS107" t="s">
        <v>2467</v>
      </c>
      <c r="AT107" t="s">
        <v>2444</v>
      </c>
      <c r="AU107">
        <v>2019</v>
      </c>
      <c r="AV107">
        <v>64</v>
      </c>
      <c r="AW107">
        <v>12</v>
      </c>
      <c r="AX107" t="s">
        <v>74</v>
      </c>
      <c r="AY107" t="s">
        <v>74</v>
      </c>
      <c r="AZ107" t="s">
        <v>555</v>
      </c>
      <c r="BA107" t="s">
        <v>74</v>
      </c>
      <c r="BB107">
        <v>2595</v>
      </c>
      <c r="BC107">
        <v>2609</v>
      </c>
      <c r="BD107" t="s">
        <v>74</v>
      </c>
      <c r="BE107" t="s">
        <v>2468</v>
      </c>
      <c r="BF107" t="str">
        <f>HYPERLINK("http://dx.doi.org/10.1016/j.asr.2019.06.016","http://dx.doi.org/10.1016/j.asr.2019.06.016")</f>
        <v>http://dx.doi.org/10.1016/j.asr.2019.06.016</v>
      </c>
      <c r="BG107" t="s">
        <v>74</v>
      </c>
      <c r="BH107" t="s">
        <v>74</v>
      </c>
      <c r="BI107">
        <v>15</v>
      </c>
      <c r="BJ107" t="s">
        <v>2469</v>
      </c>
      <c r="BK107" t="s">
        <v>294</v>
      </c>
      <c r="BL107" t="s">
        <v>2470</v>
      </c>
      <c r="BM107" t="s">
        <v>2471</v>
      </c>
      <c r="BN107" t="s">
        <v>74</v>
      </c>
      <c r="BO107" t="s">
        <v>2472</v>
      </c>
      <c r="BP107" t="s">
        <v>74</v>
      </c>
      <c r="BQ107" t="s">
        <v>74</v>
      </c>
      <c r="BR107" t="s">
        <v>108</v>
      </c>
      <c r="BS107" t="s">
        <v>2473</v>
      </c>
      <c r="BT107" t="str">
        <f>HYPERLINK("https%3A%2F%2Fwww.webofscience.com%2Fwos%2Fwoscc%2Ffull-record%2FWOS:000501413300020","View Full Record in Web of Science")</f>
        <v>View Full Record in Web of Science</v>
      </c>
    </row>
    <row r="108" spans="1:72" x14ac:dyDescent="0.15">
      <c r="A108" t="s">
        <v>133</v>
      </c>
      <c r="B108" t="s">
        <v>2474</v>
      </c>
      <c r="C108" t="s">
        <v>74</v>
      </c>
      <c r="D108" t="s">
        <v>74</v>
      </c>
      <c r="E108" t="s">
        <v>74</v>
      </c>
      <c r="F108" t="s">
        <v>2475</v>
      </c>
      <c r="G108" t="s">
        <v>74</v>
      </c>
      <c r="H108" t="s">
        <v>74</v>
      </c>
      <c r="I108" t="s">
        <v>2476</v>
      </c>
      <c r="J108" t="s">
        <v>1073</v>
      </c>
      <c r="K108" t="s">
        <v>74</v>
      </c>
      <c r="L108" t="s">
        <v>74</v>
      </c>
      <c r="M108" t="s">
        <v>80</v>
      </c>
      <c r="N108" t="s">
        <v>138</v>
      </c>
      <c r="O108" t="s">
        <v>74</v>
      </c>
      <c r="P108" t="s">
        <v>74</v>
      </c>
      <c r="Q108" t="s">
        <v>74</v>
      </c>
      <c r="R108" t="s">
        <v>74</v>
      </c>
      <c r="S108" t="s">
        <v>74</v>
      </c>
      <c r="T108" t="s">
        <v>2477</v>
      </c>
      <c r="U108" t="s">
        <v>2478</v>
      </c>
      <c r="V108" t="s">
        <v>2479</v>
      </c>
      <c r="W108" t="s">
        <v>2480</v>
      </c>
      <c r="X108" t="s">
        <v>2481</v>
      </c>
      <c r="Y108" t="s">
        <v>2482</v>
      </c>
      <c r="Z108" t="s">
        <v>2483</v>
      </c>
      <c r="AA108" t="s">
        <v>2484</v>
      </c>
      <c r="AB108" t="s">
        <v>2485</v>
      </c>
      <c r="AC108" t="s">
        <v>2486</v>
      </c>
      <c r="AD108" t="s">
        <v>2487</v>
      </c>
      <c r="AE108" t="s">
        <v>2488</v>
      </c>
      <c r="AF108" t="s">
        <v>74</v>
      </c>
      <c r="AG108">
        <v>84</v>
      </c>
      <c r="AH108">
        <v>33</v>
      </c>
      <c r="AI108">
        <v>36</v>
      </c>
      <c r="AJ108">
        <v>27</v>
      </c>
      <c r="AK108">
        <v>184</v>
      </c>
      <c r="AL108" t="s">
        <v>284</v>
      </c>
      <c r="AM108" t="s">
        <v>285</v>
      </c>
      <c r="AN108" t="s">
        <v>286</v>
      </c>
      <c r="AO108" t="s">
        <v>1086</v>
      </c>
      <c r="AP108" t="s">
        <v>1087</v>
      </c>
      <c r="AQ108" t="s">
        <v>74</v>
      </c>
      <c r="AR108" t="s">
        <v>1088</v>
      </c>
      <c r="AS108" t="s">
        <v>1089</v>
      </c>
      <c r="AT108" t="s">
        <v>2444</v>
      </c>
      <c r="AU108">
        <v>2019</v>
      </c>
      <c r="AV108">
        <v>696</v>
      </c>
      <c r="AW108" t="s">
        <v>74</v>
      </c>
      <c r="AX108" t="s">
        <v>74</v>
      </c>
      <c r="AY108" t="s">
        <v>74</v>
      </c>
      <c r="AZ108" t="s">
        <v>74</v>
      </c>
      <c r="BA108" t="s">
        <v>74</v>
      </c>
      <c r="BB108" t="s">
        <v>74</v>
      </c>
      <c r="BC108" t="s">
        <v>74</v>
      </c>
      <c r="BD108">
        <v>134001</v>
      </c>
      <c r="BE108" t="s">
        <v>2489</v>
      </c>
      <c r="BF108" t="str">
        <f>HYPERLINK("http://dx.doi.org/10.1016/j.scitotenv.2019.134001","http://dx.doi.org/10.1016/j.scitotenv.2019.134001")</f>
        <v>http://dx.doi.org/10.1016/j.scitotenv.2019.134001</v>
      </c>
      <c r="BG108" t="s">
        <v>74</v>
      </c>
      <c r="BH108" t="s">
        <v>74</v>
      </c>
      <c r="BI108">
        <v>10</v>
      </c>
      <c r="BJ108" t="s">
        <v>387</v>
      </c>
      <c r="BK108" t="s">
        <v>294</v>
      </c>
      <c r="BL108" t="s">
        <v>388</v>
      </c>
      <c r="BM108" t="s">
        <v>2490</v>
      </c>
      <c r="BN108">
        <v>31454602</v>
      </c>
      <c r="BO108" t="s">
        <v>559</v>
      </c>
      <c r="BP108" t="s">
        <v>74</v>
      </c>
      <c r="BQ108" t="s">
        <v>74</v>
      </c>
      <c r="BR108" t="s">
        <v>108</v>
      </c>
      <c r="BS108" t="s">
        <v>2491</v>
      </c>
      <c r="BT108" t="str">
        <f>HYPERLINK("https%3A%2F%2Fwww.webofscience.com%2Fwos%2Fwoscc%2Ffull-record%2FWOS:000498798600031","View Full Record in Web of Science")</f>
        <v>View Full Record in Web of Science</v>
      </c>
    </row>
    <row r="109" spans="1:72" x14ac:dyDescent="0.15">
      <c r="A109" t="s">
        <v>133</v>
      </c>
      <c r="B109" t="s">
        <v>2492</v>
      </c>
      <c r="C109" t="s">
        <v>74</v>
      </c>
      <c r="D109" t="s">
        <v>74</v>
      </c>
      <c r="E109" t="s">
        <v>74</v>
      </c>
      <c r="F109" t="s">
        <v>2493</v>
      </c>
      <c r="G109" t="s">
        <v>74</v>
      </c>
      <c r="H109" t="s">
        <v>74</v>
      </c>
      <c r="I109" t="s">
        <v>2494</v>
      </c>
      <c r="J109" t="s">
        <v>1048</v>
      </c>
      <c r="K109" t="s">
        <v>74</v>
      </c>
      <c r="L109" t="s">
        <v>74</v>
      </c>
      <c r="M109" t="s">
        <v>80</v>
      </c>
      <c r="N109" t="s">
        <v>138</v>
      </c>
      <c r="O109" t="s">
        <v>74</v>
      </c>
      <c r="P109" t="s">
        <v>74</v>
      </c>
      <c r="Q109" t="s">
        <v>74</v>
      </c>
      <c r="R109" t="s">
        <v>74</v>
      </c>
      <c r="S109" t="s">
        <v>74</v>
      </c>
      <c r="T109" t="s">
        <v>2495</v>
      </c>
      <c r="U109" t="s">
        <v>2496</v>
      </c>
      <c r="V109" t="s">
        <v>2497</v>
      </c>
      <c r="W109" t="s">
        <v>2498</v>
      </c>
      <c r="X109" t="s">
        <v>2499</v>
      </c>
      <c r="Y109" t="s">
        <v>2500</v>
      </c>
      <c r="Z109" t="s">
        <v>2501</v>
      </c>
      <c r="AA109" t="s">
        <v>2502</v>
      </c>
      <c r="AB109" t="s">
        <v>2503</v>
      </c>
      <c r="AC109" t="s">
        <v>2504</v>
      </c>
      <c r="AD109" t="s">
        <v>2505</v>
      </c>
      <c r="AE109" t="s">
        <v>2506</v>
      </c>
      <c r="AF109" t="s">
        <v>74</v>
      </c>
      <c r="AG109">
        <v>84</v>
      </c>
      <c r="AH109">
        <v>18</v>
      </c>
      <c r="AI109">
        <v>19</v>
      </c>
      <c r="AJ109">
        <v>0</v>
      </c>
      <c r="AK109">
        <v>10</v>
      </c>
      <c r="AL109" t="s">
        <v>379</v>
      </c>
      <c r="AM109" t="s">
        <v>380</v>
      </c>
      <c r="AN109" t="s">
        <v>381</v>
      </c>
      <c r="AO109" t="s">
        <v>1061</v>
      </c>
      <c r="AP109" t="s">
        <v>1062</v>
      </c>
      <c r="AQ109" t="s">
        <v>74</v>
      </c>
      <c r="AR109" t="s">
        <v>1063</v>
      </c>
      <c r="AS109" t="s">
        <v>1064</v>
      </c>
      <c r="AT109" t="s">
        <v>2444</v>
      </c>
      <c r="AU109">
        <v>2019</v>
      </c>
      <c r="AV109">
        <v>267</v>
      </c>
      <c r="AW109" t="s">
        <v>74</v>
      </c>
      <c r="AX109" t="s">
        <v>74</v>
      </c>
      <c r="AY109" t="s">
        <v>74</v>
      </c>
      <c r="AZ109" t="s">
        <v>74</v>
      </c>
      <c r="BA109" t="s">
        <v>74</v>
      </c>
      <c r="BB109">
        <v>240</v>
      </c>
      <c r="BC109">
        <v>256</v>
      </c>
      <c r="BD109" t="s">
        <v>74</v>
      </c>
      <c r="BE109" t="s">
        <v>2507</v>
      </c>
      <c r="BF109" t="str">
        <f>HYPERLINK("http://dx.doi.org/10.1016/j.gca.2019.09.033","http://dx.doi.org/10.1016/j.gca.2019.09.033")</f>
        <v>http://dx.doi.org/10.1016/j.gca.2019.09.033</v>
      </c>
      <c r="BG109" t="s">
        <v>74</v>
      </c>
      <c r="BH109" t="s">
        <v>74</v>
      </c>
      <c r="BI109">
        <v>17</v>
      </c>
      <c r="BJ109" t="s">
        <v>1067</v>
      </c>
      <c r="BK109" t="s">
        <v>294</v>
      </c>
      <c r="BL109" t="s">
        <v>1067</v>
      </c>
      <c r="BM109" t="s">
        <v>2508</v>
      </c>
      <c r="BN109" t="s">
        <v>74</v>
      </c>
      <c r="BO109" t="s">
        <v>559</v>
      </c>
      <c r="BP109" t="s">
        <v>74</v>
      </c>
      <c r="BQ109" t="s">
        <v>74</v>
      </c>
      <c r="BR109" t="s">
        <v>108</v>
      </c>
      <c r="BS109" t="s">
        <v>2509</v>
      </c>
      <c r="BT109" t="str">
        <f>HYPERLINK("https%3A%2F%2Fwww.webofscience.com%2Fwos%2Fwoscc%2Ffull-record%2FWOS:000491872600014","View Full Record in Web of Science")</f>
        <v>View Full Record in Web of Science</v>
      </c>
    </row>
    <row r="110" spans="1:72" x14ac:dyDescent="0.15">
      <c r="A110" t="s">
        <v>133</v>
      </c>
      <c r="B110" t="s">
        <v>2510</v>
      </c>
      <c r="C110" t="s">
        <v>74</v>
      </c>
      <c r="D110" t="s">
        <v>74</v>
      </c>
      <c r="E110" t="s">
        <v>74</v>
      </c>
      <c r="F110" t="s">
        <v>2511</v>
      </c>
      <c r="G110" t="s">
        <v>74</v>
      </c>
      <c r="H110" t="s">
        <v>74</v>
      </c>
      <c r="I110" t="s">
        <v>2512</v>
      </c>
      <c r="J110" t="s">
        <v>1252</v>
      </c>
      <c r="K110" t="s">
        <v>74</v>
      </c>
      <c r="L110" t="s">
        <v>74</v>
      </c>
      <c r="M110" t="s">
        <v>80</v>
      </c>
      <c r="N110" t="s">
        <v>138</v>
      </c>
      <c r="O110" t="s">
        <v>74</v>
      </c>
      <c r="P110" t="s">
        <v>74</v>
      </c>
      <c r="Q110" t="s">
        <v>74</v>
      </c>
      <c r="R110" t="s">
        <v>74</v>
      </c>
      <c r="S110" t="s">
        <v>74</v>
      </c>
      <c r="T110" t="s">
        <v>2513</v>
      </c>
      <c r="U110" t="s">
        <v>2514</v>
      </c>
      <c r="V110" t="s">
        <v>2515</v>
      </c>
      <c r="W110" t="s">
        <v>2516</v>
      </c>
      <c r="X110" t="s">
        <v>2517</v>
      </c>
      <c r="Y110" t="s">
        <v>2518</v>
      </c>
      <c r="Z110" t="s">
        <v>2519</v>
      </c>
      <c r="AA110" t="s">
        <v>2520</v>
      </c>
      <c r="AB110" t="s">
        <v>2521</v>
      </c>
      <c r="AC110" t="s">
        <v>2522</v>
      </c>
      <c r="AD110" t="s">
        <v>2522</v>
      </c>
      <c r="AE110" t="s">
        <v>2523</v>
      </c>
      <c r="AF110" t="s">
        <v>74</v>
      </c>
      <c r="AG110">
        <v>40</v>
      </c>
      <c r="AH110">
        <v>5</v>
      </c>
      <c r="AI110">
        <v>6</v>
      </c>
      <c r="AJ110">
        <v>3</v>
      </c>
      <c r="AK110">
        <v>11</v>
      </c>
      <c r="AL110" t="s">
        <v>1264</v>
      </c>
      <c r="AM110" t="s">
        <v>1265</v>
      </c>
      <c r="AN110" t="s">
        <v>1266</v>
      </c>
      <c r="AO110" t="s">
        <v>74</v>
      </c>
      <c r="AP110" t="s">
        <v>1267</v>
      </c>
      <c r="AQ110" t="s">
        <v>74</v>
      </c>
      <c r="AR110" t="s">
        <v>1268</v>
      </c>
      <c r="AS110" t="s">
        <v>1269</v>
      </c>
      <c r="AT110" t="s">
        <v>1270</v>
      </c>
      <c r="AU110">
        <v>2019</v>
      </c>
      <c r="AV110">
        <v>6</v>
      </c>
      <c r="AW110">
        <v>12</v>
      </c>
      <c r="AX110" t="s">
        <v>74</v>
      </c>
      <c r="AY110" t="s">
        <v>74</v>
      </c>
      <c r="AZ110" t="s">
        <v>74</v>
      </c>
      <c r="BA110" t="s">
        <v>74</v>
      </c>
      <c r="BB110">
        <v>2397</v>
      </c>
      <c r="BC110">
        <v>2409</v>
      </c>
      <c r="BD110" t="s">
        <v>74</v>
      </c>
      <c r="BE110" t="s">
        <v>2524</v>
      </c>
      <c r="BF110" t="str">
        <f>HYPERLINK("http://dx.doi.org/10.1029/2019EA000890","http://dx.doi.org/10.1029/2019EA000890")</f>
        <v>http://dx.doi.org/10.1029/2019EA000890</v>
      </c>
      <c r="BG110" t="s">
        <v>74</v>
      </c>
      <c r="BH110" t="s">
        <v>1272</v>
      </c>
      <c r="BI110">
        <v>13</v>
      </c>
      <c r="BJ110" t="s">
        <v>1273</v>
      </c>
      <c r="BK110" t="s">
        <v>294</v>
      </c>
      <c r="BL110" t="s">
        <v>1274</v>
      </c>
      <c r="BM110" t="s">
        <v>1275</v>
      </c>
      <c r="BN110" t="s">
        <v>74</v>
      </c>
      <c r="BO110" t="s">
        <v>107</v>
      </c>
      <c r="BP110" t="s">
        <v>74</v>
      </c>
      <c r="BQ110" t="s">
        <v>74</v>
      </c>
      <c r="BR110" t="s">
        <v>108</v>
      </c>
      <c r="BS110" t="s">
        <v>2525</v>
      </c>
      <c r="BT110" t="str">
        <f>HYPERLINK("https%3A%2F%2Fwww.webofscience.com%2Fwos%2Fwoscc%2Ffull-record%2FWOS:000502470500001","View Full Record in Web of Science")</f>
        <v>View Full Record in Web of Science</v>
      </c>
    </row>
    <row r="111" spans="1:72" x14ac:dyDescent="0.15">
      <c r="A111" t="s">
        <v>133</v>
      </c>
      <c r="B111" t="s">
        <v>2351</v>
      </c>
      <c r="C111" t="s">
        <v>74</v>
      </c>
      <c r="D111" t="s">
        <v>74</v>
      </c>
      <c r="E111" t="s">
        <v>74</v>
      </c>
      <c r="F111" t="s">
        <v>2352</v>
      </c>
      <c r="G111" t="s">
        <v>74</v>
      </c>
      <c r="H111" t="s">
        <v>74</v>
      </c>
      <c r="I111" t="s">
        <v>2526</v>
      </c>
      <c r="J111" t="s">
        <v>1487</v>
      </c>
      <c r="K111" t="s">
        <v>74</v>
      </c>
      <c r="L111" t="s">
        <v>74</v>
      </c>
      <c r="M111" t="s">
        <v>80</v>
      </c>
      <c r="N111" t="s">
        <v>138</v>
      </c>
      <c r="O111" t="s">
        <v>74</v>
      </c>
      <c r="P111" t="s">
        <v>74</v>
      </c>
      <c r="Q111" t="s">
        <v>74</v>
      </c>
      <c r="R111" t="s">
        <v>74</v>
      </c>
      <c r="S111" t="s">
        <v>74</v>
      </c>
      <c r="T111" t="s">
        <v>74</v>
      </c>
      <c r="U111" t="s">
        <v>2527</v>
      </c>
      <c r="V111" t="s">
        <v>2528</v>
      </c>
      <c r="W111" t="s">
        <v>2529</v>
      </c>
      <c r="X111" t="s">
        <v>2530</v>
      </c>
      <c r="Y111" t="s">
        <v>2358</v>
      </c>
      <c r="Z111" t="s">
        <v>2359</v>
      </c>
      <c r="AA111" t="s">
        <v>2360</v>
      </c>
      <c r="AB111" t="s">
        <v>2531</v>
      </c>
      <c r="AC111" t="s">
        <v>2532</v>
      </c>
      <c r="AD111" t="s">
        <v>2533</v>
      </c>
      <c r="AE111" t="s">
        <v>2534</v>
      </c>
      <c r="AF111" t="s">
        <v>74</v>
      </c>
      <c r="AG111">
        <v>36</v>
      </c>
      <c r="AH111">
        <v>21</v>
      </c>
      <c r="AI111">
        <v>22</v>
      </c>
      <c r="AJ111">
        <v>1</v>
      </c>
      <c r="AK111">
        <v>11</v>
      </c>
      <c r="AL111" t="s">
        <v>1264</v>
      </c>
      <c r="AM111" t="s">
        <v>1265</v>
      </c>
      <c r="AN111" t="s">
        <v>1266</v>
      </c>
      <c r="AO111" t="s">
        <v>1500</v>
      </c>
      <c r="AP111" t="s">
        <v>1501</v>
      </c>
      <c r="AQ111" t="s">
        <v>74</v>
      </c>
      <c r="AR111" t="s">
        <v>1502</v>
      </c>
      <c r="AS111" t="s">
        <v>1503</v>
      </c>
      <c r="AT111" t="s">
        <v>2365</v>
      </c>
      <c r="AU111">
        <v>2019</v>
      </c>
      <c r="AV111">
        <v>124</v>
      </c>
      <c r="AW111">
        <v>23</v>
      </c>
      <c r="AX111" t="s">
        <v>74</v>
      </c>
      <c r="AY111" t="s">
        <v>74</v>
      </c>
      <c r="AZ111" t="s">
        <v>74</v>
      </c>
      <c r="BA111" t="s">
        <v>74</v>
      </c>
      <c r="BB111">
        <v>13291</v>
      </c>
      <c r="BC111">
        <v>13311</v>
      </c>
      <c r="BD111" t="s">
        <v>74</v>
      </c>
      <c r="BE111" t="s">
        <v>2535</v>
      </c>
      <c r="BF111" t="str">
        <f>HYPERLINK("http://dx.doi.org/10.1029/2019JD031010","http://dx.doi.org/10.1029/2019JD031010")</f>
        <v>http://dx.doi.org/10.1029/2019JD031010</v>
      </c>
      <c r="BG111" t="s">
        <v>74</v>
      </c>
      <c r="BH111" t="s">
        <v>1272</v>
      </c>
      <c r="BI111">
        <v>21</v>
      </c>
      <c r="BJ111" t="s">
        <v>1024</v>
      </c>
      <c r="BK111" t="s">
        <v>294</v>
      </c>
      <c r="BL111" t="s">
        <v>1024</v>
      </c>
      <c r="BM111" t="s">
        <v>2367</v>
      </c>
      <c r="BN111" t="s">
        <v>74</v>
      </c>
      <c r="BO111" t="s">
        <v>1026</v>
      </c>
      <c r="BP111" t="s">
        <v>74</v>
      </c>
      <c r="BQ111" t="s">
        <v>74</v>
      </c>
      <c r="BR111" t="s">
        <v>108</v>
      </c>
      <c r="BS111" t="s">
        <v>2536</v>
      </c>
      <c r="BT111" t="str">
        <f>HYPERLINK("https%3A%2F%2Fwww.webofscience.com%2Fwos%2Fwoscc%2Ffull-record%2FWOS:000502496100001","View Full Record in Web of Science")</f>
        <v>View Full Record in Web of Science</v>
      </c>
    </row>
    <row r="112" spans="1:72" x14ac:dyDescent="0.15">
      <c r="A112" t="s">
        <v>133</v>
      </c>
      <c r="B112" t="s">
        <v>2537</v>
      </c>
      <c r="C112" t="s">
        <v>74</v>
      </c>
      <c r="D112" t="s">
        <v>74</v>
      </c>
      <c r="E112" t="s">
        <v>74</v>
      </c>
      <c r="F112" t="s">
        <v>2538</v>
      </c>
      <c r="G112" t="s">
        <v>74</v>
      </c>
      <c r="H112" t="s">
        <v>74</v>
      </c>
      <c r="I112" t="s">
        <v>2539</v>
      </c>
      <c r="J112" t="s">
        <v>1928</v>
      </c>
      <c r="K112" t="s">
        <v>74</v>
      </c>
      <c r="L112" t="s">
        <v>74</v>
      </c>
      <c r="M112" t="s">
        <v>80</v>
      </c>
      <c r="N112" t="s">
        <v>138</v>
      </c>
      <c r="O112" t="s">
        <v>74</v>
      </c>
      <c r="P112" t="s">
        <v>74</v>
      </c>
      <c r="Q112" t="s">
        <v>74</v>
      </c>
      <c r="R112" t="s">
        <v>74</v>
      </c>
      <c r="S112" t="s">
        <v>74</v>
      </c>
      <c r="T112" t="s">
        <v>2540</v>
      </c>
      <c r="U112" t="s">
        <v>2541</v>
      </c>
      <c r="V112" t="s">
        <v>2542</v>
      </c>
      <c r="W112" t="s">
        <v>2543</v>
      </c>
      <c r="X112" t="s">
        <v>2544</v>
      </c>
      <c r="Y112" t="s">
        <v>2545</v>
      </c>
      <c r="Z112" t="s">
        <v>2546</v>
      </c>
      <c r="AA112" t="s">
        <v>2547</v>
      </c>
      <c r="AB112" t="s">
        <v>2548</v>
      </c>
      <c r="AC112" t="s">
        <v>2549</v>
      </c>
      <c r="AD112" t="s">
        <v>2550</v>
      </c>
      <c r="AE112" t="s">
        <v>2551</v>
      </c>
      <c r="AF112" t="s">
        <v>74</v>
      </c>
      <c r="AG112">
        <v>59</v>
      </c>
      <c r="AH112">
        <v>5</v>
      </c>
      <c r="AI112">
        <v>5</v>
      </c>
      <c r="AJ112">
        <v>5</v>
      </c>
      <c r="AK112">
        <v>25</v>
      </c>
      <c r="AL112" t="s">
        <v>1264</v>
      </c>
      <c r="AM112" t="s">
        <v>1265</v>
      </c>
      <c r="AN112" t="s">
        <v>1266</v>
      </c>
      <c r="AO112" t="s">
        <v>1940</v>
      </c>
      <c r="AP112" t="s">
        <v>1941</v>
      </c>
      <c r="AQ112" t="s">
        <v>74</v>
      </c>
      <c r="AR112" t="s">
        <v>1942</v>
      </c>
      <c r="AS112" t="s">
        <v>1943</v>
      </c>
      <c r="AT112" t="s">
        <v>1270</v>
      </c>
      <c r="AU112">
        <v>2019</v>
      </c>
      <c r="AV112">
        <v>124</v>
      </c>
      <c r="AW112">
        <v>12</v>
      </c>
      <c r="AX112" t="s">
        <v>74</v>
      </c>
      <c r="AY112" t="s">
        <v>74</v>
      </c>
      <c r="AZ112" t="s">
        <v>74</v>
      </c>
      <c r="BA112" t="s">
        <v>74</v>
      </c>
      <c r="BB112">
        <v>9020</v>
      </c>
      <c r="BC112">
        <v>9039</v>
      </c>
      <c r="BD112" t="s">
        <v>74</v>
      </c>
      <c r="BE112" t="s">
        <v>2552</v>
      </c>
      <c r="BF112" t="str">
        <f>HYPERLINK("http://dx.doi.org/10.1029/2019JC015498","http://dx.doi.org/10.1029/2019JC015498")</f>
        <v>http://dx.doi.org/10.1029/2019JC015498</v>
      </c>
      <c r="BG112" t="s">
        <v>74</v>
      </c>
      <c r="BH112" t="s">
        <v>1272</v>
      </c>
      <c r="BI112">
        <v>20</v>
      </c>
      <c r="BJ112" t="s">
        <v>1945</v>
      </c>
      <c r="BK112" t="s">
        <v>294</v>
      </c>
      <c r="BL112" t="s">
        <v>1945</v>
      </c>
      <c r="BM112" t="s">
        <v>1946</v>
      </c>
      <c r="BN112" t="s">
        <v>74</v>
      </c>
      <c r="BO112" t="s">
        <v>1482</v>
      </c>
      <c r="BP112" t="s">
        <v>74</v>
      </c>
      <c r="BQ112" t="s">
        <v>74</v>
      </c>
      <c r="BR112" t="s">
        <v>108</v>
      </c>
      <c r="BS112" t="s">
        <v>2553</v>
      </c>
      <c r="BT112" t="str">
        <f>HYPERLINK("https%3A%2F%2Fwww.webofscience.com%2Fwos%2Fwoscc%2Ffull-record%2FWOS:000502495900001","View Full Record in Web of Science")</f>
        <v>View Full Record in Web of Science</v>
      </c>
    </row>
    <row r="113" spans="1:72" x14ac:dyDescent="0.15">
      <c r="A113" t="s">
        <v>133</v>
      </c>
      <c r="B113" t="s">
        <v>2554</v>
      </c>
      <c r="C113" t="s">
        <v>74</v>
      </c>
      <c r="D113" t="s">
        <v>74</v>
      </c>
      <c r="E113" t="s">
        <v>74</v>
      </c>
      <c r="F113" t="s">
        <v>2555</v>
      </c>
      <c r="G113" t="s">
        <v>74</v>
      </c>
      <c r="H113" t="s">
        <v>74</v>
      </c>
      <c r="I113" t="s">
        <v>2556</v>
      </c>
      <c r="J113" t="s">
        <v>1553</v>
      </c>
      <c r="K113" t="s">
        <v>74</v>
      </c>
      <c r="L113" t="s">
        <v>74</v>
      </c>
      <c r="M113" t="s">
        <v>80</v>
      </c>
      <c r="N113" t="s">
        <v>138</v>
      </c>
      <c r="O113" t="s">
        <v>74</v>
      </c>
      <c r="P113" t="s">
        <v>74</v>
      </c>
      <c r="Q113" t="s">
        <v>74</v>
      </c>
      <c r="R113" t="s">
        <v>74</v>
      </c>
      <c r="S113" t="s">
        <v>74</v>
      </c>
      <c r="T113" t="s">
        <v>2557</v>
      </c>
      <c r="U113" t="s">
        <v>2558</v>
      </c>
      <c r="V113" t="s">
        <v>2559</v>
      </c>
      <c r="W113" t="s">
        <v>2560</v>
      </c>
      <c r="X113" t="s">
        <v>2561</v>
      </c>
      <c r="Y113" t="s">
        <v>2562</v>
      </c>
      <c r="Z113" t="s">
        <v>2563</v>
      </c>
      <c r="AA113" t="s">
        <v>2564</v>
      </c>
      <c r="AB113" t="s">
        <v>2565</v>
      </c>
      <c r="AC113" t="s">
        <v>2566</v>
      </c>
      <c r="AD113" t="s">
        <v>2567</v>
      </c>
      <c r="AE113" t="s">
        <v>2568</v>
      </c>
      <c r="AF113" t="s">
        <v>74</v>
      </c>
      <c r="AG113">
        <v>40</v>
      </c>
      <c r="AH113">
        <v>11</v>
      </c>
      <c r="AI113">
        <v>12</v>
      </c>
      <c r="AJ113">
        <v>0</v>
      </c>
      <c r="AK113">
        <v>3</v>
      </c>
      <c r="AL113" t="s">
        <v>1264</v>
      </c>
      <c r="AM113" t="s">
        <v>1265</v>
      </c>
      <c r="AN113" t="s">
        <v>1266</v>
      </c>
      <c r="AO113" t="s">
        <v>1566</v>
      </c>
      <c r="AP113" t="s">
        <v>1567</v>
      </c>
      <c r="AQ113" t="s">
        <v>74</v>
      </c>
      <c r="AR113" t="s">
        <v>1568</v>
      </c>
      <c r="AS113" t="s">
        <v>1569</v>
      </c>
      <c r="AT113" t="s">
        <v>1270</v>
      </c>
      <c r="AU113">
        <v>2019</v>
      </c>
      <c r="AV113">
        <v>124</v>
      </c>
      <c r="AW113">
        <v>12</v>
      </c>
      <c r="AX113" t="s">
        <v>74</v>
      </c>
      <c r="AY113" t="s">
        <v>74</v>
      </c>
      <c r="AZ113" t="s">
        <v>74</v>
      </c>
      <c r="BA113" t="s">
        <v>74</v>
      </c>
      <c r="BB113">
        <v>9791</v>
      </c>
      <c r="BC113">
        <v>9813</v>
      </c>
      <c r="BD113" t="s">
        <v>74</v>
      </c>
      <c r="BE113" t="s">
        <v>2569</v>
      </c>
      <c r="BF113" t="str">
        <f>HYPERLINK("http://dx.doi.org/10.1029/2019JA026651","http://dx.doi.org/10.1029/2019JA026651")</f>
        <v>http://dx.doi.org/10.1029/2019JA026651</v>
      </c>
      <c r="BG113" t="s">
        <v>74</v>
      </c>
      <c r="BH113" t="s">
        <v>1272</v>
      </c>
      <c r="BI113">
        <v>23</v>
      </c>
      <c r="BJ113" t="s">
        <v>1571</v>
      </c>
      <c r="BK113" t="s">
        <v>294</v>
      </c>
      <c r="BL113" t="s">
        <v>1571</v>
      </c>
      <c r="BM113" t="s">
        <v>1572</v>
      </c>
      <c r="BN113" t="s">
        <v>74</v>
      </c>
      <c r="BO113" t="s">
        <v>2570</v>
      </c>
      <c r="BP113" t="s">
        <v>74</v>
      </c>
      <c r="BQ113" t="s">
        <v>74</v>
      </c>
      <c r="BR113" t="s">
        <v>108</v>
      </c>
      <c r="BS113" t="s">
        <v>2571</v>
      </c>
      <c r="BT113" t="str">
        <f>HYPERLINK("https%3A%2F%2Fwww.webofscience.com%2Fwos%2Fwoscc%2Ffull-record%2FWOS:000502501900001","View Full Record in Web of Science")</f>
        <v>View Full Record in Web of Science</v>
      </c>
    </row>
    <row r="114" spans="1:72" x14ac:dyDescent="0.15">
      <c r="A114" t="s">
        <v>133</v>
      </c>
      <c r="B114" t="s">
        <v>2572</v>
      </c>
      <c r="C114" t="s">
        <v>74</v>
      </c>
      <c r="D114" t="s">
        <v>74</v>
      </c>
      <c r="E114" t="s">
        <v>74</v>
      </c>
      <c r="F114" t="s">
        <v>2573</v>
      </c>
      <c r="G114" t="s">
        <v>74</v>
      </c>
      <c r="H114" t="s">
        <v>74</v>
      </c>
      <c r="I114" t="s">
        <v>2574</v>
      </c>
      <c r="J114" t="s">
        <v>2575</v>
      </c>
      <c r="K114" t="s">
        <v>74</v>
      </c>
      <c r="L114" t="s">
        <v>74</v>
      </c>
      <c r="M114" t="s">
        <v>80</v>
      </c>
      <c r="N114" t="s">
        <v>138</v>
      </c>
      <c r="O114" t="s">
        <v>74</v>
      </c>
      <c r="P114" t="s">
        <v>74</v>
      </c>
      <c r="Q114" t="s">
        <v>74</v>
      </c>
      <c r="R114" t="s">
        <v>74</v>
      </c>
      <c r="S114" t="s">
        <v>74</v>
      </c>
      <c r="T114" t="s">
        <v>2576</v>
      </c>
      <c r="U114" t="s">
        <v>2577</v>
      </c>
      <c r="V114" t="s">
        <v>2578</v>
      </c>
      <c r="W114" t="s">
        <v>2579</v>
      </c>
      <c r="X114" t="s">
        <v>2580</v>
      </c>
      <c r="Y114" t="s">
        <v>2581</v>
      </c>
      <c r="Z114" t="s">
        <v>2582</v>
      </c>
      <c r="AA114" t="s">
        <v>2583</v>
      </c>
      <c r="AB114" t="s">
        <v>74</v>
      </c>
      <c r="AC114" t="s">
        <v>2584</v>
      </c>
      <c r="AD114" t="s">
        <v>2585</v>
      </c>
      <c r="AE114" t="s">
        <v>2586</v>
      </c>
      <c r="AF114" t="s">
        <v>74</v>
      </c>
      <c r="AG114">
        <v>19</v>
      </c>
      <c r="AH114">
        <v>2</v>
      </c>
      <c r="AI114">
        <v>2</v>
      </c>
      <c r="AJ114">
        <v>1</v>
      </c>
      <c r="AK114">
        <v>10</v>
      </c>
      <c r="AL114" t="s">
        <v>2587</v>
      </c>
      <c r="AM114" t="s">
        <v>2588</v>
      </c>
      <c r="AN114" t="s">
        <v>2589</v>
      </c>
      <c r="AO114" t="s">
        <v>2590</v>
      </c>
      <c r="AP114" t="s">
        <v>74</v>
      </c>
      <c r="AQ114" t="s">
        <v>74</v>
      </c>
      <c r="AR114" t="s">
        <v>2591</v>
      </c>
      <c r="AS114" t="s">
        <v>2592</v>
      </c>
      <c r="AT114" t="s">
        <v>2593</v>
      </c>
      <c r="AU114">
        <v>2019</v>
      </c>
      <c r="AV114">
        <v>7</v>
      </c>
      <c r="AW114" t="s">
        <v>74</v>
      </c>
      <c r="AX114" t="s">
        <v>74</v>
      </c>
      <c r="AY114" t="s">
        <v>74</v>
      </c>
      <c r="AZ114" t="s">
        <v>74</v>
      </c>
      <c r="BA114" t="s">
        <v>74</v>
      </c>
      <c r="BB114" t="s">
        <v>74</v>
      </c>
      <c r="BC114" t="s">
        <v>74</v>
      </c>
      <c r="BD114">
        <v>401</v>
      </c>
      <c r="BE114" t="s">
        <v>2594</v>
      </c>
      <c r="BF114" t="str">
        <f>HYPERLINK("http://dx.doi.org/10.3389/fbioe.2019.00401","http://dx.doi.org/10.3389/fbioe.2019.00401")</f>
        <v>http://dx.doi.org/10.3389/fbioe.2019.00401</v>
      </c>
      <c r="BG114" t="s">
        <v>74</v>
      </c>
      <c r="BH114" t="s">
        <v>74</v>
      </c>
      <c r="BI114">
        <v>11</v>
      </c>
      <c r="BJ114" t="s">
        <v>2595</v>
      </c>
      <c r="BK114" t="s">
        <v>294</v>
      </c>
      <c r="BL114" t="s">
        <v>2596</v>
      </c>
      <c r="BM114" t="s">
        <v>2597</v>
      </c>
      <c r="BN114">
        <v>31921806</v>
      </c>
      <c r="BO114" t="s">
        <v>693</v>
      </c>
      <c r="BP114" t="s">
        <v>74</v>
      </c>
      <c r="BQ114" t="s">
        <v>74</v>
      </c>
      <c r="BR114" t="s">
        <v>108</v>
      </c>
      <c r="BS114" t="s">
        <v>2598</v>
      </c>
      <c r="BT114" t="str">
        <f>HYPERLINK("https%3A%2F%2Fwww.webofscience.com%2Fwos%2Fwoscc%2Ffull-record%2FWOS:000504744900001","View Full Record in Web of Science")</f>
        <v>View Full Record in Web of Science</v>
      </c>
    </row>
    <row r="115" spans="1:72" x14ac:dyDescent="0.15">
      <c r="A115" t="s">
        <v>133</v>
      </c>
      <c r="B115" t="s">
        <v>2599</v>
      </c>
      <c r="C115" t="s">
        <v>74</v>
      </c>
      <c r="D115" t="s">
        <v>74</v>
      </c>
      <c r="E115" t="s">
        <v>74</v>
      </c>
      <c r="F115" t="s">
        <v>2600</v>
      </c>
      <c r="G115" t="s">
        <v>74</v>
      </c>
      <c r="H115" t="s">
        <v>74</v>
      </c>
      <c r="I115" t="s">
        <v>2601</v>
      </c>
      <c r="J115" t="s">
        <v>1359</v>
      </c>
      <c r="K115" t="s">
        <v>74</v>
      </c>
      <c r="L115" t="s">
        <v>74</v>
      </c>
      <c r="M115" t="s">
        <v>80</v>
      </c>
      <c r="N115" t="s">
        <v>138</v>
      </c>
      <c r="O115" t="s">
        <v>74</v>
      </c>
      <c r="P115" t="s">
        <v>74</v>
      </c>
      <c r="Q115" t="s">
        <v>74</v>
      </c>
      <c r="R115" t="s">
        <v>74</v>
      </c>
      <c r="S115" t="s">
        <v>74</v>
      </c>
      <c r="T115" t="s">
        <v>2602</v>
      </c>
      <c r="U115" t="s">
        <v>2603</v>
      </c>
      <c r="V115" t="s">
        <v>2604</v>
      </c>
      <c r="W115" t="s">
        <v>2605</v>
      </c>
      <c r="X115" t="s">
        <v>2606</v>
      </c>
      <c r="Y115" t="s">
        <v>2607</v>
      </c>
      <c r="Z115" t="s">
        <v>2608</v>
      </c>
      <c r="AA115" t="s">
        <v>2609</v>
      </c>
      <c r="AB115" t="s">
        <v>74</v>
      </c>
      <c r="AC115" t="s">
        <v>2610</v>
      </c>
      <c r="AD115" t="s">
        <v>2611</v>
      </c>
      <c r="AE115" t="s">
        <v>2612</v>
      </c>
      <c r="AF115" t="s">
        <v>74</v>
      </c>
      <c r="AG115">
        <v>48</v>
      </c>
      <c r="AH115">
        <v>8</v>
      </c>
      <c r="AI115">
        <v>10</v>
      </c>
      <c r="AJ115">
        <v>1</v>
      </c>
      <c r="AK115">
        <v>16</v>
      </c>
      <c r="AL115" t="s">
        <v>2613</v>
      </c>
      <c r="AM115" t="s">
        <v>2614</v>
      </c>
      <c r="AN115" t="s">
        <v>2615</v>
      </c>
      <c r="AO115" t="s">
        <v>1375</v>
      </c>
      <c r="AP115" t="s">
        <v>1376</v>
      </c>
      <c r="AQ115" t="s">
        <v>74</v>
      </c>
      <c r="AR115" t="s">
        <v>2616</v>
      </c>
      <c r="AS115" t="s">
        <v>1378</v>
      </c>
      <c r="AT115" t="s">
        <v>2593</v>
      </c>
      <c r="AU115">
        <v>2019</v>
      </c>
      <c r="AV115">
        <v>38</v>
      </c>
      <c r="AW115" t="s">
        <v>74</v>
      </c>
      <c r="AX115" t="s">
        <v>74</v>
      </c>
      <c r="AY115" t="s">
        <v>74</v>
      </c>
      <c r="AZ115" t="s">
        <v>74</v>
      </c>
      <c r="BA115" t="s">
        <v>74</v>
      </c>
      <c r="BB115" t="s">
        <v>74</v>
      </c>
      <c r="BC115" t="s">
        <v>74</v>
      </c>
      <c r="BD115">
        <v>3519</v>
      </c>
      <c r="BE115" t="s">
        <v>2617</v>
      </c>
      <c r="BF115" t="str">
        <f>HYPERLINK("http://dx.doi.org/10.33265/polar.v38.3519","http://dx.doi.org/10.33265/polar.v38.3519")</f>
        <v>http://dx.doi.org/10.33265/polar.v38.3519</v>
      </c>
      <c r="BG115" t="s">
        <v>74</v>
      </c>
      <c r="BH115" t="s">
        <v>74</v>
      </c>
      <c r="BI115">
        <v>14</v>
      </c>
      <c r="BJ115" t="s">
        <v>1381</v>
      </c>
      <c r="BK115" t="s">
        <v>294</v>
      </c>
      <c r="BL115" t="s">
        <v>1382</v>
      </c>
      <c r="BM115" t="s">
        <v>2618</v>
      </c>
      <c r="BN115" t="s">
        <v>74</v>
      </c>
      <c r="BO115" t="s">
        <v>107</v>
      </c>
      <c r="BP115" t="s">
        <v>74</v>
      </c>
      <c r="BQ115" t="s">
        <v>74</v>
      </c>
      <c r="BR115" t="s">
        <v>108</v>
      </c>
      <c r="BS115" t="s">
        <v>2619</v>
      </c>
      <c r="BT115" t="str">
        <f>HYPERLINK("https%3A%2F%2Fwww.webofscience.com%2Fwos%2Fwoscc%2Ffull-record%2FWOS:000504468700001","View Full Record in Web of Science")</f>
        <v>View Full Record in Web of Science</v>
      </c>
    </row>
    <row r="116" spans="1:72" x14ac:dyDescent="0.15">
      <c r="A116" t="s">
        <v>133</v>
      </c>
      <c r="B116" t="s">
        <v>2620</v>
      </c>
      <c r="C116" t="s">
        <v>74</v>
      </c>
      <c r="D116" t="s">
        <v>74</v>
      </c>
      <c r="E116" t="s">
        <v>74</v>
      </c>
      <c r="F116" t="s">
        <v>2621</v>
      </c>
      <c r="G116" t="s">
        <v>74</v>
      </c>
      <c r="H116" t="s">
        <v>74</v>
      </c>
      <c r="I116" t="s">
        <v>2622</v>
      </c>
      <c r="J116" t="s">
        <v>2623</v>
      </c>
      <c r="K116" t="s">
        <v>74</v>
      </c>
      <c r="L116" t="s">
        <v>74</v>
      </c>
      <c r="M116" t="s">
        <v>80</v>
      </c>
      <c r="N116" t="s">
        <v>138</v>
      </c>
      <c r="O116" t="s">
        <v>74</v>
      </c>
      <c r="P116" t="s">
        <v>74</v>
      </c>
      <c r="Q116" t="s">
        <v>74</v>
      </c>
      <c r="R116" t="s">
        <v>74</v>
      </c>
      <c r="S116" t="s">
        <v>74</v>
      </c>
      <c r="T116" t="s">
        <v>74</v>
      </c>
      <c r="U116" t="s">
        <v>2624</v>
      </c>
      <c r="V116" t="s">
        <v>2625</v>
      </c>
      <c r="W116" t="s">
        <v>2626</v>
      </c>
      <c r="X116" t="s">
        <v>2627</v>
      </c>
      <c r="Y116" t="s">
        <v>2628</v>
      </c>
      <c r="Z116" t="s">
        <v>2629</v>
      </c>
      <c r="AA116" t="s">
        <v>2630</v>
      </c>
      <c r="AB116" t="s">
        <v>2631</v>
      </c>
      <c r="AC116" t="s">
        <v>2632</v>
      </c>
      <c r="AD116" t="s">
        <v>2633</v>
      </c>
      <c r="AE116" t="s">
        <v>2634</v>
      </c>
      <c r="AF116" t="s">
        <v>74</v>
      </c>
      <c r="AG116">
        <v>89</v>
      </c>
      <c r="AH116">
        <v>24</v>
      </c>
      <c r="AI116">
        <v>25</v>
      </c>
      <c r="AJ116">
        <v>6</v>
      </c>
      <c r="AK116">
        <v>38</v>
      </c>
      <c r="AL116" t="s">
        <v>2635</v>
      </c>
      <c r="AM116" t="s">
        <v>841</v>
      </c>
      <c r="AN116" t="s">
        <v>842</v>
      </c>
      <c r="AO116" t="s">
        <v>2636</v>
      </c>
      <c r="AP116" t="s">
        <v>74</v>
      </c>
      <c r="AQ116" t="s">
        <v>74</v>
      </c>
      <c r="AR116" t="s">
        <v>2637</v>
      </c>
      <c r="AS116" t="s">
        <v>2638</v>
      </c>
      <c r="AT116" t="s">
        <v>2593</v>
      </c>
      <c r="AU116">
        <v>2019</v>
      </c>
      <c r="AV116">
        <v>9</v>
      </c>
      <c r="AW116" t="s">
        <v>74</v>
      </c>
      <c r="AX116" t="s">
        <v>74</v>
      </c>
      <c r="AY116" t="s">
        <v>74</v>
      </c>
      <c r="AZ116" t="s">
        <v>74</v>
      </c>
      <c r="BA116" t="s">
        <v>74</v>
      </c>
      <c r="BB116" t="s">
        <v>74</v>
      </c>
      <c r="BC116" t="s">
        <v>74</v>
      </c>
      <c r="BD116">
        <v>19099</v>
      </c>
      <c r="BE116" t="s">
        <v>2639</v>
      </c>
      <c r="BF116" t="str">
        <f>HYPERLINK("http://dx.doi.org/10.1038/s41598-019-55719-1","http://dx.doi.org/10.1038/s41598-019-55719-1")</f>
        <v>http://dx.doi.org/10.1038/s41598-019-55719-1</v>
      </c>
      <c r="BG116" t="s">
        <v>74</v>
      </c>
      <c r="BH116" t="s">
        <v>74</v>
      </c>
      <c r="BI116">
        <v>13</v>
      </c>
      <c r="BJ116" t="s">
        <v>1245</v>
      </c>
      <c r="BK116" t="s">
        <v>294</v>
      </c>
      <c r="BL116" t="s">
        <v>1246</v>
      </c>
      <c r="BM116" t="s">
        <v>2640</v>
      </c>
      <c r="BN116">
        <v>31836823</v>
      </c>
      <c r="BO116" t="s">
        <v>1354</v>
      </c>
      <c r="BP116" t="s">
        <v>74</v>
      </c>
      <c r="BQ116" t="s">
        <v>74</v>
      </c>
      <c r="BR116" t="s">
        <v>108</v>
      </c>
      <c r="BS116" t="s">
        <v>2641</v>
      </c>
      <c r="BT116" t="str">
        <f>HYPERLINK("https%3A%2F%2Fwww.webofscience.com%2Fwos%2Fwoscc%2Ffull-record%2FWOS:000503166100002","View Full Record in Web of Science")</f>
        <v>View Full Record in Web of Science</v>
      </c>
    </row>
    <row r="117" spans="1:72" x14ac:dyDescent="0.15">
      <c r="A117" t="s">
        <v>133</v>
      </c>
      <c r="B117" t="s">
        <v>2642</v>
      </c>
      <c r="C117" t="s">
        <v>74</v>
      </c>
      <c r="D117" t="s">
        <v>74</v>
      </c>
      <c r="E117" t="s">
        <v>74</v>
      </c>
      <c r="F117" t="s">
        <v>2643</v>
      </c>
      <c r="G117" t="s">
        <v>74</v>
      </c>
      <c r="H117" t="s">
        <v>74</v>
      </c>
      <c r="I117" t="s">
        <v>2644</v>
      </c>
      <c r="J117" t="s">
        <v>1890</v>
      </c>
      <c r="K117" t="s">
        <v>74</v>
      </c>
      <c r="L117" t="s">
        <v>74</v>
      </c>
      <c r="M117" t="s">
        <v>80</v>
      </c>
      <c r="N117" t="s">
        <v>138</v>
      </c>
      <c r="O117" t="s">
        <v>74</v>
      </c>
      <c r="P117" t="s">
        <v>74</v>
      </c>
      <c r="Q117" t="s">
        <v>74</v>
      </c>
      <c r="R117" t="s">
        <v>74</v>
      </c>
      <c r="S117" t="s">
        <v>74</v>
      </c>
      <c r="T117" t="s">
        <v>74</v>
      </c>
      <c r="U117" t="s">
        <v>2645</v>
      </c>
      <c r="V117" t="s">
        <v>2646</v>
      </c>
      <c r="W117" t="s">
        <v>2647</v>
      </c>
      <c r="X117" t="s">
        <v>2648</v>
      </c>
      <c r="Y117" t="s">
        <v>2649</v>
      </c>
      <c r="Z117" t="s">
        <v>2650</v>
      </c>
      <c r="AA117" t="s">
        <v>2651</v>
      </c>
      <c r="AB117" t="s">
        <v>2652</v>
      </c>
      <c r="AC117" t="s">
        <v>2653</v>
      </c>
      <c r="AD117" t="s">
        <v>2654</v>
      </c>
      <c r="AE117" t="s">
        <v>2655</v>
      </c>
      <c r="AF117" t="s">
        <v>74</v>
      </c>
      <c r="AG117">
        <v>182</v>
      </c>
      <c r="AH117">
        <v>99</v>
      </c>
      <c r="AI117">
        <v>109</v>
      </c>
      <c r="AJ117">
        <v>8</v>
      </c>
      <c r="AK117">
        <v>77</v>
      </c>
      <c r="AL117" t="s">
        <v>1892</v>
      </c>
      <c r="AM117" t="s">
        <v>1265</v>
      </c>
      <c r="AN117" t="s">
        <v>1893</v>
      </c>
      <c r="AO117" t="s">
        <v>1894</v>
      </c>
      <c r="AP117" t="s">
        <v>1895</v>
      </c>
      <c r="AQ117" t="s">
        <v>74</v>
      </c>
      <c r="AR117" t="s">
        <v>1890</v>
      </c>
      <c r="AS117" t="s">
        <v>1896</v>
      </c>
      <c r="AT117" t="s">
        <v>2593</v>
      </c>
      <c r="AU117">
        <v>2019</v>
      </c>
      <c r="AV117">
        <v>366</v>
      </c>
      <c r="AW117">
        <v>6471</v>
      </c>
      <c r="AX117" t="s">
        <v>74</v>
      </c>
      <c r="AY117" t="s">
        <v>74</v>
      </c>
      <c r="AZ117" t="s">
        <v>74</v>
      </c>
      <c r="BA117" t="s">
        <v>74</v>
      </c>
      <c r="BB117">
        <v>1367</v>
      </c>
      <c r="BC117" t="s">
        <v>847</v>
      </c>
      <c r="BD117" t="s">
        <v>74</v>
      </c>
      <c r="BE117" t="s">
        <v>2656</v>
      </c>
      <c r="BF117" t="str">
        <f>HYPERLINK("http://dx.doi.org/10.1126/science.aax9044","http://dx.doi.org/10.1126/science.aax9044")</f>
        <v>http://dx.doi.org/10.1126/science.aax9044</v>
      </c>
      <c r="BG117" t="s">
        <v>74</v>
      </c>
      <c r="BH117" t="s">
        <v>74</v>
      </c>
      <c r="BI117">
        <v>245</v>
      </c>
      <c r="BJ117" t="s">
        <v>1245</v>
      </c>
      <c r="BK117" t="s">
        <v>294</v>
      </c>
      <c r="BL117" t="s">
        <v>1246</v>
      </c>
      <c r="BM117" t="s">
        <v>2657</v>
      </c>
      <c r="BN117">
        <v>31831666</v>
      </c>
      <c r="BO117" t="s">
        <v>2385</v>
      </c>
      <c r="BP117" t="s">
        <v>560</v>
      </c>
      <c r="BQ117" t="s">
        <v>561</v>
      </c>
      <c r="BR117" t="s">
        <v>108</v>
      </c>
      <c r="BS117" t="s">
        <v>2658</v>
      </c>
      <c r="BT117" t="str">
        <f>HYPERLINK("https%3A%2F%2Fwww.webofscience.com%2Fwos%2Fwoscc%2Ffull-record%2FWOS:000502802300057","View Full Record in Web of Science")</f>
        <v>View Full Record in Web of Science</v>
      </c>
    </row>
    <row r="118" spans="1:72" x14ac:dyDescent="0.15">
      <c r="A118" t="s">
        <v>133</v>
      </c>
      <c r="B118" t="s">
        <v>2659</v>
      </c>
      <c r="C118" t="s">
        <v>74</v>
      </c>
      <c r="D118" t="s">
        <v>74</v>
      </c>
      <c r="E118" t="s">
        <v>74</v>
      </c>
      <c r="F118" t="s">
        <v>2660</v>
      </c>
      <c r="G118" t="s">
        <v>74</v>
      </c>
      <c r="H118" t="s">
        <v>74</v>
      </c>
      <c r="I118" t="s">
        <v>2661</v>
      </c>
      <c r="J118" t="s">
        <v>2662</v>
      </c>
      <c r="K118" t="s">
        <v>74</v>
      </c>
      <c r="L118" t="s">
        <v>74</v>
      </c>
      <c r="M118" t="s">
        <v>80</v>
      </c>
      <c r="N118" t="s">
        <v>138</v>
      </c>
      <c r="O118" t="s">
        <v>74</v>
      </c>
      <c r="P118" t="s">
        <v>74</v>
      </c>
      <c r="Q118" t="s">
        <v>74</v>
      </c>
      <c r="R118" t="s">
        <v>74</v>
      </c>
      <c r="S118" t="s">
        <v>74</v>
      </c>
      <c r="T118" t="s">
        <v>2663</v>
      </c>
      <c r="U118" t="s">
        <v>2664</v>
      </c>
      <c r="V118" t="s">
        <v>2665</v>
      </c>
      <c r="W118" t="s">
        <v>2666</v>
      </c>
      <c r="X118" t="s">
        <v>2667</v>
      </c>
      <c r="Y118" t="s">
        <v>2668</v>
      </c>
      <c r="Z118" t="s">
        <v>2669</v>
      </c>
      <c r="AA118" t="s">
        <v>2670</v>
      </c>
      <c r="AB118" t="s">
        <v>2671</v>
      </c>
      <c r="AC118" t="s">
        <v>2672</v>
      </c>
      <c r="AD118" t="s">
        <v>2673</v>
      </c>
      <c r="AE118" t="s">
        <v>2672</v>
      </c>
      <c r="AF118" t="s">
        <v>74</v>
      </c>
      <c r="AG118">
        <v>62</v>
      </c>
      <c r="AH118">
        <v>8</v>
      </c>
      <c r="AI118">
        <v>8</v>
      </c>
      <c r="AJ118">
        <v>3</v>
      </c>
      <c r="AK118">
        <v>18</v>
      </c>
      <c r="AL118" t="s">
        <v>429</v>
      </c>
      <c r="AM118" t="s">
        <v>430</v>
      </c>
      <c r="AN118" t="s">
        <v>431</v>
      </c>
      <c r="AO118" t="s">
        <v>2674</v>
      </c>
      <c r="AP118" t="s">
        <v>74</v>
      </c>
      <c r="AQ118" t="s">
        <v>74</v>
      </c>
      <c r="AR118" t="s">
        <v>2675</v>
      </c>
      <c r="AS118" t="s">
        <v>2676</v>
      </c>
      <c r="AT118" t="s">
        <v>291</v>
      </c>
      <c r="AU118">
        <v>2020</v>
      </c>
      <c r="AV118">
        <v>10</v>
      </c>
      <c r="AW118">
        <v>1</v>
      </c>
      <c r="AX118" t="s">
        <v>74</v>
      </c>
      <c r="AY118" t="s">
        <v>74</v>
      </c>
      <c r="AZ118" t="s">
        <v>74</v>
      </c>
      <c r="BA118" t="s">
        <v>74</v>
      </c>
      <c r="BB118">
        <v>350</v>
      </c>
      <c r="BC118">
        <v>359</v>
      </c>
      <c r="BD118" t="s">
        <v>74</v>
      </c>
      <c r="BE118" t="s">
        <v>2677</v>
      </c>
      <c r="BF118" t="str">
        <f>HYPERLINK("http://dx.doi.org/10.1002/ece3.5899","http://dx.doi.org/10.1002/ece3.5899")</f>
        <v>http://dx.doi.org/10.1002/ece3.5899</v>
      </c>
      <c r="BG118" t="s">
        <v>74</v>
      </c>
      <c r="BH118" t="s">
        <v>1272</v>
      </c>
      <c r="BI118">
        <v>10</v>
      </c>
      <c r="BJ118" t="s">
        <v>2678</v>
      </c>
      <c r="BK118" t="s">
        <v>294</v>
      </c>
      <c r="BL118" t="s">
        <v>2679</v>
      </c>
      <c r="BM118" t="s">
        <v>2680</v>
      </c>
      <c r="BN118">
        <v>31993119</v>
      </c>
      <c r="BO118" t="s">
        <v>693</v>
      </c>
      <c r="BP118" t="s">
        <v>74</v>
      </c>
      <c r="BQ118" t="s">
        <v>74</v>
      </c>
      <c r="BR118" t="s">
        <v>108</v>
      </c>
      <c r="BS118" t="s">
        <v>2681</v>
      </c>
      <c r="BT118" t="str">
        <f>HYPERLINK("https%3A%2F%2Fwww.webofscience.com%2Fwos%2Fwoscc%2Ffull-record%2FWOS:000502403800001","View Full Record in Web of Science")</f>
        <v>View Full Record in Web of Science</v>
      </c>
    </row>
    <row r="119" spans="1:72" x14ac:dyDescent="0.15">
      <c r="A119" t="s">
        <v>133</v>
      </c>
      <c r="B119" t="s">
        <v>2682</v>
      </c>
      <c r="C119" t="s">
        <v>74</v>
      </c>
      <c r="D119" t="s">
        <v>74</v>
      </c>
      <c r="E119" t="s">
        <v>74</v>
      </c>
      <c r="F119" t="s">
        <v>2683</v>
      </c>
      <c r="G119" t="s">
        <v>74</v>
      </c>
      <c r="H119" t="s">
        <v>74</v>
      </c>
      <c r="I119" t="s">
        <v>2684</v>
      </c>
      <c r="J119" t="s">
        <v>2685</v>
      </c>
      <c r="K119" t="s">
        <v>74</v>
      </c>
      <c r="L119" t="s">
        <v>74</v>
      </c>
      <c r="M119" t="s">
        <v>80</v>
      </c>
      <c r="N119" t="s">
        <v>138</v>
      </c>
      <c r="O119" t="s">
        <v>74</v>
      </c>
      <c r="P119" t="s">
        <v>74</v>
      </c>
      <c r="Q119" t="s">
        <v>74</v>
      </c>
      <c r="R119" t="s">
        <v>74</v>
      </c>
      <c r="S119" t="s">
        <v>74</v>
      </c>
      <c r="T119" t="s">
        <v>2686</v>
      </c>
      <c r="U119" t="s">
        <v>2687</v>
      </c>
      <c r="V119" t="s">
        <v>2688</v>
      </c>
      <c r="W119" t="s">
        <v>2689</v>
      </c>
      <c r="X119" t="s">
        <v>2071</v>
      </c>
      <c r="Y119" t="s">
        <v>2072</v>
      </c>
      <c r="Z119" t="s">
        <v>2073</v>
      </c>
      <c r="AA119" t="s">
        <v>2690</v>
      </c>
      <c r="AB119" t="s">
        <v>2691</v>
      </c>
      <c r="AC119" t="s">
        <v>2692</v>
      </c>
      <c r="AD119" t="s">
        <v>2693</v>
      </c>
      <c r="AE119" t="s">
        <v>2694</v>
      </c>
      <c r="AF119" t="s">
        <v>74</v>
      </c>
      <c r="AG119">
        <v>81</v>
      </c>
      <c r="AH119">
        <v>10</v>
      </c>
      <c r="AI119">
        <v>11</v>
      </c>
      <c r="AJ119">
        <v>0</v>
      </c>
      <c r="AK119">
        <v>19</v>
      </c>
      <c r="AL119" t="s">
        <v>314</v>
      </c>
      <c r="AM119" t="s">
        <v>315</v>
      </c>
      <c r="AN119" t="s">
        <v>316</v>
      </c>
      <c r="AO119" t="s">
        <v>2695</v>
      </c>
      <c r="AP119" t="s">
        <v>2696</v>
      </c>
      <c r="AQ119" t="s">
        <v>74</v>
      </c>
      <c r="AR119" t="s">
        <v>2697</v>
      </c>
      <c r="AS119" t="s">
        <v>2698</v>
      </c>
      <c r="AT119" t="s">
        <v>2699</v>
      </c>
      <c r="AU119">
        <v>2019</v>
      </c>
      <c r="AV119">
        <v>632</v>
      </c>
      <c r="AW119" t="s">
        <v>74</v>
      </c>
      <c r="AX119" t="s">
        <v>74</v>
      </c>
      <c r="AY119" t="s">
        <v>74</v>
      </c>
      <c r="AZ119" t="s">
        <v>74</v>
      </c>
      <c r="BA119" t="s">
        <v>74</v>
      </c>
      <c r="BB119">
        <v>59</v>
      </c>
      <c r="BC119">
        <v>79</v>
      </c>
      <c r="BD119" t="s">
        <v>74</v>
      </c>
      <c r="BE119" t="s">
        <v>2700</v>
      </c>
      <c r="BF119" t="str">
        <f>HYPERLINK("http://dx.doi.org/10.3354/meps13155","http://dx.doi.org/10.3354/meps13155")</f>
        <v>http://dx.doi.org/10.3354/meps13155</v>
      </c>
      <c r="BG119" t="s">
        <v>74</v>
      </c>
      <c r="BH119" t="s">
        <v>74</v>
      </c>
      <c r="BI119">
        <v>21</v>
      </c>
      <c r="BJ119" t="s">
        <v>2701</v>
      </c>
      <c r="BK119" t="s">
        <v>294</v>
      </c>
      <c r="BL119" t="s">
        <v>2702</v>
      </c>
      <c r="BM119" t="s">
        <v>2703</v>
      </c>
      <c r="BN119" t="s">
        <v>74</v>
      </c>
      <c r="BO119" t="s">
        <v>666</v>
      </c>
      <c r="BP119" t="s">
        <v>74</v>
      </c>
      <c r="BQ119" t="s">
        <v>74</v>
      </c>
      <c r="BR119" t="s">
        <v>108</v>
      </c>
      <c r="BS119" t="s">
        <v>2704</v>
      </c>
      <c r="BT119" t="str">
        <f>HYPERLINK("https%3A%2F%2Fwww.webofscience.com%2Fwos%2Fwoscc%2Ffull-record%2FWOS:000521189100005","View Full Record in Web of Science")</f>
        <v>View Full Record in Web of Science</v>
      </c>
    </row>
    <row r="120" spans="1:72" x14ac:dyDescent="0.15">
      <c r="A120" t="s">
        <v>133</v>
      </c>
      <c r="B120" t="s">
        <v>2705</v>
      </c>
      <c r="C120" t="s">
        <v>74</v>
      </c>
      <c r="D120" t="s">
        <v>74</v>
      </c>
      <c r="E120" t="s">
        <v>74</v>
      </c>
      <c r="F120" t="s">
        <v>2706</v>
      </c>
      <c r="G120" t="s">
        <v>74</v>
      </c>
      <c r="H120" t="s">
        <v>74</v>
      </c>
      <c r="I120" t="s">
        <v>2707</v>
      </c>
      <c r="J120" t="s">
        <v>2685</v>
      </c>
      <c r="K120" t="s">
        <v>74</v>
      </c>
      <c r="L120" t="s">
        <v>74</v>
      </c>
      <c r="M120" t="s">
        <v>80</v>
      </c>
      <c r="N120" t="s">
        <v>138</v>
      </c>
      <c r="O120" t="s">
        <v>74</v>
      </c>
      <c r="P120" t="s">
        <v>74</v>
      </c>
      <c r="Q120" t="s">
        <v>74</v>
      </c>
      <c r="R120" t="s">
        <v>74</v>
      </c>
      <c r="S120" t="s">
        <v>74</v>
      </c>
      <c r="T120" t="s">
        <v>2708</v>
      </c>
      <c r="U120" t="s">
        <v>2709</v>
      </c>
      <c r="V120" t="s">
        <v>2710</v>
      </c>
      <c r="W120" t="s">
        <v>2711</v>
      </c>
      <c r="X120" t="s">
        <v>2712</v>
      </c>
      <c r="Y120" t="s">
        <v>2628</v>
      </c>
      <c r="Z120" t="s">
        <v>2629</v>
      </c>
      <c r="AA120" t="s">
        <v>2713</v>
      </c>
      <c r="AB120" t="s">
        <v>2714</v>
      </c>
      <c r="AC120" t="s">
        <v>2715</v>
      </c>
      <c r="AD120" t="s">
        <v>2716</v>
      </c>
      <c r="AE120" t="s">
        <v>2717</v>
      </c>
      <c r="AF120" t="s">
        <v>74</v>
      </c>
      <c r="AG120">
        <v>74</v>
      </c>
      <c r="AH120">
        <v>8</v>
      </c>
      <c r="AI120">
        <v>8</v>
      </c>
      <c r="AJ120">
        <v>1</v>
      </c>
      <c r="AK120">
        <v>27</v>
      </c>
      <c r="AL120" t="s">
        <v>314</v>
      </c>
      <c r="AM120" t="s">
        <v>315</v>
      </c>
      <c r="AN120" t="s">
        <v>316</v>
      </c>
      <c r="AO120" t="s">
        <v>2695</v>
      </c>
      <c r="AP120" t="s">
        <v>2696</v>
      </c>
      <c r="AQ120" t="s">
        <v>74</v>
      </c>
      <c r="AR120" t="s">
        <v>2697</v>
      </c>
      <c r="AS120" t="s">
        <v>2698</v>
      </c>
      <c r="AT120" t="s">
        <v>2699</v>
      </c>
      <c r="AU120">
        <v>2019</v>
      </c>
      <c r="AV120">
        <v>632</v>
      </c>
      <c r="AW120" t="s">
        <v>74</v>
      </c>
      <c r="AX120" t="s">
        <v>74</v>
      </c>
      <c r="AY120" t="s">
        <v>74</v>
      </c>
      <c r="AZ120" t="s">
        <v>74</v>
      </c>
      <c r="BA120" t="s">
        <v>74</v>
      </c>
      <c r="BB120">
        <v>131</v>
      </c>
      <c r="BC120">
        <v>144</v>
      </c>
      <c r="BD120" t="s">
        <v>74</v>
      </c>
      <c r="BE120" t="s">
        <v>2718</v>
      </c>
      <c r="BF120" t="str">
        <f>HYPERLINK("http://dx.doi.org/10.3354/meps13152","http://dx.doi.org/10.3354/meps13152")</f>
        <v>http://dx.doi.org/10.3354/meps13152</v>
      </c>
      <c r="BG120" t="s">
        <v>74</v>
      </c>
      <c r="BH120" t="s">
        <v>74</v>
      </c>
      <c r="BI120">
        <v>14</v>
      </c>
      <c r="BJ120" t="s">
        <v>2701</v>
      </c>
      <c r="BK120" t="s">
        <v>294</v>
      </c>
      <c r="BL120" t="s">
        <v>2702</v>
      </c>
      <c r="BM120" t="s">
        <v>2703</v>
      </c>
      <c r="BN120" t="s">
        <v>74</v>
      </c>
      <c r="BO120" t="s">
        <v>74</v>
      </c>
      <c r="BP120" t="s">
        <v>74</v>
      </c>
      <c r="BQ120" t="s">
        <v>74</v>
      </c>
      <c r="BR120" t="s">
        <v>108</v>
      </c>
      <c r="BS120" t="s">
        <v>2719</v>
      </c>
      <c r="BT120" t="str">
        <f>HYPERLINK("https%3A%2F%2Fwww.webofscience.com%2Fwos%2Fwoscc%2Ffull-record%2FWOS:000521189100009","View Full Record in Web of Science")</f>
        <v>View Full Record in Web of Science</v>
      </c>
    </row>
    <row r="121" spans="1:72" x14ac:dyDescent="0.15">
      <c r="A121" t="s">
        <v>133</v>
      </c>
      <c r="B121" t="s">
        <v>2720</v>
      </c>
      <c r="C121" t="s">
        <v>74</v>
      </c>
      <c r="D121" t="s">
        <v>74</v>
      </c>
      <c r="E121" t="s">
        <v>74</v>
      </c>
      <c r="F121" t="s">
        <v>2721</v>
      </c>
      <c r="G121" t="s">
        <v>74</v>
      </c>
      <c r="H121" t="s">
        <v>74</v>
      </c>
      <c r="I121" t="s">
        <v>2722</v>
      </c>
      <c r="J121" t="s">
        <v>2723</v>
      </c>
      <c r="K121" t="s">
        <v>74</v>
      </c>
      <c r="L121" t="s">
        <v>74</v>
      </c>
      <c r="M121" t="s">
        <v>80</v>
      </c>
      <c r="N121" t="s">
        <v>138</v>
      </c>
      <c r="O121" t="s">
        <v>74</v>
      </c>
      <c r="P121" t="s">
        <v>74</v>
      </c>
      <c r="Q121" t="s">
        <v>74</v>
      </c>
      <c r="R121" t="s">
        <v>74</v>
      </c>
      <c r="S121" t="s">
        <v>74</v>
      </c>
      <c r="T121" t="s">
        <v>2724</v>
      </c>
      <c r="U121" t="s">
        <v>2725</v>
      </c>
      <c r="V121" t="s">
        <v>2726</v>
      </c>
      <c r="W121" t="s">
        <v>2727</v>
      </c>
      <c r="X121" t="s">
        <v>2728</v>
      </c>
      <c r="Y121" t="s">
        <v>2729</v>
      </c>
      <c r="Z121" t="s">
        <v>2730</v>
      </c>
      <c r="AA121" t="s">
        <v>2731</v>
      </c>
      <c r="AB121" t="s">
        <v>74</v>
      </c>
      <c r="AC121" t="s">
        <v>2732</v>
      </c>
      <c r="AD121" t="s">
        <v>2732</v>
      </c>
      <c r="AE121" t="s">
        <v>2733</v>
      </c>
      <c r="AF121" t="s">
        <v>74</v>
      </c>
      <c r="AG121">
        <v>78</v>
      </c>
      <c r="AH121">
        <v>13</v>
      </c>
      <c r="AI121">
        <v>15</v>
      </c>
      <c r="AJ121">
        <v>2</v>
      </c>
      <c r="AK121">
        <v>10</v>
      </c>
      <c r="AL121" t="s">
        <v>2587</v>
      </c>
      <c r="AM121" t="s">
        <v>2588</v>
      </c>
      <c r="AN121" t="s">
        <v>2589</v>
      </c>
      <c r="AO121" t="s">
        <v>74</v>
      </c>
      <c r="AP121" t="s">
        <v>2734</v>
      </c>
      <c r="AQ121" t="s">
        <v>74</v>
      </c>
      <c r="AR121" t="s">
        <v>2735</v>
      </c>
      <c r="AS121" t="s">
        <v>2736</v>
      </c>
      <c r="AT121" t="s">
        <v>2699</v>
      </c>
      <c r="AU121">
        <v>2019</v>
      </c>
      <c r="AV121">
        <v>6</v>
      </c>
      <c r="AW121" t="s">
        <v>74</v>
      </c>
      <c r="AX121" t="s">
        <v>74</v>
      </c>
      <c r="AY121" t="s">
        <v>74</v>
      </c>
      <c r="AZ121" t="s">
        <v>74</v>
      </c>
      <c r="BA121" t="s">
        <v>74</v>
      </c>
      <c r="BB121" t="s">
        <v>74</v>
      </c>
      <c r="BC121" t="s">
        <v>74</v>
      </c>
      <c r="BD121">
        <v>771</v>
      </c>
      <c r="BE121" t="s">
        <v>2737</v>
      </c>
      <c r="BF121" t="str">
        <f>HYPERLINK("http://dx.doi.org/10.3389/fmars.2019.00771","http://dx.doi.org/10.3389/fmars.2019.00771")</f>
        <v>http://dx.doi.org/10.3389/fmars.2019.00771</v>
      </c>
      <c r="BG121" t="s">
        <v>74</v>
      </c>
      <c r="BH121" t="s">
        <v>74</v>
      </c>
      <c r="BI121">
        <v>16</v>
      </c>
      <c r="BJ121" t="s">
        <v>2738</v>
      </c>
      <c r="BK121" t="s">
        <v>294</v>
      </c>
      <c r="BL121" t="s">
        <v>2739</v>
      </c>
      <c r="BM121" t="s">
        <v>2740</v>
      </c>
      <c r="BN121" t="s">
        <v>74</v>
      </c>
      <c r="BO121" t="s">
        <v>107</v>
      </c>
      <c r="BP121" t="s">
        <v>74</v>
      </c>
      <c r="BQ121" t="s">
        <v>74</v>
      </c>
      <c r="BR121" t="s">
        <v>108</v>
      </c>
      <c r="BS121" t="s">
        <v>2741</v>
      </c>
      <c r="BT121" t="str">
        <f>HYPERLINK("https%3A%2F%2Fwww.webofscience.com%2Fwos%2Fwoscc%2Ffull-record%2FWOS:000502973300001","View Full Record in Web of Science")</f>
        <v>View Full Record in Web of Science</v>
      </c>
    </row>
    <row r="122" spans="1:72" x14ac:dyDescent="0.15">
      <c r="A122" t="s">
        <v>133</v>
      </c>
      <c r="B122" t="s">
        <v>2742</v>
      </c>
      <c r="C122" t="s">
        <v>74</v>
      </c>
      <c r="D122" t="s">
        <v>74</v>
      </c>
      <c r="E122" t="s">
        <v>74</v>
      </c>
      <c r="F122" t="s">
        <v>2743</v>
      </c>
      <c r="G122" t="s">
        <v>74</v>
      </c>
      <c r="H122" t="s">
        <v>74</v>
      </c>
      <c r="I122" t="s">
        <v>2744</v>
      </c>
      <c r="J122" t="s">
        <v>2623</v>
      </c>
      <c r="K122" t="s">
        <v>74</v>
      </c>
      <c r="L122" t="s">
        <v>74</v>
      </c>
      <c r="M122" t="s">
        <v>80</v>
      </c>
      <c r="N122" t="s">
        <v>138</v>
      </c>
      <c r="O122" t="s">
        <v>74</v>
      </c>
      <c r="P122" t="s">
        <v>74</v>
      </c>
      <c r="Q122" t="s">
        <v>74</v>
      </c>
      <c r="R122" t="s">
        <v>74</v>
      </c>
      <c r="S122" t="s">
        <v>74</v>
      </c>
      <c r="T122" t="s">
        <v>74</v>
      </c>
      <c r="U122" t="s">
        <v>2745</v>
      </c>
      <c r="V122" t="s">
        <v>2746</v>
      </c>
      <c r="W122" t="s">
        <v>2747</v>
      </c>
      <c r="X122" t="s">
        <v>2748</v>
      </c>
      <c r="Y122" t="s">
        <v>2749</v>
      </c>
      <c r="Z122" t="s">
        <v>2750</v>
      </c>
      <c r="AA122" t="s">
        <v>2751</v>
      </c>
      <c r="AB122" t="s">
        <v>2752</v>
      </c>
      <c r="AC122" t="s">
        <v>2753</v>
      </c>
      <c r="AD122" t="s">
        <v>2754</v>
      </c>
      <c r="AE122" t="s">
        <v>2755</v>
      </c>
      <c r="AF122" t="s">
        <v>74</v>
      </c>
      <c r="AG122">
        <v>58</v>
      </c>
      <c r="AH122">
        <v>1</v>
      </c>
      <c r="AI122">
        <v>1</v>
      </c>
      <c r="AJ122">
        <v>0</v>
      </c>
      <c r="AK122">
        <v>5</v>
      </c>
      <c r="AL122" t="s">
        <v>2038</v>
      </c>
      <c r="AM122" t="s">
        <v>1730</v>
      </c>
      <c r="AN122" t="s">
        <v>2039</v>
      </c>
      <c r="AO122" t="s">
        <v>2636</v>
      </c>
      <c r="AP122" t="s">
        <v>74</v>
      </c>
      <c r="AQ122" t="s">
        <v>74</v>
      </c>
      <c r="AR122" t="s">
        <v>2637</v>
      </c>
      <c r="AS122" t="s">
        <v>2638</v>
      </c>
      <c r="AT122" t="s">
        <v>2699</v>
      </c>
      <c r="AU122">
        <v>2019</v>
      </c>
      <c r="AV122">
        <v>9</v>
      </c>
      <c r="AW122" t="s">
        <v>74</v>
      </c>
      <c r="AX122" t="s">
        <v>74</v>
      </c>
      <c r="AY122" t="s">
        <v>74</v>
      </c>
      <c r="AZ122" t="s">
        <v>74</v>
      </c>
      <c r="BA122" t="s">
        <v>74</v>
      </c>
      <c r="BB122" t="s">
        <v>74</v>
      </c>
      <c r="BC122" t="s">
        <v>74</v>
      </c>
      <c r="BD122">
        <v>18987</v>
      </c>
      <c r="BE122" t="s">
        <v>2756</v>
      </c>
      <c r="BF122" t="str">
        <f>HYPERLINK("http://dx.doi.org/10.1038/s41598-019-55331-3","http://dx.doi.org/10.1038/s41598-019-55331-3")</f>
        <v>http://dx.doi.org/10.1038/s41598-019-55331-3</v>
      </c>
      <c r="BG122" t="s">
        <v>74</v>
      </c>
      <c r="BH122" t="s">
        <v>74</v>
      </c>
      <c r="BI122">
        <v>10</v>
      </c>
      <c r="BJ122" t="s">
        <v>1245</v>
      </c>
      <c r="BK122" t="s">
        <v>294</v>
      </c>
      <c r="BL122" t="s">
        <v>1246</v>
      </c>
      <c r="BM122" t="s">
        <v>2757</v>
      </c>
      <c r="BN122">
        <v>31831781</v>
      </c>
      <c r="BO122" t="s">
        <v>693</v>
      </c>
      <c r="BP122" t="s">
        <v>74</v>
      </c>
      <c r="BQ122" t="s">
        <v>74</v>
      </c>
      <c r="BR122" t="s">
        <v>108</v>
      </c>
      <c r="BS122" t="s">
        <v>2758</v>
      </c>
      <c r="BT122" t="str">
        <f>HYPERLINK("https%3A%2F%2Fwww.webofscience.com%2Fwos%2Fwoscc%2Ffull-record%2FWOS:000503038600002","View Full Record in Web of Science")</f>
        <v>View Full Record in Web of Science</v>
      </c>
    </row>
    <row r="123" spans="1:72" x14ac:dyDescent="0.15">
      <c r="A123" t="s">
        <v>133</v>
      </c>
      <c r="B123" t="s">
        <v>2759</v>
      </c>
      <c r="C123" t="s">
        <v>74</v>
      </c>
      <c r="D123" t="s">
        <v>74</v>
      </c>
      <c r="E123" t="s">
        <v>74</v>
      </c>
      <c r="F123" t="s">
        <v>2760</v>
      </c>
      <c r="G123" t="s">
        <v>74</v>
      </c>
      <c r="H123" t="s">
        <v>74</v>
      </c>
      <c r="I123" t="s">
        <v>2761</v>
      </c>
      <c r="J123" t="s">
        <v>2623</v>
      </c>
      <c r="K123" t="s">
        <v>74</v>
      </c>
      <c r="L123" t="s">
        <v>74</v>
      </c>
      <c r="M123" t="s">
        <v>80</v>
      </c>
      <c r="N123" t="s">
        <v>138</v>
      </c>
      <c r="O123" t="s">
        <v>74</v>
      </c>
      <c r="P123" t="s">
        <v>74</v>
      </c>
      <c r="Q123" t="s">
        <v>74</v>
      </c>
      <c r="R123" t="s">
        <v>74</v>
      </c>
      <c r="S123" t="s">
        <v>74</v>
      </c>
      <c r="T123" t="s">
        <v>74</v>
      </c>
      <c r="U123" t="s">
        <v>2762</v>
      </c>
      <c r="V123" t="s">
        <v>2763</v>
      </c>
      <c r="W123" t="s">
        <v>2764</v>
      </c>
      <c r="X123" t="s">
        <v>2765</v>
      </c>
      <c r="Y123" t="s">
        <v>2766</v>
      </c>
      <c r="Z123" t="s">
        <v>2767</v>
      </c>
      <c r="AA123" t="s">
        <v>2768</v>
      </c>
      <c r="AB123" t="s">
        <v>2769</v>
      </c>
      <c r="AC123" t="s">
        <v>2770</v>
      </c>
      <c r="AD123" t="s">
        <v>2771</v>
      </c>
      <c r="AE123" t="s">
        <v>2772</v>
      </c>
      <c r="AF123" t="s">
        <v>74</v>
      </c>
      <c r="AG123">
        <v>98</v>
      </c>
      <c r="AH123">
        <v>21</v>
      </c>
      <c r="AI123">
        <v>23</v>
      </c>
      <c r="AJ123">
        <v>2</v>
      </c>
      <c r="AK123">
        <v>22</v>
      </c>
      <c r="AL123" t="s">
        <v>2038</v>
      </c>
      <c r="AM123" t="s">
        <v>1730</v>
      </c>
      <c r="AN123" t="s">
        <v>2039</v>
      </c>
      <c r="AO123" t="s">
        <v>2636</v>
      </c>
      <c r="AP123" t="s">
        <v>74</v>
      </c>
      <c r="AQ123" t="s">
        <v>74</v>
      </c>
      <c r="AR123" t="s">
        <v>2637</v>
      </c>
      <c r="AS123" t="s">
        <v>2638</v>
      </c>
      <c r="AT123" t="s">
        <v>2699</v>
      </c>
      <c r="AU123">
        <v>2019</v>
      </c>
      <c r="AV123">
        <v>9</v>
      </c>
      <c r="AW123" t="s">
        <v>74</v>
      </c>
      <c r="AX123" t="s">
        <v>74</v>
      </c>
      <c r="AY123" t="s">
        <v>74</v>
      </c>
      <c r="AZ123" t="s">
        <v>74</v>
      </c>
      <c r="BA123" t="s">
        <v>74</v>
      </c>
      <c r="BB123" t="s">
        <v>74</v>
      </c>
      <c r="BC123" t="s">
        <v>74</v>
      </c>
      <c r="BD123">
        <v>19013</v>
      </c>
      <c r="BE123" t="s">
        <v>2773</v>
      </c>
      <c r="BF123" t="str">
        <f>HYPERLINK("http://dx.doi.org/10.1038/s41598-019-55152-4","http://dx.doi.org/10.1038/s41598-019-55152-4")</f>
        <v>http://dx.doi.org/10.1038/s41598-019-55152-4</v>
      </c>
      <c r="BG123" t="s">
        <v>74</v>
      </c>
      <c r="BH123" t="s">
        <v>74</v>
      </c>
      <c r="BI123">
        <v>11</v>
      </c>
      <c r="BJ123" t="s">
        <v>1245</v>
      </c>
      <c r="BK123" t="s">
        <v>294</v>
      </c>
      <c r="BL123" t="s">
        <v>1246</v>
      </c>
      <c r="BM123" t="s">
        <v>2774</v>
      </c>
      <c r="BN123">
        <v>31831763</v>
      </c>
      <c r="BO123" t="s">
        <v>693</v>
      </c>
      <c r="BP123" t="s">
        <v>74</v>
      </c>
      <c r="BQ123" t="s">
        <v>74</v>
      </c>
      <c r="BR123" t="s">
        <v>108</v>
      </c>
      <c r="BS123" t="s">
        <v>2775</v>
      </c>
      <c r="BT123" t="str">
        <f>HYPERLINK("https%3A%2F%2Fwww.webofscience.com%2Fwos%2Fwoscc%2Ffull-record%2FWOS:000502736600001","View Full Record in Web of Science")</f>
        <v>View Full Record in Web of Science</v>
      </c>
    </row>
    <row r="124" spans="1:72" x14ac:dyDescent="0.15">
      <c r="A124" t="s">
        <v>133</v>
      </c>
      <c r="B124" t="s">
        <v>2776</v>
      </c>
      <c r="C124" t="s">
        <v>74</v>
      </c>
      <c r="D124" t="s">
        <v>74</v>
      </c>
      <c r="E124" t="s">
        <v>74</v>
      </c>
      <c r="F124" t="s">
        <v>2777</v>
      </c>
      <c r="G124" t="s">
        <v>74</v>
      </c>
      <c r="H124" t="s">
        <v>74</v>
      </c>
      <c r="I124" t="s">
        <v>2778</v>
      </c>
      <c r="J124" t="s">
        <v>1438</v>
      </c>
      <c r="K124" t="s">
        <v>74</v>
      </c>
      <c r="L124" t="s">
        <v>74</v>
      </c>
      <c r="M124" t="s">
        <v>80</v>
      </c>
      <c r="N124" t="s">
        <v>138</v>
      </c>
      <c r="O124" t="s">
        <v>74</v>
      </c>
      <c r="P124" t="s">
        <v>74</v>
      </c>
      <c r="Q124" t="s">
        <v>74</v>
      </c>
      <c r="R124" t="s">
        <v>74</v>
      </c>
      <c r="S124" t="s">
        <v>74</v>
      </c>
      <c r="T124" t="s">
        <v>2779</v>
      </c>
      <c r="U124" t="s">
        <v>2780</v>
      </c>
      <c r="V124" t="s">
        <v>2781</v>
      </c>
      <c r="W124" t="s">
        <v>2782</v>
      </c>
      <c r="X124" t="s">
        <v>2783</v>
      </c>
      <c r="Y124" t="s">
        <v>2784</v>
      </c>
      <c r="Z124" t="s">
        <v>2785</v>
      </c>
      <c r="AA124" t="s">
        <v>2786</v>
      </c>
      <c r="AB124" t="s">
        <v>2787</v>
      </c>
      <c r="AC124" t="s">
        <v>74</v>
      </c>
      <c r="AD124" t="s">
        <v>74</v>
      </c>
      <c r="AE124" t="s">
        <v>74</v>
      </c>
      <c r="AF124" t="s">
        <v>74</v>
      </c>
      <c r="AG124">
        <v>67</v>
      </c>
      <c r="AH124">
        <v>4</v>
      </c>
      <c r="AI124">
        <v>4</v>
      </c>
      <c r="AJ124">
        <v>0</v>
      </c>
      <c r="AK124">
        <v>12</v>
      </c>
      <c r="AL124" t="s">
        <v>1264</v>
      </c>
      <c r="AM124" t="s">
        <v>1265</v>
      </c>
      <c r="AN124" t="s">
        <v>1266</v>
      </c>
      <c r="AO124" t="s">
        <v>1450</v>
      </c>
      <c r="AP124" t="s">
        <v>1451</v>
      </c>
      <c r="AQ124" t="s">
        <v>74</v>
      </c>
      <c r="AR124" t="s">
        <v>1452</v>
      </c>
      <c r="AS124" t="s">
        <v>1453</v>
      </c>
      <c r="AT124" t="s">
        <v>1270</v>
      </c>
      <c r="AU124">
        <v>2019</v>
      </c>
      <c r="AV124">
        <v>34</v>
      </c>
      <c r="AW124">
        <v>12</v>
      </c>
      <c r="AX124" t="s">
        <v>74</v>
      </c>
      <c r="AY124" t="s">
        <v>74</v>
      </c>
      <c r="AZ124" t="s">
        <v>74</v>
      </c>
      <c r="BA124" t="s">
        <v>74</v>
      </c>
      <c r="BB124">
        <v>1995</v>
      </c>
      <c r="BC124">
        <v>2004</v>
      </c>
      <c r="BD124" t="s">
        <v>74</v>
      </c>
      <c r="BE124" t="s">
        <v>2788</v>
      </c>
      <c r="BF124" t="str">
        <f>HYPERLINK("http://dx.doi.org/10.1029/2019PA003679","http://dx.doi.org/10.1029/2019PA003679")</f>
        <v>http://dx.doi.org/10.1029/2019PA003679</v>
      </c>
      <c r="BG124" t="s">
        <v>74</v>
      </c>
      <c r="BH124" t="s">
        <v>1272</v>
      </c>
      <c r="BI124">
        <v>10</v>
      </c>
      <c r="BJ124" t="s">
        <v>1455</v>
      </c>
      <c r="BK124" t="s">
        <v>294</v>
      </c>
      <c r="BL124" t="s">
        <v>1456</v>
      </c>
      <c r="BM124" t="s">
        <v>1457</v>
      </c>
      <c r="BN124" t="s">
        <v>74</v>
      </c>
      <c r="BO124" t="s">
        <v>2385</v>
      </c>
      <c r="BP124" t="s">
        <v>74</v>
      </c>
      <c r="BQ124" t="s">
        <v>74</v>
      </c>
      <c r="BR124" t="s">
        <v>108</v>
      </c>
      <c r="BS124" t="s">
        <v>2789</v>
      </c>
      <c r="BT124" t="str">
        <f>HYPERLINK("https%3A%2F%2Fwww.webofscience.com%2Fwos%2Fwoscc%2Ffull-record%2FWOS:000502229100001","View Full Record in Web of Science")</f>
        <v>View Full Record in Web of Science</v>
      </c>
    </row>
    <row r="125" spans="1:72" x14ac:dyDescent="0.15">
      <c r="A125" t="s">
        <v>133</v>
      </c>
      <c r="B125" t="s">
        <v>2790</v>
      </c>
      <c r="C125" t="s">
        <v>74</v>
      </c>
      <c r="D125" t="s">
        <v>74</v>
      </c>
      <c r="E125" t="s">
        <v>74</v>
      </c>
      <c r="F125" t="s">
        <v>2791</v>
      </c>
      <c r="G125" t="s">
        <v>74</v>
      </c>
      <c r="H125" t="s">
        <v>74</v>
      </c>
      <c r="I125" t="s">
        <v>2792</v>
      </c>
      <c r="J125" t="s">
        <v>2662</v>
      </c>
      <c r="K125" t="s">
        <v>74</v>
      </c>
      <c r="L125" t="s">
        <v>74</v>
      </c>
      <c r="M125" t="s">
        <v>80</v>
      </c>
      <c r="N125" t="s">
        <v>138</v>
      </c>
      <c r="O125" t="s">
        <v>74</v>
      </c>
      <c r="P125" t="s">
        <v>74</v>
      </c>
      <c r="Q125" t="s">
        <v>74</v>
      </c>
      <c r="R125" t="s">
        <v>74</v>
      </c>
      <c r="S125" t="s">
        <v>74</v>
      </c>
      <c r="T125" t="s">
        <v>2793</v>
      </c>
      <c r="U125" t="s">
        <v>2794</v>
      </c>
      <c r="V125" t="s">
        <v>2795</v>
      </c>
      <c r="W125" t="s">
        <v>2796</v>
      </c>
      <c r="X125" t="s">
        <v>2797</v>
      </c>
      <c r="Y125" t="s">
        <v>2798</v>
      </c>
      <c r="Z125" t="s">
        <v>2799</v>
      </c>
      <c r="AA125" t="s">
        <v>2800</v>
      </c>
      <c r="AB125" t="s">
        <v>2801</v>
      </c>
      <c r="AC125" t="s">
        <v>2802</v>
      </c>
      <c r="AD125" t="s">
        <v>2803</v>
      </c>
      <c r="AE125" t="s">
        <v>2804</v>
      </c>
      <c r="AF125" t="s">
        <v>74</v>
      </c>
      <c r="AG125">
        <v>77</v>
      </c>
      <c r="AH125">
        <v>10</v>
      </c>
      <c r="AI125">
        <v>11</v>
      </c>
      <c r="AJ125">
        <v>0</v>
      </c>
      <c r="AK125">
        <v>17</v>
      </c>
      <c r="AL125" t="s">
        <v>429</v>
      </c>
      <c r="AM125" t="s">
        <v>430</v>
      </c>
      <c r="AN125" t="s">
        <v>431</v>
      </c>
      <c r="AO125" t="s">
        <v>2674</v>
      </c>
      <c r="AP125" t="s">
        <v>74</v>
      </c>
      <c r="AQ125" t="s">
        <v>74</v>
      </c>
      <c r="AR125" t="s">
        <v>2675</v>
      </c>
      <c r="AS125" t="s">
        <v>2676</v>
      </c>
      <c r="AT125" t="s">
        <v>291</v>
      </c>
      <c r="AU125">
        <v>2020</v>
      </c>
      <c r="AV125">
        <v>10</v>
      </c>
      <c r="AW125">
        <v>1</v>
      </c>
      <c r="AX125" t="s">
        <v>74</v>
      </c>
      <c r="AY125" t="s">
        <v>74</v>
      </c>
      <c r="AZ125" t="s">
        <v>74</v>
      </c>
      <c r="BA125" t="s">
        <v>74</v>
      </c>
      <c r="BB125">
        <v>410</v>
      </c>
      <c r="BC125">
        <v>430</v>
      </c>
      <c r="BD125" t="s">
        <v>74</v>
      </c>
      <c r="BE125" t="s">
        <v>2805</v>
      </c>
      <c r="BF125" t="str">
        <f>HYPERLINK("http://dx.doi.org/10.1002/ece3.5905","http://dx.doi.org/10.1002/ece3.5905")</f>
        <v>http://dx.doi.org/10.1002/ece3.5905</v>
      </c>
      <c r="BG125" t="s">
        <v>74</v>
      </c>
      <c r="BH125" t="s">
        <v>1272</v>
      </c>
      <c r="BI125">
        <v>21</v>
      </c>
      <c r="BJ125" t="s">
        <v>2678</v>
      </c>
      <c r="BK125" t="s">
        <v>294</v>
      </c>
      <c r="BL125" t="s">
        <v>2679</v>
      </c>
      <c r="BM125" t="s">
        <v>2680</v>
      </c>
      <c r="BN125">
        <v>31988734</v>
      </c>
      <c r="BO125" t="s">
        <v>2107</v>
      </c>
      <c r="BP125" t="s">
        <v>74</v>
      </c>
      <c r="BQ125" t="s">
        <v>74</v>
      </c>
      <c r="BR125" t="s">
        <v>108</v>
      </c>
      <c r="BS125" t="s">
        <v>2806</v>
      </c>
      <c r="BT125" t="str">
        <f>HYPERLINK("https%3A%2F%2Fwww.webofscience.com%2Fwos%2Fwoscc%2Ffull-record%2FWOS:000502011200001","View Full Record in Web of Science")</f>
        <v>View Full Record in Web of Science</v>
      </c>
    </row>
    <row r="126" spans="1:72" x14ac:dyDescent="0.15">
      <c r="A126" t="s">
        <v>133</v>
      </c>
      <c r="B126" t="s">
        <v>2807</v>
      </c>
      <c r="C126" t="s">
        <v>74</v>
      </c>
      <c r="D126" t="s">
        <v>74</v>
      </c>
      <c r="E126" t="s">
        <v>74</v>
      </c>
      <c r="F126" t="s">
        <v>2808</v>
      </c>
      <c r="G126" t="s">
        <v>74</v>
      </c>
      <c r="H126" t="s">
        <v>74</v>
      </c>
      <c r="I126" t="s">
        <v>2809</v>
      </c>
      <c r="J126" t="s">
        <v>1462</v>
      </c>
      <c r="K126" t="s">
        <v>74</v>
      </c>
      <c r="L126" t="s">
        <v>74</v>
      </c>
      <c r="M126" t="s">
        <v>80</v>
      </c>
      <c r="N126" t="s">
        <v>138</v>
      </c>
      <c r="O126" t="s">
        <v>74</v>
      </c>
      <c r="P126" t="s">
        <v>74</v>
      </c>
      <c r="Q126" t="s">
        <v>74</v>
      </c>
      <c r="R126" t="s">
        <v>74</v>
      </c>
      <c r="S126" t="s">
        <v>74</v>
      </c>
      <c r="T126" t="s">
        <v>2810</v>
      </c>
      <c r="U126" t="s">
        <v>2811</v>
      </c>
      <c r="V126" t="s">
        <v>2812</v>
      </c>
      <c r="W126" t="s">
        <v>2813</v>
      </c>
      <c r="X126" t="s">
        <v>2814</v>
      </c>
      <c r="Y126" t="s">
        <v>2815</v>
      </c>
      <c r="Z126" t="s">
        <v>2816</v>
      </c>
      <c r="AA126" t="s">
        <v>2817</v>
      </c>
      <c r="AB126" t="s">
        <v>2818</v>
      </c>
      <c r="AC126" t="s">
        <v>2819</v>
      </c>
      <c r="AD126" t="s">
        <v>2820</v>
      </c>
      <c r="AE126" t="s">
        <v>2821</v>
      </c>
      <c r="AF126" t="s">
        <v>74</v>
      </c>
      <c r="AG126">
        <v>37</v>
      </c>
      <c r="AH126">
        <v>103</v>
      </c>
      <c r="AI126">
        <v>113</v>
      </c>
      <c r="AJ126">
        <v>7</v>
      </c>
      <c r="AK126">
        <v>30</v>
      </c>
      <c r="AL126" t="s">
        <v>1264</v>
      </c>
      <c r="AM126" t="s">
        <v>1265</v>
      </c>
      <c r="AN126" t="s">
        <v>1266</v>
      </c>
      <c r="AO126" t="s">
        <v>1475</v>
      </c>
      <c r="AP126" t="s">
        <v>1476</v>
      </c>
      <c r="AQ126" t="s">
        <v>74</v>
      </c>
      <c r="AR126" t="s">
        <v>1477</v>
      </c>
      <c r="AS126" t="s">
        <v>1478</v>
      </c>
      <c r="AT126" t="s">
        <v>2365</v>
      </c>
      <c r="AU126">
        <v>2019</v>
      </c>
      <c r="AV126">
        <v>46</v>
      </c>
      <c r="AW126">
        <v>23</v>
      </c>
      <c r="AX126" t="s">
        <v>74</v>
      </c>
      <c r="AY126" t="s">
        <v>74</v>
      </c>
      <c r="AZ126" t="s">
        <v>74</v>
      </c>
      <c r="BA126" t="s">
        <v>74</v>
      </c>
      <c r="BB126">
        <v>13903</v>
      </c>
      <c r="BC126">
        <v>13909</v>
      </c>
      <c r="BD126" t="s">
        <v>74</v>
      </c>
      <c r="BE126" t="s">
        <v>2822</v>
      </c>
      <c r="BF126" t="str">
        <f>HYPERLINK("http://dx.doi.org/10.1029/2019GL085027","http://dx.doi.org/10.1029/2019GL085027")</f>
        <v>http://dx.doi.org/10.1029/2019GL085027</v>
      </c>
      <c r="BG126" t="s">
        <v>74</v>
      </c>
      <c r="BH126" t="s">
        <v>1272</v>
      </c>
      <c r="BI126">
        <v>7</v>
      </c>
      <c r="BJ126" t="s">
        <v>849</v>
      </c>
      <c r="BK126" t="s">
        <v>294</v>
      </c>
      <c r="BL126" t="s">
        <v>850</v>
      </c>
      <c r="BM126" t="s">
        <v>2823</v>
      </c>
      <c r="BN126" t="s">
        <v>74</v>
      </c>
      <c r="BO126" t="s">
        <v>1092</v>
      </c>
      <c r="BP126" t="s">
        <v>74</v>
      </c>
      <c r="BQ126" t="s">
        <v>74</v>
      </c>
      <c r="BR126" t="s">
        <v>108</v>
      </c>
      <c r="BS126" t="s">
        <v>2824</v>
      </c>
      <c r="BT126" t="str">
        <f>HYPERLINK("https%3A%2F%2Fwww.webofscience.com%2Fwos%2Fwoscc%2Ffull-record%2FWOS:000501928600001","View Full Record in Web of Science")</f>
        <v>View Full Record in Web of Science</v>
      </c>
    </row>
    <row r="127" spans="1:72" x14ac:dyDescent="0.15">
      <c r="A127" t="s">
        <v>133</v>
      </c>
      <c r="B127" t="s">
        <v>2825</v>
      </c>
      <c r="C127" t="s">
        <v>74</v>
      </c>
      <c r="D127" t="s">
        <v>74</v>
      </c>
      <c r="E127" t="s">
        <v>74</v>
      </c>
      <c r="F127" t="s">
        <v>2826</v>
      </c>
      <c r="G127" t="s">
        <v>74</v>
      </c>
      <c r="H127" t="s">
        <v>74</v>
      </c>
      <c r="I127" t="s">
        <v>2827</v>
      </c>
      <c r="J127" t="s">
        <v>2828</v>
      </c>
      <c r="K127" t="s">
        <v>74</v>
      </c>
      <c r="L127" t="s">
        <v>74</v>
      </c>
      <c r="M127" t="s">
        <v>80</v>
      </c>
      <c r="N127" t="s">
        <v>138</v>
      </c>
      <c r="O127" t="s">
        <v>74</v>
      </c>
      <c r="P127" t="s">
        <v>74</v>
      </c>
      <c r="Q127" t="s">
        <v>74</v>
      </c>
      <c r="R127" t="s">
        <v>74</v>
      </c>
      <c r="S127" t="s">
        <v>74</v>
      </c>
      <c r="T127" t="s">
        <v>2829</v>
      </c>
      <c r="U127" t="s">
        <v>74</v>
      </c>
      <c r="V127" t="s">
        <v>2830</v>
      </c>
      <c r="W127" t="s">
        <v>2831</v>
      </c>
      <c r="X127" t="s">
        <v>2832</v>
      </c>
      <c r="Y127" t="s">
        <v>2833</v>
      </c>
      <c r="Z127" t="s">
        <v>2834</v>
      </c>
      <c r="AA127" t="s">
        <v>74</v>
      </c>
      <c r="AB127" t="s">
        <v>74</v>
      </c>
      <c r="AC127" t="s">
        <v>2835</v>
      </c>
      <c r="AD127" t="s">
        <v>2836</v>
      </c>
      <c r="AE127" t="s">
        <v>2837</v>
      </c>
      <c r="AF127" t="s">
        <v>74</v>
      </c>
      <c r="AG127">
        <v>31</v>
      </c>
      <c r="AH127">
        <v>0</v>
      </c>
      <c r="AI127">
        <v>0</v>
      </c>
      <c r="AJ127">
        <v>0</v>
      </c>
      <c r="AK127">
        <v>4</v>
      </c>
      <c r="AL127" t="s">
        <v>1758</v>
      </c>
      <c r="AM127" t="s">
        <v>1759</v>
      </c>
      <c r="AN127" t="s">
        <v>1760</v>
      </c>
      <c r="AO127" t="s">
        <v>2838</v>
      </c>
      <c r="AP127" t="s">
        <v>2839</v>
      </c>
      <c r="AQ127" t="s">
        <v>74</v>
      </c>
      <c r="AR127" t="s">
        <v>2840</v>
      </c>
      <c r="AS127" t="s">
        <v>2841</v>
      </c>
      <c r="AT127" t="s">
        <v>2842</v>
      </c>
      <c r="AU127">
        <v>2019</v>
      </c>
      <c r="AV127">
        <v>53</v>
      </c>
      <c r="AW127" t="s">
        <v>2843</v>
      </c>
      <c r="AX127" t="s">
        <v>74</v>
      </c>
      <c r="AY127" t="s">
        <v>74</v>
      </c>
      <c r="AZ127" t="s">
        <v>74</v>
      </c>
      <c r="BA127" t="s">
        <v>74</v>
      </c>
      <c r="BB127">
        <v>2801</v>
      </c>
      <c r="BC127">
        <v>2815</v>
      </c>
      <c r="BD127" t="s">
        <v>74</v>
      </c>
      <c r="BE127" t="s">
        <v>2844</v>
      </c>
      <c r="BF127" t="str">
        <f>HYPERLINK("http://dx.doi.org/10.1080/00222933.2020.1752404","http://dx.doi.org/10.1080/00222933.2020.1752404")</f>
        <v>http://dx.doi.org/10.1080/00222933.2020.1752404</v>
      </c>
      <c r="BG127" t="s">
        <v>74</v>
      </c>
      <c r="BH127" t="s">
        <v>74</v>
      </c>
      <c r="BI127">
        <v>15</v>
      </c>
      <c r="BJ127" t="s">
        <v>2845</v>
      </c>
      <c r="BK127" t="s">
        <v>294</v>
      </c>
      <c r="BL127" t="s">
        <v>2846</v>
      </c>
      <c r="BM127" t="s">
        <v>2847</v>
      </c>
      <c r="BN127" t="s">
        <v>74</v>
      </c>
      <c r="BO127" t="s">
        <v>74</v>
      </c>
      <c r="BP127" t="s">
        <v>74</v>
      </c>
      <c r="BQ127" t="s">
        <v>74</v>
      </c>
      <c r="BR127" t="s">
        <v>108</v>
      </c>
      <c r="BS127" t="s">
        <v>2848</v>
      </c>
      <c r="BT127" t="str">
        <f>HYPERLINK("https%3A%2F%2Fwww.webofscience.com%2Fwos%2Fwoscc%2Ffull-record%2FWOS:000531033000003","View Full Record in Web of Science")</f>
        <v>View Full Record in Web of Science</v>
      </c>
    </row>
    <row r="128" spans="1:72" x14ac:dyDescent="0.15">
      <c r="A128" t="s">
        <v>133</v>
      </c>
      <c r="B128" t="s">
        <v>2849</v>
      </c>
      <c r="C128" t="s">
        <v>74</v>
      </c>
      <c r="D128" t="s">
        <v>74</v>
      </c>
      <c r="E128" t="s">
        <v>74</v>
      </c>
      <c r="F128" t="s">
        <v>2850</v>
      </c>
      <c r="G128" t="s">
        <v>74</v>
      </c>
      <c r="H128" t="s">
        <v>74</v>
      </c>
      <c r="I128" t="s">
        <v>2851</v>
      </c>
      <c r="J128" t="s">
        <v>1225</v>
      </c>
      <c r="K128" t="s">
        <v>74</v>
      </c>
      <c r="L128" t="s">
        <v>74</v>
      </c>
      <c r="M128" t="s">
        <v>80</v>
      </c>
      <c r="N128" t="s">
        <v>138</v>
      </c>
      <c r="O128" t="s">
        <v>74</v>
      </c>
      <c r="P128" t="s">
        <v>74</v>
      </c>
      <c r="Q128" t="s">
        <v>74</v>
      </c>
      <c r="R128" t="s">
        <v>74</v>
      </c>
      <c r="S128" t="s">
        <v>74</v>
      </c>
      <c r="T128" t="s">
        <v>74</v>
      </c>
      <c r="U128" t="s">
        <v>2852</v>
      </c>
      <c r="V128" t="s">
        <v>2853</v>
      </c>
      <c r="W128" t="s">
        <v>2854</v>
      </c>
      <c r="X128" t="s">
        <v>2855</v>
      </c>
      <c r="Y128" t="s">
        <v>2856</v>
      </c>
      <c r="Z128" t="s">
        <v>2857</v>
      </c>
      <c r="AA128" t="s">
        <v>2858</v>
      </c>
      <c r="AB128" t="s">
        <v>2859</v>
      </c>
      <c r="AC128" t="s">
        <v>2860</v>
      </c>
      <c r="AD128" t="s">
        <v>2860</v>
      </c>
      <c r="AE128" t="s">
        <v>2861</v>
      </c>
      <c r="AF128" t="s">
        <v>74</v>
      </c>
      <c r="AG128">
        <v>60</v>
      </c>
      <c r="AH128">
        <v>12</v>
      </c>
      <c r="AI128">
        <v>13</v>
      </c>
      <c r="AJ128">
        <v>3</v>
      </c>
      <c r="AK128">
        <v>19</v>
      </c>
      <c r="AL128" t="s">
        <v>1237</v>
      </c>
      <c r="AM128" t="s">
        <v>1238</v>
      </c>
      <c r="AN128" t="s">
        <v>1239</v>
      </c>
      <c r="AO128" t="s">
        <v>1240</v>
      </c>
      <c r="AP128" t="s">
        <v>74</v>
      </c>
      <c r="AQ128" t="s">
        <v>74</v>
      </c>
      <c r="AR128" t="s">
        <v>1225</v>
      </c>
      <c r="AS128" t="s">
        <v>1241</v>
      </c>
      <c r="AT128" t="s">
        <v>2842</v>
      </c>
      <c r="AU128">
        <v>2019</v>
      </c>
      <c r="AV128">
        <v>14</v>
      </c>
      <c r="AW128">
        <v>12</v>
      </c>
      <c r="AX128" t="s">
        <v>74</v>
      </c>
      <c r="AY128" t="s">
        <v>74</v>
      </c>
      <c r="AZ128" t="s">
        <v>74</v>
      </c>
      <c r="BA128" t="s">
        <v>74</v>
      </c>
      <c r="BB128" t="s">
        <v>74</v>
      </c>
      <c r="BC128" t="s">
        <v>74</v>
      </c>
      <c r="BD128" t="s">
        <v>2862</v>
      </c>
      <c r="BE128" t="s">
        <v>2863</v>
      </c>
      <c r="BF128" t="str">
        <f>HYPERLINK("http://dx.doi.org/10.1371/journal.pone.0226207","http://dx.doi.org/10.1371/journal.pone.0226207")</f>
        <v>http://dx.doi.org/10.1371/journal.pone.0226207</v>
      </c>
      <c r="BG128" t="s">
        <v>74</v>
      </c>
      <c r="BH128" t="s">
        <v>74</v>
      </c>
      <c r="BI128">
        <v>19</v>
      </c>
      <c r="BJ128" t="s">
        <v>1245</v>
      </c>
      <c r="BK128" t="s">
        <v>294</v>
      </c>
      <c r="BL128" t="s">
        <v>1246</v>
      </c>
      <c r="BM128" t="s">
        <v>2864</v>
      </c>
      <c r="BN128">
        <v>31821380</v>
      </c>
      <c r="BO128" t="s">
        <v>2865</v>
      </c>
      <c r="BP128" t="s">
        <v>74</v>
      </c>
      <c r="BQ128" t="s">
        <v>74</v>
      </c>
      <c r="BR128" t="s">
        <v>108</v>
      </c>
      <c r="BS128" t="s">
        <v>2866</v>
      </c>
      <c r="BT128" t="str">
        <f>HYPERLINK("https%3A%2F%2Fwww.webofscience.com%2Fwos%2Fwoscc%2Ffull-record%2FWOS:000503864700001","View Full Record in Web of Science")</f>
        <v>View Full Record in Web of Science</v>
      </c>
    </row>
    <row r="129" spans="1:72" x14ac:dyDescent="0.15">
      <c r="A129" t="s">
        <v>133</v>
      </c>
      <c r="B129" t="s">
        <v>2867</v>
      </c>
      <c r="C129" t="s">
        <v>74</v>
      </c>
      <c r="D129" t="s">
        <v>74</v>
      </c>
      <c r="E129" t="s">
        <v>74</v>
      </c>
      <c r="F129" t="s">
        <v>2868</v>
      </c>
      <c r="G129" t="s">
        <v>74</v>
      </c>
      <c r="H129" t="s">
        <v>74</v>
      </c>
      <c r="I129" t="s">
        <v>2869</v>
      </c>
      <c r="J129" t="s">
        <v>2026</v>
      </c>
      <c r="K129" t="s">
        <v>74</v>
      </c>
      <c r="L129" t="s">
        <v>74</v>
      </c>
      <c r="M129" t="s">
        <v>80</v>
      </c>
      <c r="N129" t="s">
        <v>930</v>
      </c>
      <c r="O129" t="s">
        <v>74</v>
      </c>
      <c r="P129" t="s">
        <v>74</v>
      </c>
      <c r="Q129" t="s">
        <v>74</v>
      </c>
      <c r="R129" t="s">
        <v>74</v>
      </c>
      <c r="S129" t="s">
        <v>74</v>
      </c>
      <c r="T129" t="s">
        <v>74</v>
      </c>
      <c r="U129" t="s">
        <v>2870</v>
      </c>
      <c r="V129" t="s">
        <v>2871</v>
      </c>
      <c r="W129" t="s">
        <v>2872</v>
      </c>
      <c r="X129" t="s">
        <v>2873</v>
      </c>
      <c r="Y129" t="s">
        <v>2874</v>
      </c>
      <c r="Z129" t="s">
        <v>2875</v>
      </c>
      <c r="AA129" t="s">
        <v>74</v>
      </c>
      <c r="AB129" t="s">
        <v>2876</v>
      </c>
      <c r="AC129" t="s">
        <v>2877</v>
      </c>
      <c r="AD129" t="s">
        <v>2878</v>
      </c>
      <c r="AE129" t="s">
        <v>2879</v>
      </c>
      <c r="AF129" t="s">
        <v>74</v>
      </c>
      <c r="AG129">
        <v>97</v>
      </c>
      <c r="AH129">
        <v>54</v>
      </c>
      <c r="AI129">
        <v>61</v>
      </c>
      <c r="AJ129">
        <v>1</v>
      </c>
      <c r="AK129">
        <v>17</v>
      </c>
      <c r="AL129" t="s">
        <v>2038</v>
      </c>
      <c r="AM129" t="s">
        <v>1730</v>
      </c>
      <c r="AN129" t="s">
        <v>2039</v>
      </c>
      <c r="AO129" t="s">
        <v>2040</v>
      </c>
      <c r="AP129" t="s">
        <v>74</v>
      </c>
      <c r="AQ129" t="s">
        <v>74</v>
      </c>
      <c r="AR129" t="s">
        <v>2041</v>
      </c>
      <c r="AS129" t="s">
        <v>2042</v>
      </c>
      <c r="AT129" t="s">
        <v>2842</v>
      </c>
      <c r="AU129">
        <v>2019</v>
      </c>
      <c r="AV129">
        <v>10</v>
      </c>
      <c r="AW129" t="s">
        <v>74</v>
      </c>
      <c r="AX129" t="s">
        <v>74</v>
      </c>
      <c r="AY129" t="s">
        <v>74</v>
      </c>
      <c r="AZ129" t="s">
        <v>74</v>
      </c>
      <c r="BA129" t="s">
        <v>74</v>
      </c>
      <c r="BB129" t="s">
        <v>74</v>
      </c>
      <c r="BC129" t="s">
        <v>74</v>
      </c>
      <c r="BD129">
        <v>5635</v>
      </c>
      <c r="BE129" t="s">
        <v>2880</v>
      </c>
      <c r="BF129" t="str">
        <f>HYPERLINK("http://dx.doi.org/10.1038/s41467-019-13496-5","http://dx.doi.org/10.1038/s41467-019-13496-5")</f>
        <v>http://dx.doi.org/10.1038/s41467-019-13496-5</v>
      </c>
      <c r="BG129" t="s">
        <v>74</v>
      </c>
      <c r="BH129" t="s">
        <v>74</v>
      </c>
      <c r="BI129">
        <v>16</v>
      </c>
      <c r="BJ129" t="s">
        <v>1245</v>
      </c>
      <c r="BK129" t="s">
        <v>294</v>
      </c>
      <c r="BL129" t="s">
        <v>1246</v>
      </c>
      <c r="BM129" t="s">
        <v>2881</v>
      </c>
      <c r="BN129">
        <v>31822661</v>
      </c>
      <c r="BO129" t="s">
        <v>1688</v>
      </c>
      <c r="BP129" t="s">
        <v>74</v>
      </c>
      <c r="BQ129" t="s">
        <v>74</v>
      </c>
      <c r="BR129" t="s">
        <v>108</v>
      </c>
      <c r="BS129" t="s">
        <v>2882</v>
      </c>
      <c r="BT129" t="str">
        <f>HYPERLINK("https%3A%2F%2Fwww.webofscience.com%2Fwos%2Fwoscc%2Ffull-record%2FWOS:000503201500001","View Full Record in Web of Science")</f>
        <v>View Full Record in Web of Science</v>
      </c>
    </row>
    <row r="130" spans="1:72" x14ac:dyDescent="0.15">
      <c r="A130" t="s">
        <v>133</v>
      </c>
      <c r="B130" t="s">
        <v>2883</v>
      </c>
      <c r="C130" t="s">
        <v>74</v>
      </c>
      <c r="D130" t="s">
        <v>74</v>
      </c>
      <c r="E130" t="s">
        <v>74</v>
      </c>
      <c r="F130" t="s">
        <v>2884</v>
      </c>
      <c r="G130" t="s">
        <v>74</v>
      </c>
      <c r="H130" t="s">
        <v>74</v>
      </c>
      <c r="I130" t="s">
        <v>2885</v>
      </c>
      <c r="J130" t="s">
        <v>2088</v>
      </c>
      <c r="K130" t="s">
        <v>74</v>
      </c>
      <c r="L130" t="s">
        <v>74</v>
      </c>
      <c r="M130" t="s">
        <v>80</v>
      </c>
      <c r="N130" t="s">
        <v>138</v>
      </c>
      <c r="O130" t="s">
        <v>74</v>
      </c>
      <c r="P130" t="s">
        <v>74</v>
      </c>
      <c r="Q130" t="s">
        <v>74</v>
      </c>
      <c r="R130" t="s">
        <v>74</v>
      </c>
      <c r="S130" t="s">
        <v>74</v>
      </c>
      <c r="T130" t="s">
        <v>74</v>
      </c>
      <c r="U130" t="s">
        <v>2886</v>
      </c>
      <c r="V130" t="s">
        <v>2887</v>
      </c>
      <c r="W130" t="s">
        <v>2888</v>
      </c>
      <c r="X130" t="s">
        <v>2889</v>
      </c>
      <c r="Y130" t="s">
        <v>2890</v>
      </c>
      <c r="Z130" t="s">
        <v>2891</v>
      </c>
      <c r="AA130" t="s">
        <v>2892</v>
      </c>
      <c r="AB130" t="s">
        <v>2893</v>
      </c>
      <c r="AC130" t="s">
        <v>2894</v>
      </c>
      <c r="AD130" t="s">
        <v>2895</v>
      </c>
      <c r="AE130" t="s">
        <v>2896</v>
      </c>
      <c r="AF130" t="s">
        <v>74</v>
      </c>
      <c r="AG130">
        <v>69</v>
      </c>
      <c r="AH130">
        <v>58</v>
      </c>
      <c r="AI130">
        <v>68</v>
      </c>
      <c r="AJ130">
        <v>2</v>
      </c>
      <c r="AK130">
        <v>16</v>
      </c>
      <c r="AL130" t="s">
        <v>2099</v>
      </c>
      <c r="AM130" t="s">
        <v>2100</v>
      </c>
      <c r="AN130" t="s">
        <v>2101</v>
      </c>
      <c r="AO130" t="s">
        <v>2102</v>
      </c>
      <c r="AP130" t="s">
        <v>2103</v>
      </c>
      <c r="AQ130" t="s">
        <v>74</v>
      </c>
      <c r="AR130" t="s">
        <v>2088</v>
      </c>
      <c r="AS130" t="s">
        <v>2104</v>
      </c>
      <c r="AT130" t="s">
        <v>2842</v>
      </c>
      <c r="AU130">
        <v>2019</v>
      </c>
      <c r="AV130">
        <v>13</v>
      </c>
      <c r="AW130">
        <v>12</v>
      </c>
      <c r="AX130" t="s">
        <v>74</v>
      </c>
      <c r="AY130" t="s">
        <v>74</v>
      </c>
      <c r="AZ130" t="s">
        <v>74</v>
      </c>
      <c r="BA130" t="s">
        <v>74</v>
      </c>
      <c r="BB130">
        <v>3261</v>
      </c>
      <c r="BC130">
        <v>3307</v>
      </c>
      <c r="BD130" t="s">
        <v>74</v>
      </c>
      <c r="BE130" t="s">
        <v>2897</v>
      </c>
      <c r="BF130" t="str">
        <f>HYPERLINK("http://dx.doi.org/10.5194/tc-13-3261-2019","http://dx.doi.org/10.5194/tc-13-3261-2019")</f>
        <v>http://dx.doi.org/10.5194/tc-13-3261-2019</v>
      </c>
      <c r="BG130" t="s">
        <v>74</v>
      </c>
      <c r="BH130" t="s">
        <v>74</v>
      </c>
      <c r="BI130">
        <v>47</v>
      </c>
      <c r="BJ130" t="s">
        <v>462</v>
      </c>
      <c r="BK130" t="s">
        <v>294</v>
      </c>
      <c r="BL130" t="s">
        <v>463</v>
      </c>
      <c r="BM130" t="s">
        <v>2898</v>
      </c>
      <c r="BN130" t="s">
        <v>74</v>
      </c>
      <c r="BO130" t="s">
        <v>1276</v>
      </c>
      <c r="BP130" t="s">
        <v>74</v>
      </c>
      <c r="BQ130" t="s">
        <v>74</v>
      </c>
      <c r="BR130" t="s">
        <v>108</v>
      </c>
      <c r="BS130" t="s">
        <v>2899</v>
      </c>
      <c r="BT130" t="str">
        <f>HYPERLINK("https%3A%2F%2Fwww.webofscience.com%2Fwos%2Fwoscc%2Ffull-record%2FWOS:000502281400001","View Full Record in Web of Science")</f>
        <v>View Full Record in Web of Science</v>
      </c>
    </row>
    <row r="131" spans="1:72" x14ac:dyDescent="0.15">
      <c r="A131" t="s">
        <v>133</v>
      </c>
      <c r="B131" t="s">
        <v>2900</v>
      </c>
      <c r="C131" t="s">
        <v>74</v>
      </c>
      <c r="D131" t="s">
        <v>74</v>
      </c>
      <c r="E131" t="s">
        <v>74</v>
      </c>
      <c r="F131" t="s">
        <v>2901</v>
      </c>
      <c r="G131" t="s">
        <v>74</v>
      </c>
      <c r="H131" t="s">
        <v>74</v>
      </c>
      <c r="I131" t="s">
        <v>2902</v>
      </c>
      <c r="J131" t="s">
        <v>2623</v>
      </c>
      <c r="K131" t="s">
        <v>74</v>
      </c>
      <c r="L131" t="s">
        <v>74</v>
      </c>
      <c r="M131" t="s">
        <v>80</v>
      </c>
      <c r="N131" t="s">
        <v>138</v>
      </c>
      <c r="O131" t="s">
        <v>74</v>
      </c>
      <c r="P131" t="s">
        <v>74</v>
      </c>
      <c r="Q131" t="s">
        <v>74</v>
      </c>
      <c r="R131" t="s">
        <v>74</v>
      </c>
      <c r="S131" t="s">
        <v>74</v>
      </c>
      <c r="T131" t="s">
        <v>74</v>
      </c>
      <c r="U131" t="s">
        <v>2903</v>
      </c>
      <c r="V131" t="s">
        <v>2904</v>
      </c>
      <c r="W131" t="s">
        <v>2905</v>
      </c>
      <c r="X131" t="s">
        <v>2906</v>
      </c>
      <c r="Y131" t="s">
        <v>2907</v>
      </c>
      <c r="Z131" t="s">
        <v>2908</v>
      </c>
      <c r="AA131" t="s">
        <v>2909</v>
      </c>
      <c r="AB131" t="s">
        <v>2910</v>
      </c>
      <c r="AC131" t="s">
        <v>2911</v>
      </c>
      <c r="AD131" t="s">
        <v>2912</v>
      </c>
      <c r="AE131" t="s">
        <v>2913</v>
      </c>
      <c r="AF131" t="s">
        <v>74</v>
      </c>
      <c r="AG131">
        <v>67</v>
      </c>
      <c r="AH131">
        <v>14</v>
      </c>
      <c r="AI131">
        <v>14</v>
      </c>
      <c r="AJ131">
        <v>0</v>
      </c>
      <c r="AK131">
        <v>4</v>
      </c>
      <c r="AL131" t="s">
        <v>2038</v>
      </c>
      <c r="AM131" t="s">
        <v>1730</v>
      </c>
      <c r="AN131" t="s">
        <v>2039</v>
      </c>
      <c r="AO131" t="s">
        <v>2636</v>
      </c>
      <c r="AP131" t="s">
        <v>74</v>
      </c>
      <c r="AQ131" t="s">
        <v>74</v>
      </c>
      <c r="AR131" t="s">
        <v>2637</v>
      </c>
      <c r="AS131" t="s">
        <v>2638</v>
      </c>
      <c r="AT131" t="s">
        <v>2842</v>
      </c>
      <c r="AU131">
        <v>2019</v>
      </c>
      <c r="AV131">
        <v>9</v>
      </c>
      <c r="AW131" t="s">
        <v>74</v>
      </c>
      <c r="AX131" t="s">
        <v>74</v>
      </c>
      <c r="AY131" t="s">
        <v>74</v>
      </c>
      <c r="AZ131" t="s">
        <v>74</v>
      </c>
      <c r="BA131" t="s">
        <v>74</v>
      </c>
      <c r="BB131" t="s">
        <v>74</v>
      </c>
      <c r="BC131" t="s">
        <v>74</v>
      </c>
      <c r="BD131">
        <v>18697</v>
      </c>
      <c r="BE131" t="s">
        <v>2914</v>
      </c>
      <c r="BF131" t="str">
        <f>HYPERLINK("http://dx.doi.org/10.1038/s41598-019-55226-3","http://dx.doi.org/10.1038/s41598-019-55226-3")</f>
        <v>http://dx.doi.org/10.1038/s41598-019-55226-3</v>
      </c>
      <c r="BG131" t="s">
        <v>74</v>
      </c>
      <c r="BH131" t="s">
        <v>74</v>
      </c>
      <c r="BI131">
        <v>10</v>
      </c>
      <c r="BJ131" t="s">
        <v>1245</v>
      </c>
      <c r="BK131" t="s">
        <v>294</v>
      </c>
      <c r="BL131" t="s">
        <v>1246</v>
      </c>
      <c r="BM131" t="s">
        <v>2915</v>
      </c>
      <c r="BN131">
        <v>31822741</v>
      </c>
      <c r="BO131" t="s">
        <v>693</v>
      </c>
      <c r="BP131" t="s">
        <v>74</v>
      </c>
      <c r="BQ131" t="s">
        <v>74</v>
      </c>
      <c r="BR131" t="s">
        <v>108</v>
      </c>
      <c r="BS131" t="s">
        <v>2916</v>
      </c>
      <c r="BT131" t="str">
        <f>HYPERLINK("https%3A%2F%2Fwww.webofscience.com%2Fwos%2Fwoscc%2Ffull-record%2FWOS:000501993100001","View Full Record in Web of Science")</f>
        <v>View Full Record in Web of Science</v>
      </c>
    </row>
    <row r="132" spans="1:72" x14ac:dyDescent="0.15">
      <c r="A132" t="s">
        <v>133</v>
      </c>
      <c r="B132" t="s">
        <v>2917</v>
      </c>
      <c r="C132" t="s">
        <v>74</v>
      </c>
      <c r="D132" t="s">
        <v>74</v>
      </c>
      <c r="E132" t="s">
        <v>74</v>
      </c>
      <c r="F132" t="s">
        <v>2918</v>
      </c>
      <c r="G132" t="s">
        <v>74</v>
      </c>
      <c r="H132" t="s">
        <v>74</v>
      </c>
      <c r="I132" t="s">
        <v>2919</v>
      </c>
      <c r="J132" t="s">
        <v>2723</v>
      </c>
      <c r="K132" t="s">
        <v>74</v>
      </c>
      <c r="L132" t="s">
        <v>74</v>
      </c>
      <c r="M132" t="s">
        <v>80</v>
      </c>
      <c r="N132" t="s">
        <v>930</v>
      </c>
      <c r="O132" t="s">
        <v>74</v>
      </c>
      <c r="P132" t="s">
        <v>74</v>
      </c>
      <c r="Q132" t="s">
        <v>74</v>
      </c>
      <c r="R132" t="s">
        <v>74</v>
      </c>
      <c r="S132" t="s">
        <v>74</v>
      </c>
      <c r="T132" t="s">
        <v>2920</v>
      </c>
      <c r="U132" t="s">
        <v>2921</v>
      </c>
      <c r="V132" t="s">
        <v>2922</v>
      </c>
      <c r="W132" t="s">
        <v>2923</v>
      </c>
      <c r="X132" t="s">
        <v>2924</v>
      </c>
      <c r="Y132" t="s">
        <v>2925</v>
      </c>
      <c r="Z132" t="s">
        <v>2926</v>
      </c>
      <c r="AA132" t="s">
        <v>2927</v>
      </c>
      <c r="AB132" t="s">
        <v>2928</v>
      </c>
      <c r="AC132" t="s">
        <v>2929</v>
      </c>
      <c r="AD132" t="s">
        <v>2930</v>
      </c>
      <c r="AE132" t="s">
        <v>2931</v>
      </c>
      <c r="AF132" t="s">
        <v>74</v>
      </c>
      <c r="AG132">
        <v>83</v>
      </c>
      <c r="AH132">
        <v>16</v>
      </c>
      <c r="AI132">
        <v>17</v>
      </c>
      <c r="AJ132">
        <v>6</v>
      </c>
      <c r="AK132">
        <v>38</v>
      </c>
      <c r="AL132" t="s">
        <v>2587</v>
      </c>
      <c r="AM132" t="s">
        <v>2588</v>
      </c>
      <c r="AN132" t="s">
        <v>2589</v>
      </c>
      <c r="AO132" t="s">
        <v>74</v>
      </c>
      <c r="AP132" t="s">
        <v>2734</v>
      </c>
      <c r="AQ132" t="s">
        <v>74</v>
      </c>
      <c r="AR132" t="s">
        <v>2735</v>
      </c>
      <c r="AS132" t="s">
        <v>2736</v>
      </c>
      <c r="AT132" t="s">
        <v>2842</v>
      </c>
      <c r="AU132">
        <v>2019</v>
      </c>
      <c r="AV132">
        <v>6</v>
      </c>
      <c r="AW132" t="s">
        <v>74</v>
      </c>
      <c r="AX132" t="s">
        <v>74</v>
      </c>
      <c r="AY132" t="s">
        <v>74</v>
      </c>
      <c r="AZ132" t="s">
        <v>74</v>
      </c>
      <c r="BA132" t="s">
        <v>74</v>
      </c>
      <c r="BB132" t="s">
        <v>74</v>
      </c>
      <c r="BC132" t="s">
        <v>74</v>
      </c>
      <c r="BD132">
        <v>759</v>
      </c>
      <c r="BE132" t="s">
        <v>2932</v>
      </c>
      <c r="BF132" t="str">
        <f>HYPERLINK("http://dx.doi.org/10.3389/fmars.2019.00759","http://dx.doi.org/10.3389/fmars.2019.00759")</f>
        <v>http://dx.doi.org/10.3389/fmars.2019.00759</v>
      </c>
      <c r="BG132" t="s">
        <v>74</v>
      </c>
      <c r="BH132" t="s">
        <v>74</v>
      </c>
      <c r="BI132">
        <v>17</v>
      </c>
      <c r="BJ132" t="s">
        <v>2738</v>
      </c>
      <c r="BK132" t="s">
        <v>360</v>
      </c>
      <c r="BL132" t="s">
        <v>2739</v>
      </c>
      <c r="BM132" t="s">
        <v>2933</v>
      </c>
      <c r="BN132" t="s">
        <v>74</v>
      </c>
      <c r="BO132" t="s">
        <v>2934</v>
      </c>
      <c r="BP132" t="s">
        <v>74</v>
      </c>
      <c r="BQ132" t="s">
        <v>74</v>
      </c>
      <c r="BR132" t="s">
        <v>108</v>
      </c>
      <c r="BS132" t="s">
        <v>2935</v>
      </c>
      <c r="BT132" t="str">
        <f>HYPERLINK("https%3A%2F%2Fwww.webofscience.com%2Fwos%2Fwoscc%2Ffull-record%2FWOS:000502971300001","View Full Record in Web of Science")</f>
        <v>View Full Record in Web of Science</v>
      </c>
    </row>
    <row r="133" spans="1:72" x14ac:dyDescent="0.15">
      <c r="A133" t="s">
        <v>133</v>
      </c>
      <c r="B133" t="s">
        <v>2936</v>
      </c>
      <c r="C133" t="s">
        <v>74</v>
      </c>
      <c r="D133" t="s">
        <v>74</v>
      </c>
      <c r="E133" t="s">
        <v>74</v>
      </c>
      <c r="F133" t="s">
        <v>2937</v>
      </c>
      <c r="G133" t="s">
        <v>74</v>
      </c>
      <c r="H133" t="s">
        <v>74</v>
      </c>
      <c r="I133" t="s">
        <v>2938</v>
      </c>
      <c r="J133" t="s">
        <v>2623</v>
      </c>
      <c r="K133" t="s">
        <v>74</v>
      </c>
      <c r="L133" t="s">
        <v>74</v>
      </c>
      <c r="M133" t="s">
        <v>80</v>
      </c>
      <c r="N133" t="s">
        <v>138</v>
      </c>
      <c r="O133" t="s">
        <v>74</v>
      </c>
      <c r="P133" t="s">
        <v>74</v>
      </c>
      <c r="Q133" t="s">
        <v>74</v>
      </c>
      <c r="R133" t="s">
        <v>74</v>
      </c>
      <c r="S133" t="s">
        <v>74</v>
      </c>
      <c r="T133" t="s">
        <v>74</v>
      </c>
      <c r="U133" t="s">
        <v>2939</v>
      </c>
      <c r="V133" t="s">
        <v>2940</v>
      </c>
      <c r="W133" t="s">
        <v>2941</v>
      </c>
      <c r="X133" t="s">
        <v>2942</v>
      </c>
      <c r="Y133" t="s">
        <v>2943</v>
      </c>
      <c r="Z133" t="s">
        <v>2944</v>
      </c>
      <c r="AA133" t="s">
        <v>2945</v>
      </c>
      <c r="AB133" t="s">
        <v>2946</v>
      </c>
      <c r="AC133" t="s">
        <v>2947</v>
      </c>
      <c r="AD133" t="s">
        <v>2948</v>
      </c>
      <c r="AE133" t="s">
        <v>2949</v>
      </c>
      <c r="AF133" t="s">
        <v>74</v>
      </c>
      <c r="AG133">
        <v>77</v>
      </c>
      <c r="AH133">
        <v>20</v>
      </c>
      <c r="AI133">
        <v>22</v>
      </c>
      <c r="AJ133">
        <v>1</v>
      </c>
      <c r="AK133">
        <v>11</v>
      </c>
      <c r="AL133" t="s">
        <v>2038</v>
      </c>
      <c r="AM133" t="s">
        <v>1730</v>
      </c>
      <c r="AN133" t="s">
        <v>2039</v>
      </c>
      <c r="AO133" t="s">
        <v>2636</v>
      </c>
      <c r="AP133" t="s">
        <v>74</v>
      </c>
      <c r="AQ133" t="s">
        <v>74</v>
      </c>
      <c r="AR133" t="s">
        <v>2637</v>
      </c>
      <c r="AS133" t="s">
        <v>2638</v>
      </c>
      <c r="AT133" t="s">
        <v>2950</v>
      </c>
      <c r="AU133">
        <v>2019</v>
      </c>
      <c r="AV133">
        <v>9</v>
      </c>
      <c r="AW133" t="s">
        <v>74</v>
      </c>
      <c r="AX133" t="s">
        <v>74</v>
      </c>
      <c r="AY133" t="s">
        <v>74</v>
      </c>
      <c r="AZ133" t="s">
        <v>74</v>
      </c>
      <c r="BA133" t="s">
        <v>74</v>
      </c>
      <c r="BB133" t="s">
        <v>74</v>
      </c>
      <c r="BC133" t="s">
        <v>74</v>
      </c>
      <c r="BD133">
        <v>18571</v>
      </c>
      <c r="BE133" t="s">
        <v>2951</v>
      </c>
      <c r="BF133" t="str">
        <f>HYPERLINK("http://dx.doi.org/10.1038/s41598-019-54875-8","http://dx.doi.org/10.1038/s41598-019-54875-8")</f>
        <v>http://dx.doi.org/10.1038/s41598-019-54875-8</v>
      </c>
      <c r="BG133" t="s">
        <v>74</v>
      </c>
      <c r="BH133" t="s">
        <v>74</v>
      </c>
      <c r="BI133">
        <v>17</v>
      </c>
      <c r="BJ133" t="s">
        <v>1245</v>
      </c>
      <c r="BK133" t="s">
        <v>294</v>
      </c>
      <c r="BL133" t="s">
        <v>1246</v>
      </c>
      <c r="BM133" t="s">
        <v>2952</v>
      </c>
      <c r="BN133">
        <v>31819101</v>
      </c>
      <c r="BO133" t="s">
        <v>2934</v>
      </c>
      <c r="BP133" t="s">
        <v>74</v>
      </c>
      <c r="BQ133" t="s">
        <v>74</v>
      </c>
      <c r="BR133" t="s">
        <v>108</v>
      </c>
      <c r="BS133" t="s">
        <v>2953</v>
      </c>
      <c r="BT133" t="str">
        <f>HYPERLINK("https%3A%2F%2Fwww.webofscience.com%2Fwos%2Fwoscc%2Ffull-record%2FWOS:000501750800001","View Full Record in Web of Science")</f>
        <v>View Full Record in Web of Science</v>
      </c>
    </row>
    <row r="134" spans="1:72" x14ac:dyDescent="0.15">
      <c r="A134" t="s">
        <v>133</v>
      </c>
      <c r="B134" t="s">
        <v>2954</v>
      </c>
      <c r="C134" t="s">
        <v>74</v>
      </c>
      <c r="D134" t="s">
        <v>74</v>
      </c>
      <c r="E134" t="s">
        <v>74</v>
      </c>
      <c r="F134" t="s">
        <v>2955</v>
      </c>
      <c r="G134" t="s">
        <v>74</v>
      </c>
      <c r="H134" t="s">
        <v>74</v>
      </c>
      <c r="I134" t="s">
        <v>2956</v>
      </c>
      <c r="J134" t="s">
        <v>1774</v>
      </c>
      <c r="K134" t="s">
        <v>74</v>
      </c>
      <c r="L134" t="s">
        <v>74</v>
      </c>
      <c r="M134" t="s">
        <v>80</v>
      </c>
      <c r="N134" t="s">
        <v>138</v>
      </c>
      <c r="O134" t="s">
        <v>74</v>
      </c>
      <c r="P134" t="s">
        <v>74</v>
      </c>
      <c r="Q134" t="s">
        <v>74</v>
      </c>
      <c r="R134" t="s">
        <v>74</v>
      </c>
      <c r="S134" t="s">
        <v>74</v>
      </c>
      <c r="T134" t="s">
        <v>2957</v>
      </c>
      <c r="U134" t="s">
        <v>2958</v>
      </c>
      <c r="V134" t="s">
        <v>2959</v>
      </c>
      <c r="W134" t="s">
        <v>2960</v>
      </c>
      <c r="X134" t="s">
        <v>2961</v>
      </c>
      <c r="Y134" t="s">
        <v>2962</v>
      </c>
      <c r="Z134" t="s">
        <v>2963</v>
      </c>
      <c r="AA134" t="s">
        <v>2964</v>
      </c>
      <c r="AB134" t="s">
        <v>2965</v>
      </c>
      <c r="AC134" t="s">
        <v>2966</v>
      </c>
      <c r="AD134" t="s">
        <v>2967</v>
      </c>
      <c r="AE134" t="s">
        <v>2968</v>
      </c>
      <c r="AF134" t="s">
        <v>74</v>
      </c>
      <c r="AG134">
        <v>100</v>
      </c>
      <c r="AH134">
        <v>40</v>
      </c>
      <c r="AI134">
        <v>42</v>
      </c>
      <c r="AJ134">
        <v>0</v>
      </c>
      <c r="AK134">
        <v>18</v>
      </c>
      <c r="AL134" t="s">
        <v>1264</v>
      </c>
      <c r="AM134" t="s">
        <v>1265</v>
      </c>
      <c r="AN134" t="s">
        <v>1266</v>
      </c>
      <c r="AO134" t="s">
        <v>74</v>
      </c>
      <c r="AP134" t="s">
        <v>1786</v>
      </c>
      <c r="AQ134" t="s">
        <v>74</v>
      </c>
      <c r="AR134" t="s">
        <v>1787</v>
      </c>
      <c r="AS134" t="s">
        <v>1788</v>
      </c>
      <c r="AT134" t="s">
        <v>1270</v>
      </c>
      <c r="AU134">
        <v>2019</v>
      </c>
      <c r="AV134">
        <v>11</v>
      </c>
      <c r="AW134">
        <v>12</v>
      </c>
      <c r="AX134" t="s">
        <v>74</v>
      </c>
      <c r="AY134" t="s">
        <v>74</v>
      </c>
      <c r="AZ134" t="s">
        <v>74</v>
      </c>
      <c r="BA134" t="s">
        <v>74</v>
      </c>
      <c r="BB134">
        <v>4066</v>
      </c>
      <c r="BC134">
        <v>4094</v>
      </c>
      <c r="BD134" t="s">
        <v>74</v>
      </c>
      <c r="BE134" t="s">
        <v>2969</v>
      </c>
      <c r="BF134" t="str">
        <f>HYPERLINK("http://dx.doi.org/10.1029/2019MS001801","http://dx.doi.org/10.1029/2019MS001801")</f>
        <v>http://dx.doi.org/10.1029/2019MS001801</v>
      </c>
      <c r="BG134" t="s">
        <v>74</v>
      </c>
      <c r="BH134" t="s">
        <v>1272</v>
      </c>
      <c r="BI134">
        <v>29</v>
      </c>
      <c r="BJ134" t="s">
        <v>1024</v>
      </c>
      <c r="BK134" t="s">
        <v>294</v>
      </c>
      <c r="BL134" t="s">
        <v>1024</v>
      </c>
      <c r="BM134" t="s">
        <v>1790</v>
      </c>
      <c r="BN134" t="s">
        <v>74</v>
      </c>
      <c r="BO134" t="s">
        <v>1354</v>
      </c>
      <c r="BP134" t="s">
        <v>74</v>
      </c>
      <c r="BQ134" t="s">
        <v>74</v>
      </c>
      <c r="BR134" t="s">
        <v>108</v>
      </c>
      <c r="BS134" t="s">
        <v>2970</v>
      </c>
      <c r="BT134" t="str">
        <f>HYPERLINK("https%3A%2F%2Fwww.webofscience.com%2Fwos%2Fwoscc%2Ffull-record%2FWOS:000501207900001","View Full Record in Web of Science")</f>
        <v>View Full Record in Web of Science</v>
      </c>
    </row>
    <row r="135" spans="1:72" x14ac:dyDescent="0.15">
      <c r="A135" t="s">
        <v>133</v>
      </c>
      <c r="B135" t="s">
        <v>2971</v>
      </c>
      <c r="C135" t="s">
        <v>74</v>
      </c>
      <c r="D135" t="s">
        <v>74</v>
      </c>
      <c r="E135" t="s">
        <v>74</v>
      </c>
      <c r="F135" t="s">
        <v>2972</v>
      </c>
      <c r="G135" t="s">
        <v>74</v>
      </c>
      <c r="H135" t="s">
        <v>74</v>
      </c>
      <c r="I135" t="s">
        <v>2973</v>
      </c>
      <c r="J135" t="s">
        <v>1774</v>
      </c>
      <c r="K135" t="s">
        <v>74</v>
      </c>
      <c r="L135" t="s">
        <v>74</v>
      </c>
      <c r="M135" t="s">
        <v>80</v>
      </c>
      <c r="N135" t="s">
        <v>138</v>
      </c>
      <c r="O135" t="s">
        <v>74</v>
      </c>
      <c r="P135" t="s">
        <v>74</v>
      </c>
      <c r="Q135" t="s">
        <v>74</v>
      </c>
      <c r="R135" t="s">
        <v>74</v>
      </c>
      <c r="S135" t="s">
        <v>74</v>
      </c>
      <c r="T135" t="s">
        <v>74</v>
      </c>
      <c r="U135" t="s">
        <v>2974</v>
      </c>
      <c r="V135" t="s">
        <v>2975</v>
      </c>
      <c r="W135" t="s">
        <v>2976</v>
      </c>
      <c r="X135" t="s">
        <v>2977</v>
      </c>
      <c r="Y135" t="s">
        <v>2978</v>
      </c>
      <c r="Z135" t="s">
        <v>2979</v>
      </c>
      <c r="AA135" t="s">
        <v>2980</v>
      </c>
      <c r="AB135" t="s">
        <v>2981</v>
      </c>
      <c r="AC135" t="s">
        <v>2982</v>
      </c>
      <c r="AD135" t="s">
        <v>2983</v>
      </c>
      <c r="AE135" t="s">
        <v>2984</v>
      </c>
      <c r="AF135" t="s">
        <v>74</v>
      </c>
      <c r="AG135">
        <v>128</v>
      </c>
      <c r="AH135">
        <v>40</v>
      </c>
      <c r="AI135">
        <v>41</v>
      </c>
      <c r="AJ135">
        <v>3</v>
      </c>
      <c r="AK135">
        <v>23</v>
      </c>
      <c r="AL135" t="s">
        <v>1264</v>
      </c>
      <c r="AM135" t="s">
        <v>1265</v>
      </c>
      <c r="AN135" t="s">
        <v>1266</v>
      </c>
      <c r="AO135" t="s">
        <v>74</v>
      </c>
      <c r="AP135" t="s">
        <v>1786</v>
      </c>
      <c r="AQ135" t="s">
        <v>74</v>
      </c>
      <c r="AR135" t="s">
        <v>1787</v>
      </c>
      <c r="AS135" t="s">
        <v>1788</v>
      </c>
      <c r="AT135" t="s">
        <v>1270</v>
      </c>
      <c r="AU135">
        <v>2019</v>
      </c>
      <c r="AV135">
        <v>11</v>
      </c>
      <c r="AW135">
        <v>12</v>
      </c>
      <c r="AX135" t="s">
        <v>74</v>
      </c>
      <c r="AY135" t="s">
        <v>74</v>
      </c>
      <c r="AZ135" t="s">
        <v>74</v>
      </c>
      <c r="BA135" t="s">
        <v>74</v>
      </c>
      <c r="BB135">
        <v>3934</v>
      </c>
      <c r="BC135">
        <v>3958</v>
      </c>
      <c r="BD135" t="s">
        <v>74</v>
      </c>
      <c r="BE135" t="s">
        <v>2985</v>
      </c>
      <c r="BF135" t="str">
        <f>HYPERLINK("http://dx.doi.org/10.1029/2019MS001805","http://dx.doi.org/10.1029/2019MS001805")</f>
        <v>http://dx.doi.org/10.1029/2019MS001805</v>
      </c>
      <c r="BG135" t="s">
        <v>74</v>
      </c>
      <c r="BH135" t="s">
        <v>1272</v>
      </c>
      <c r="BI135">
        <v>25</v>
      </c>
      <c r="BJ135" t="s">
        <v>1024</v>
      </c>
      <c r="BK135" t="s">
        <v>294</v>
      </c>
      <c r="BL135" t="s">
        <v>1024</v>
      </c>
      <c r="BM135" t="s">
        <v>1790</v>
      </c>
      <c r="BN135" t="s">
        <v>74</v>
      </c>
      <c r="BO135" t="s">
        <v>2865</v>
      </c>
      <c r="BP135" t="s">
        <v>74</v>
      </c>
      <c r="BQ135" t="s">
        <v>74</v>
      </c>
      <c r="BR135" t="s">
        <v>108</v>
      </c>
      <c r="BS135" t="s">
        <v>2986</v>
      </c>
      <c r="BT135" t="str">
        <f>HYPERLINK("https%3A%2F%2Fwww.webofscience.com%2Fwos%2Fwoscc%2Ffull-record%2FWOS:000501189500001","View Full Record in Web of Science")</f>
        <v>View Full Record in Web of Science</v>
      </c>
    </row>
    <row r="136" spans="1:72" x14ac:dyDescent="0.15">
      <c r="A136" t="s">
        <v>133</v>
      </c>
      <c r="B136" t="s">
        <v>2987</v>
      </c>
      <c r="C136" t="s">
        <v>74</v>
      </c>
      <c r="D136" t="s">
        <v>74</v>
      </c>
      <c r="E136" t="s">
        <v>74</v>
      </c>
      <c r="F136" t="s">
        <v>2988</v>
      </c>
      <c r="G136" t="s">
        <v>74</v>
      </c>
      <c r="H136" t="s">
        <v>74</v>
      </c>
      <c r="I136" t="s">
        <v>2989</v>
      </c>
      <c r="J136" t="s">
        <v>2990</v>
      </c>
      <c r="K136" t="s">
        <v>74</v>
      </c>
      <c r="L136" t="s">
        <v>74</v>
      </c>
      <c r="M136" t="s">
        <v>80</v>
      </c>
      <c r="N136" t="s">
        <v>138</v>
      </c>
      <c r="O136" t="s">
        <v>74</v>
      </c>
      <c r="P136" t="s">
        <v>74</v>
      </c>
      <c r="Q136" t="s">
        <v>74</v>
      </c>
      <c r="R136" t="s">
        <v>74</v>
      </c>
      <c r="S136" t="s">
        <v>74</v>
      </c>
      <c r="T136" t="s">
        <v>2991</v>
      </c>
      <c r="U136" t="s">
        <v>2992</v>
      </c>
      <c r="V136" t="s">
        <v>2993</v>
      </c>
      <c r="W136" t="s">
        <v>2994</v>
      </c>
      <c r="X136" t="s">
        <v>2995</v>
      </c>
      <c r="Y136" t="s">
        <v>2996</v>
      </c>
      <c r="Z136" t="s">
        <v>2997</v>
      </c>
      <c r="AA136" t="s">
        <v>2998</v>
      </c>
      <c r="AB136" t="s">
        <v>2999</v>
      </c>
      <c r="AC136" t="s">
        <v>3000</v>
      </c>
      <c r="AD136" t="s">
        <v>3001</v>
      </c>
      <c r="AE136" t="s">
        <v>3002</v>
      </c>
      <c r="AF136" t="s">
        <v>74</v>
      </c>
      <c r="AG136">
        <v>79</v>
      </c>
      <c r="AH136">
        <v>12</v>
      </c>
      <c r="AI136">
        <v>13</v>
      </c>
      <c r="AJ136">
        <v>1</v>
      </c>
      <c r="AK136">
        <v>28</v>
      </c>
      <c r="AL136" t="s">
        <v>429</v>
      </c>
      <c r="AM136" t="s">
        <v>430</v>
      </c>
      <c r="AN136" t="s">
        <v>431</v>
      </c>
      <c r="AO136" t="s">
        <v>3003</v>
      </c>
      <c r="AP136" t="s">
        <v>3004</v>
      </c>
      <c r="AQ136" t="s">
        <v>74</v>
      </c>
      <c r="AR136" t="s">
        <v>3005</v>
      </c>
      <c r="AS136" t="s">
        <v>3006</v>
      </c>
      <c r="AT136" t="s">
        <v>1527</v>
      </c>
      <c r="AU136">
        <v>2020</v>
      </c>
      <c r="AV136">
        <v>96</v>
      </c>
      <c r="AW136">
        <v>2</v>
      </c>
      <c r="AX136" t="s">
        <v>74</v>
      </c>
      <c r="AY136" t="s">
        <v>74</v>
      </c>
      <c r="AZ136" t="s">
        <v>74</v>
      </c>
      <c r="BA136" t="s">
        <v>74</v>
      </c>
      <c r="BB136" t="s">
        <v>74</v>
      </c>
      <c r="BC136" t="s">
        <v>74</v>
      </c>
      <c r="BD136" t="s">
        <v>74</v>
      </c>
      <c r="BE136" t="s">
        <v>3007</v>
      </c>
      <c r="BF136" t="str">
        <f>HYPERLINK("http://dx.doi.org/10.1111/jfb.14206","http://dx.doi.org/10.1111/jfb.14206")</f>
        <v>http://dx.doi.org/10.1111/jfb.14206</v>
      </c>
      <c r="BG136" t="s">
        <v>74</v>
      </c>
      <c r="BH136" t="s">
        <v>1272</v>
      </c>
      <c r="BI136">
        <v>14</v>
      </c>
      <c r="BJ136" t="s">
        <v>3008</v>
      </c>
      <c r="BK136" t="s">
        <v>294</v>
      </c>
      <c r="BL136" t="s">
        <v>3008</v>
      </c>
      <c r="BM136" t="s">
        <v>3009</v>
      </c>
      <c r="BN136">
        <v>31729022</v>
      </c>
      <c r="BO136" t="s">
        <v>638</v>
      </c>
      <c r="BP136" t="s">
        <v>74</v>
      </c>
      <c r="BQ136" t="s">
        <v>74</v>
      </c>
      <c r="BR136" t="s">
        <v>108</v>
      </c>
      <c r="BS136" t="s">
        <v>3010</v>
      </c>
      <c r="BT136" t="str">
        <f>HYPERLINK("https%3A%2F%2Fwww.webofscience.com%2Fwos%2Fwoscc%2Ffull-record%2FWOS:000501118300001","View Full Record in Web of Science")</f>
        <v>View Full Record in Web of Science</v>
      </c>
    </row>
    <row r="137" spans="1:72" x14ac:dyDescent="0.15">
      <c r="A137" t="s">
        <v>133</v>
      </c>
      <c r="B137" t="s">
        <v>3011</v>
      </c>
      <c r="C137" t="s">
        <v>74</v>
      </c>
      <c r="D137" t="s">
        <v>74</v>
      </c>
      <c r="E137" t="s">
        <v>74</v>
      </c>
      <c r="F137" t="s">
        <v>3012</v>
      </c>
      <c r="G137" t="s">
        <v>74</v>
      </c>
      <c r="H137" t="s">
        <v>74</v>
      </c>
      <c r="I137" t="s">
        <v>3013</v>
      </c>
      <c r="J137" t="s">
        <v>1928</v>
      </c>
      <c r="K137" t="s">
        <v>74</v>
      </c>
      <c r="L137" t="s">
        <v>74</v>
      </c>
      <c r="M137" t="s">
        <v>80</v>
      </c>
      <c r="N137" t="s">
        <v>138</v>
      </c>
      <c r="O137" t="s">
        <v>74</v>
      </c>
      <c r="P137" t="s">
        <v>74</v>
      </c>
      <c r="Q137" t="s">
        <v>74</v>
      </c>
      <c r="R137" t="s">
        <v>74</v>
      </c>
      <c r="S137" t="s">
        <v>74</v>
      </c>
      <c r="T137" t="s">
        <v>74</v>
      </c>
      <c r="U137" t="s">
        <v>3014</v>
      </c>
      <c r="V137" t="s">
        <v>3015</v>
      </c>
      <c r="W137" t="s">
        <v>3016</v>
      </c>
      <c r="X137" t="s">
        <v>3017</v>
      </c>
      <c r="Y137" t="s">
        <v>3018</v>
      </c>
      <c r="Z137" t="s">
        <v>3019</v>
      </c>
      <c r="AA137" t="s">
        <v>3020</v>
      </c>
      <c r="AB137" t="s">
        <v>3021</v>
      </c>
      <c r="AC137" t="s">
        <v>3022</v>
      </c>
      <c r="AD137" t="s">
        <v>3023</v>
      </c>
      <c r="AE137" t="s">
        <v>3024</v>
      </c>
      <c r="AF137" t="s">
        <v>74</v>
      </c>
      <c r="AG137">
        <v>45</v>
      </c>
      <c r="AH137">
        <v>7</v>
      </c>
      <c r="AI137">
        <v>7</v>
      </c>
      <c r="AJ137">
        <v>1</v>
      </c>
      <c r="AK137">
        <v>10</v>
      </c>
      <c r="AL137" t="s">
        <v>1264</v>
      </c>
      <c r="AM137" t="s">
        <v>1265</v>
      </c>
      <c r="AN137" t="s">
        <v>1266</v>
      </c>
      <c r="AO137" t="s">
        <v>1940</v>
      </c>
      <c r="AP137" t="s">
        <v>1941</v>
      </c>
      <c r="AQ137" t="s">
        <v>74</v>
      </c>
      <c r="AR137" t="s">
        <v>1942</v>
      </c>
      <c r="AS137" t="s">
        <v>1943</v>
      </c>
      <c r="AT137" t="s">
        <v>1270</v>
      </c>
      <c r="AU137">
        <v>2019</v>
      </c>
      <c r="AV137">
        <v>124</v>
      </c>
      <c r="AW137">
        <v>12</v>
      </c>
      <c r="AX137" t="s">
        <v>74</v>
      </c>
      <c r="AY137" t="s">
        <v>74</v>
      </c>
      <c r="AZ137" t="s">
        <v>74</v>
      </c>
      <c r="BA137" t="s">
        <v>74</v>
      </c>
      <c r="BB137">
        <v>8647</v>
      </c>
      <c r="BC137">
        <v>8666</v>
      </c>
      <c r="BD137" t="s">
        <v>74</v>
      </c>
      <c r="BE137" t="s">
        <v>3025</v>
      </c>
      <c r="BF137" t="str">
        <f>HYPERLINK("http://dx.doi.org/10.1029/2019JC015460","http://dx.doi.org/10.1029/2019JC015460")</f>
        <v>http://dx.doi.org/10.1029/2019JC015460</v>
      </c>
      <c r="BG137" t="s">
        <v>74</v>
      </c>
      <c r="BH137" t="s">
        <v>1272</v>
      </c>
      <c r="BI137">
        <v>20</v>
      </c>
      <c r="BJ137" t="s">
        <v>1945</v>
      </c>
      <c r="BK137" t="s">
        <v>294</v>
      </c>
      <c r="BL137" t="s">
        <v>1945</v>
      </c>
      <c r="BM137" t="s">
        <v>1946</v>
      </c>
      <c r="BN137" t="s">
        <v>74</v>
      </c>
      <c r="BO137" t="s">
        <v>3026</v>
      </c>
      <c r="BP137" t="s">
        <v>74</v>
      </c>
      <c r="BQ137" t="s">
        <v>74</v>
      </c>
      <c r="BR137" t="s">
        <v>108</v>
      </c>
      <c r="BS137" t="s">
        <v>3027</v>
      </c>
      <c r="BT137" t="str">
        <f>HYPERLINK("https%3A%2F%2Fwww.webofscience.com%2Fwos%2Fwoscc%2Ffull-record%2FWOS:000501084800001","View Full Record in Web of Science")</f>
        <v>View Full Record in Web of Science</v>
      </c>
    </row>
    <row r="138" spans="1:72" x14ac:dyDescent="0.15">
      <c r="A138" t="s">
        <v>133</v>
      </c>
      <c r="B138" t="s">
        <v>3028</v>
      </c>
      <c r="C138" t="s">
        <v>74</v>
      </c>
      <c r="D138" t="s">
        <v>74</v>
      </c>
      <c r="E138" t="s">
        <v>74</v>
      </c>
      <c r="F138" t="s">
        <v>3029</v>
      </c>
      <c r="G138" t="s">
        <v>74</v>
      </c>
      <c r="H138" t="s">
        <v>74</v>
      </c>
      <c r="I138" t="s">
        <v>3030</v>
      </c>
      <c r="J138" t="s">
        <v>3031</v>
      </c>
      <c r="K138" t="s">
        <v>74</v>
      </c>
      <c r="L138" t="s">
        <v>74</v>
      </c>
      <c r="M138" t="s">
        <v>80</v>
      </c>
      <c r="N138" t="s">
        <v>138</v>
      </c>
      <c r="O138" t="s">
        <v>74</v>
      </c>
      <c r="P138" t="s">
        <v>74</v>
      </c>
      <c r="Q138" t="s">
        <v>74</v>
      </c>
      <c r="R138" t="s">
        <v>74</v>
      </c>
      <c r="S138" t="s">
        <v>74</v>
      </c>
      <c r="T138" t="s">
        <v>74</v>
      </c>
      <c r="U138" t="s">
        <v>3032</v>
      </c>
      <c r="V138" t="s">
        <v>3033</v>
      </c>
      <c r="W138" t="s">
        <v>3034</v>
      </c>
      <c r="X138" t="s">
        <v>3035</v>
      </c>
      <c r="Y138" t="s">
        <v>3036</v>
      </c>
      <c r="Z138" t="s">
        <v>3037</v>
      </c>
      <c r="AA138" t="s">
        <v>3038</v>
      </c>
      <c r="AB138" t="s">
        <v>3039</v>
      </c>
      <c r="AC138" t="s">
        <v>3040</v>
      </c>
      <c r="AD138" t="s">
        <v>3041</v>
      </c>
      <c r="AE138" t="s">
        <v>3042</v>
      </c>
      <c r="AF138" t="s">
        <v>74</v>
      </c>
      <c r="AG138">
        <v>98</v>
      </c>
      <c r="AH138">
        <v>5</v>
      </c>
      <c r="AI138">
        <v>5</v>
      </c>
      <c r="AJ138">
        <v>1</v>
      </c>
      <c r="AK138">
        <v>2</v>
      </c>
      <c r="AL138" t="s">
        <v>1264</v>
      </c>
      <c r="AM138" t="s">
        <v>1265</v>
      </c>
      <c r="AN138" t="s">
        <v>1266</v>
      </c>
      <c r="AO138" t="s">
        <v>74</v>
      </c>
      <c r="AP138" t="s">
        <v>3043</v>
      </c>
      <c r="AQ138" t="s">
        <v>74</v>
      </c>
      <c r="AR138" t="s">
        <v>3044</v>
      </c>
      <c r="AS138" t="s">
        <v>3045</v>
      </c>
      <c r="AT138" t="s">
        <v>1270</v>
      </c>
      <c r="AU138">
        <v>2019</v>
      </c>
      <c r="AV138">
        <v>20</v>
      </c>
      <c r="AW138">
        <v>12</v>
      </c>
      <c r="AX138" t="s">
        <v>74</v>
      </c>
      <c r="AY138" t="s">
        <v>74</v>
      </c>
      <c r="AZ138" t="s">
        <v>74</v>
      </c>
      <c r="BA138" t="s">
        <v>74</v>
      </c>
      <c r="BB138">
        <v>5831</v>
      </c>
      <c r="BC138">
        <v>5848</v>
      </c>
      <c r="BD138" t="s">
        <v>74</v>
      </c>
      <c r="BE138" t="s">
        <v>3046</v>
      </c>
      <c r="BF138" t="str">
        <f>HYPERLINK("http://dx.doi.org/10.1029/2019GC008667","http://dx.doi.org/10.1029/2019GC008667")</f>
        <v>http://dx.doi.org/10.1029/2019GC008667</v>
      </c>
      <c r="BG138" t="s">
        <v>74</v>
      </c>
      <c r="BH138" t="s">
        <v>1272</v>
      </c>
      <c r="BI138">
        <v>18</v>
      </c>
      <c r="BJ138" t="s">
        <v>1067</v>
      </c>
      <c r="BK138" t="s">
        <v>294</v>
      </c>
      <c r="BL138" t="s">
        <v>1067</v>
      </c>
      <c r="BM138" t="s">
        <v>3047</v>
      </c>
      <c r="BN138" t="s">
        <v>74</v>
      </c>
      <c r="BO138" t="s">
        <v>1482</v>
      </c>
      <c r="BP138" t="s">
        <v>74</v>
      </c>
      <c r="BQ138" t="s">
        <v>74</v>
      </c>
      <c r="BR138" t="s">
        <v>108</v>
      </c>
      <c r="BS138" t="s">
        <v>3048</v>
      </c>
      <c r="BT138" t="str">
        <f>HYPERLINK("https%3A%2F%2Fwww.webofscience.com%2Fwos%2Fwoscc%2Ffull-record%2FWOS:000500911100001","View Full Record in Web of Science")</f>
        <v>View Full Record in Web of Science</v>
      </c>
    </row>
    <row r="139" spans="1:72" x14ac:dyDescent="0.15">
      <c r="A139" t="s">
        <v>133</v>
      </c>
      <c r="B139" t="s">
        <v>3049</v>
      </c>
      <c r="C139" t="s">
        <v>74</v>
      </c>
      <c r="D139" t="s">
        <v>74</v>
      </c>
      <c r="E139" t="s">
        <v>74</v>
      </c>
      <c r="F139" t="s">
        <v>3050</v>
      </c>
      <c r="G139" t="s">
        <v>74</v>
      </c>
      <c r="H139" t="s">
        <v>74</v>
      </c>
      <c r="I139" t="s">
        <v>3051</v>
      </c>
      <c r="J139" t="s">
        <v>3052</v>
      </c>
      <c r="K139" t="s">
        <v>74</v>
      </c>
      <c r="L139" t="s">
        <v>74</v>
      </c>
      <c r="M139" t="s">
        <v>80</v>
      </c>
      <c r="N139" t="s">
        <v>138</v>
      </c>
      <c r="O139" t="s">
        <v>74</v>
      </c>
      <c r="P139" t="s">
        <v>74</v>
      </c>
      <c r="Q139" t="s">
        <v>74</v>
      </c>
      <c r="R139" t="s">
        <v>74</v>
      </c>
      <c r="S139" t="s">
        <v>74</v>
      </c>
      <c r="T139" t="s">
        <v>3053</v>
      </c>
      <c r="U139" t="s">
        <v>3054</v>
      </c>
      <c r="V139" t="s">
        <v>3055</v>
      </c>
      <c r="W139" t="s">
        <v>3056</v>
      </c>
      <c r="X139" t="s">
        <v>3057</v>
      </c>
      <c r="Y139" t="s">
        <v>3058</v>
      </c>
      <c r="Z139" t="s">
        <v>3059</v>
      </c>
      <c r="AA139" t="s">
        <v>74</v>
      </c>
      <c r="AB139" t="s">
        <v>74</v>
      </c>
      <c r="AC139" t="s">
        <v>74</v>
      </c>
      <c r="AD139" t="s">
        <v>74</v>
      </c>
      <c r="AE139" t="s">
        <v>74</v>
      </c>
      <c r="AF139" t="s">
        <v>74</v>
      </c>
      <c r="AG139">
        <v>23</v>
      </c>
      <c r="AH139">
        <v>3</v>
      </c>
      <c r="AI139">
        <v>3</v>
      </c>
      <c r="AJ139">
        <v>2</v>
      </c>
      <c r="AK139">
        <v>16</v>
      </c>
      <c r="AL139" t="s">
        <v>1758</v>
      </c>
      <c r="AM139" t="s">
        <v>1759</v>
      </c>
      <c r="AN139" t="s">
        <v>1760</v>
      </c>
      <c r="AO139" t="s">
        <v>3060</v>
      </c>
      <c r="AP139" t="s">
        <v>3061</v>
      </c>
      <c r="AQ139" t="s">
        <v>74</v>
      </c>
      <c r="AR139" t="s">
        <v>3062</v>
      </c>
      <c r="AS139" t="s">
        <v>3063</v>
      </c>
      <c r="AT139" t="s">
        <v>3064</v>
      </c>
      <c r="AU139">
        <v>2021</v>
      </c>
      <c r="AV139">
        <v>100</v>
      </c>
      <c r="AW139">
        <v>13</v>
      </c>
      <c r="AX139" t="s">
        <v>74</v>
      </c>
      <c r="AY139" t="s">
        <v>74</v>
      </c>
      <c r="AZ139" t="s">
        <v>74</v>
      </c>
      <c r="BA139" t="s">
        <v>74</v>
      </c>
      <c r="BB139">
        <v>2891</v>
      </c>
      <c r="BC139">
        <v>2899</v>
      </c>
      <c r="BD139" t="s">
        <v>74</v>
      </c>
      <c r="BE139" t="s">
        <v>3065</v>
      </c>
      <c r="BF139" t="str">
        <f>HYPERLINK("http://dx.doi.org/10.1080/00036811.2019.1698731","http://dx.doi.org/10.1080/00036811.2019.1698731")</f>
        <v>http://dx.doi.org/10.1080/00036811.2019.1698731</v>
      </c>
      <c r="BG139" t="s">
        <v>74</v>
      </c>
      <c r="BH139" t="s">
        <v>1272</v>
      </c>
      <c r="BI139">
        <v>9</v>
      </c>
      <c r="BJ139" t="s">
        <v>3066</v>
      </c>
      <c r="BK139" t="s">
        <v>294</v>
      </c>
      <c r="BL139" t="s">
        <v>3067</v>
      </c>
      <c r="BM139" t="s">
        <v>3068</v>
      </c>
      <c r="BN139" t="s">
        <v>74</v>
      </c>
      <c r="BO139" t="s">
        <v>74</v>
      </c>
      <c r="BP139" t="s">
        <v>74</v>
      </c>
      <c r="BQ139" t="s">
        <v>74</v>
      </c>
      <c r="BR139" t="s">
        <v>108</v>
      </c>
      <c r="BS139" t="s">
        <v>3069</v>
      </c>
      <c r="BT139" t="str">
        <f>HYPERLINK("https%3A%2F%2Fwww.webofscience.com%2Fwos%2Fwoscc%2Ffull-record%2FWOS:000501041500001","View Full Record in Web of Science")</f>
        <v>View Full Record in Web of Science</v>
      </c>
    </row>
    <row r="140" spans="1:72" x14ac:dyDescent="0.15">
      <c r="A140" t="s">
        <v>133</v>
      </c>
      <c r="B140" t="s">
        <v>3070</v>
      </c>
      <c r="C140" t="s">
        <v>74</v>
      </c>
      <c r="D140" t="s">
        <v>74</v>
      </c>
      <c r="E140" t="s">
        <v>74</v>
      </c>
      <c r="F140" t="s">
        <v>3071</v>
      </c>
      <c r="G140" t="s">
        <v>74</v>
      </c>
      <c r="H140" t="s">
        <v>74</v>
      </c>
      <c r="I140" t="s">
        <v>3072</v>
      </c>
      <c r="J140" t="s">
        <v>3073</v>
      </c>
      <c r="K140" t="s">
        <v>74</v>
      </c>
      <c r="L140" t="s">
        <v>74</v>
      </c>
      <c r="M140" t="s">
        <v>80</v>
      </c>
      <c r="N140" t="s">
        <v>3074</v>
      </c>
      <c r="O140" t="s">
        <v>74</v>
      </c>
      <c r="P140" t="s">
        <v>74</v>
      </c>
      <c r="Q140" t="s">
        <v>74</v>
      </c>
      <c r="R140" t="s">
        <v>74</v>
      </c>
      <c r="S140" t="s">
        <v>74</v>
      </c>
      <c r="T140" t="s">
        <v>74</v>
      </c>
      <c r="U140" t="s">
        <v>74</v>
      </c>
      <c r="V140" t="s">
        <v>74</v>
      </c>
      <c r="W140" t="s">
        <v>3075</v>
      </c>
      <c r="X140" t="s">
        <v>3076</v>
      </c>
      <c r="Y140" t="s">
        <v>3077</v>
      </c>
      <c r="Z140" t="s">
        <v>3078</v>
      </c>
      <c r="AA140" t="s">
        <v>3079</v>
      </c>
      <c r="AB140" t="s">
        <v>3080</v>
      </c>
      <c r="AC140" t="s">
        <v>3081</v>
      </c>
      <c r="AD140" t="s">
        <v>3082</v>
      </c>
      <c r="AE140" t="s">
        <v>3083</v>
      </c>
      <c r="AF140" t="s">
        <v>74</v>
      </c>
      <c r="AG140">
        <v>5</v>
      </c>
      <c r="AH140">
        <v>47</v>
      </c>
      <c r="AI140">
        <v>51</v>
      </c>
      <c r="AJ140">
        <v>1</v>
      </c>
      <c r="AK140">
        <v>6</v>
      </c>
      <c r="AL140" t="s">
        <v>3084</v>
      </c>
      <c r="AM140" t="s">
        <v>3085</v>
      </c>
      <c r="AN140" t="s">
        <v>3086</v>
      </c>
      <c r="AO140" t="s">
        <v>3087</v>
      </c>
      <c r="AP140" t="s">
        <v>3088</v>
      </c>
      <c r="AQ140" t="s">
        <v>74</v>
      </c>
      <c r="AR140" t="s">
        <v>3089</v>
      </c>
      <c r="AS140" t="s">
        <v>3090</v>
      </c>
      <c r="AT140" t="s">
        <v>3091</v>
      </c>
      <c r="AU140">
        <v>2019</v>
      </c>
      <c r="AV140">
        <v>381</v>
      </c>
      <c r="AW140">
        <v>23</v>
      </c>
      <c r="AX140" t="s">
        <v>74</v>
      </c>
      <c r="AY140" t="s">
        <v>74</v>
      </c>
      <c r="AZ140" t="s">
        <v>74</v>
      </c>
      <c r="BA140" t="s">
        <v>74</v>
      </c>
      <c r="BB140">
        <v>2273</v>
      </c>
      <c r="BC140">
        <v>2275</v>
      </c>
      <c r="BD140" t="s">
        <v>74</v>
      </c>
      <c r="BE140" t="s">
        <v>3092</v>
      </c>
      <c r="BF140" t="str">
        <f>HYPERLINK("http://dx.doi.org/10.1056/NEJMc1904905","http://dx.doi.org/10.1056/NEJMc1904905")</f>
        <v>http://dx.doi.org/10.1056/NEJMc1904905</v>
      </c>
      <c r="BG140" t="s">
        <v>74</v>
      </c>
      <c r="BH140" t="s">
        <v>74</v>
      </c>
      <c r="BI140">
        <v>3</v>
      </c>
      <c r="BJ140" t="s">
        <v>3093</v>
      </c>
      <c r="BK140" t="s">
        <v>294</v>
      </c>
      <c r="BL140" t="s">
        <v>3094</v>
      </c>
      <c r="BM140" t="s">
        <v>3095</v>
      </c>
      <c r="BN140">
        <v>31800997</v>
      </c>
      <c r="BO140" t="s">
        <v>74</v>
      </c>
      <c r="BP140" t="s">
        <v>74</v>
      </c>
      <c r="BQ140" t="s">
        <v>74</v>
      </c>
      <c r="BR140" t="s">
        <v>108</v>
      </c>
      <c r="BS140" t="s">
        <v>3096</v>
      </c>
      <c r="BT140" t="str">
        <f>HYPERLINK("https%3A%2F%2Fwww.webofscience.com%2Fwos%2Fwoscc%2Ffull-record%2FWOS:000505219800017","View Full Record in Web of Science")</f>
        <v>View Full Record in Web of Science</v>
      </c>
    </row>
    <row r="141" spans="1:72" x14ac:dyDescent="0.15">
      <c r="A141" t="s">
        <v>133</v>
      </c>
      <c r="B141" t="s">
        <v>3097</v>
      </c>
      <c r="C141" t="s">
        <v>74</v>
      </c>
      <c r="D141" t="s">
        <v>74</v>
      </c>
      <c r="E141" t="s">
        <v>74</v>
      </c>
      <c r="F141" t="s">
        <v>3098</v>
      </c>
      <c r="G141" t="s">
        <v>74</v>
      </c>
      <c r="H141" t="s">
        <v>74</v>
      </c>
      <c r="I141" t="s">
        <v>3099</v>
      </c>
      <c r="J141" t="s">
        <v>1951</v>
      </c>
      <c r="K141" t="s">
        <v>74</v>
      </c>
      <c r="L141" t="s">
        <v>74</v>
      </c>
      <c r="M141" t="s">
        <v>80</v>
      </c>
      <c r="N141" t="s">
        <v>138</v>
      </c>
      <c r="O141" t="s">
        <v>74</v>
      </c>
      <c r="P141" t="s">
        <v>74</v>
      </c>
      <c r="Q141" t="s">
        <v>74</v>
      </c>
      <c r="R141" t="s">
        <v>74</v>
      </c>
      <c r="S141" t="s">
        <v>74</v>
      </c>
      <c r="T141" t="s">
        <v>3100</v>
      </c>
      <c r="U141" t="s">
        <v>3101</v>
      </c>
      <c r="V141" t="s">
        <v>3102</v>
      </c>
      <c r="W141" t="s">
        <v>3103</v>
      </c>
      <c r="X141" t="s">
        <v>3104</v>
      </c>
      <c r="Y141" t="s">
        <v>3105</v>
      </c>
      <c r="Z141" t="s">
        <v>3106</v>
      </c>
      <c r="AA141" t="s">
        <v>3107</v>
      </c>
      <c r="AB141" t="s">
        <v>3108</v>
      </c>
      <c r="AC141" t="s">
        <v>3109</v>
      </c>
      <c r="AD141" t="s">
        <v>3109</v>
      </c>
      <c r="AE141" t="s">
        <v>3110</v>
      </c>
      <c r="AF141" t="s">
        <v>74</v>
      </c>
      <c r="AG141">
        <v>89</v>
      </c>
      <c r="AH141">
        <v>8</v>
      </c>
      <c r="AI141">
        <v>8</v>
      </c>
      <c r="AJ141">
        <v>4</v>
      </c>
      <c r="AK141">
        <v>28</v>
      </c>
      <c r="AL141" t="s">
        <v>1964</v>
      </c>
      <c r="AM141" t="s">
        <v>1965</v>
      </c>
      <c r="AN141" t="s">
        <v>1966</v>
      </c>
      <c r="AO141" t="s">
        <v>1967</v>
      </c>
      <c r="AP141" t="s">
        <v>1968</v>
      </c>
      <c r="AQ141" t="s">
        <v>74</v>
      </c>
      <c r="AR141" t="s">
        <v>1969</v>
      </c>
      <c r="AS141" t="s">
        <v>1970</v>
      </c>
      <c r="AT141" t="s">
        <v>3111</v>
      </c>
      <c r="AU141">
        <v>2020</v>
      </c>
      <c r="AV141">
        <v>79</v>
      </c>
      <c r="AW141">
        <v>4</v>
      </c>
      <c r="AX141" t="s">
        <v>74</v>
      </c>
      <c r="AY141" t="s">
        <v>74</v>
      </c>
      <c r="AZ141" t="s">
        <v>74</v>
      </c>
      <c r="BA141" t="s">
        <v>74</v>
      </c>
      <c r="BB141">
        <v>823</v>
      </c>
      <c r="BC141">
        <v>839</v>
      </c>
      <c r="BD141" t="s">
        <v>74</v>
      </c>
      <c r="BE141" t="s">
        <v>3112</v>
      </c>
      <c r="BF141" t="str">
        <f>HYPERLINK("http://dx.doi.org/10.1007/s00248-019-01451-2","http://dx.doi.org/10.1007/s00248-019-01451-2")</f>
        <v>http://dx.doi.org/10.1007/s00248-019-01451-2</v>
      </c>
      <c r="BG141" t="s">
        <v>74</v>
      </c>
      <c r="BH141" t="s">
        <v>1272</v>
      </c>
      <c r="BI141">
        <v>17</v>
      </c>
      <c r="BJ141" t="s">
        <v>1972</v>
      </c>
      <c r="BK141" t="s">
        <v>294</v>
      </c>
      <c r="BL141" t="s">
        <v>1973</v>
      </c>
      <c r="BM141" t="s">
        <v>3113</v>
      </c>
      <c r="BN141">
        <v>31728602</v>
      </c>
      <c r="BO141" t="s">
        <v>74</v>
      </c>
      <c r="BP141" t="s">
        <v>74</v>
      </c>
      <c r="BQ141" t="s">
        <v>74</v>
      </c>
      <c r="BR141" t="s">
        <v>108</v>
      </c>
      <c r="BS141" t="s">
        <v>3114</v>
      </c>
      <c r="BT141" t="str">
        <f>HYPERLINK("https%3A%2F%2Fwww.webofscience.com%2Fwos%2Fwoscc%2Ffull-record%2FWOS:000500636400001","View Full Record in Web of Science")</f>
        <v>View Full Record in Web of Science</v>
      </c>
    </row>
    <row r="142" spans="1:72" x14ac:dyDescent="0.15">
      <c r="A142" t="s">
        <v>133</v>
      </c>
      <c r="B142" t="s">
        <v>3115</v>
      </c>
      <c r="C142" t="s">
        <v>74</v>
      </c>
      <c r="D142" t="s">
        <v>74</v>
      </c>
      <c r="E142" t="s">
        <v>74</v>
      </c>
      <c r="F142" t="s">
        <v>3116</v>
      </c>
      <c r="G142" t="s">
        <v>74</v>
      </c>
      <c r="H142" t="s">
        <v>74</v>
      </c>
      <c r="I142" t="s">
        <v>3117</v>
      </c>
      <c r="J142" t="s">
        <v>1462</v>
      </c>
      <c r="K142" t="s">
        <v>74</v>
      </c>
      <c r="L142" t="s">
        <v>74</v>
      </c>
      <c r="M142" t="s">
        <v>80</v>
      </c>
      <c r="N142" t="s">
        <v>138</v>
      </c>
      <c r="O142" t="s">
        <v>74</v>
      </c>
      <c r="P142" t="s">
        <v>74</v>
      </c>
      <c r="Q142" t="s">
        <v>74</v>
      </c>
      <c r="R142" t="s">
        <v>74</v>
      </c>
      <c r="S142" t="s">
        <v>74</v>
      </c>
      <c r="T142" t="s">
        <v>3118</v>
      </c>
      <c r="U142" t="s">
        <v>3119</v>
      </c>
      <c r="V142" t="s">
        <v>3120</v>
      </c>
      <c r="W142" t="s">
        <v>3121</v>
      </c>
      <c r="X142" t="s">
        <v>3122</v>
      </c>
      <c r="Y142" t="s">
        <v>3123</v>
      </c>
      <c r="Z142" t="s">
        <v>3124</v>
      </c>
      <c r="AA142" t="s">
        <v>74</v>
      </c>
      <c r="AB142" t="s">
        <v>3125</v>
      </c>
      <c r="AC142" t="s">
        <v>3126</v>
      </c>
      <c r="AD142" t="s">
        <v>3127</v>
      </c>
      <c r="AE142" t="s">
        <v>3128</v>
      </c>
      <c r="AF142" t="s">
        <v>74</v>
      </c>
      <c r="AG142">
        <v>42</v>
      </c>
      <c r="AH142">
        <v>19</v>
      </c>
      <c r="AI142">
        <v>21</v>
      </c>
      <c r="AJ142">
        <v>7</v>
      </c>
      <c r="AK142">
        <v>28</v>
      </c>
      <c r="AL142" t="s">
        <v>1264</v>
      </c>
      <c r="AM142" t="s">
        <v>1265</v>
      </c>
      <c r="AN142" t="s">
        <v>1266</v>
      </c>
      <c r="AO142" t="s">
        <v>1475</v>
      </c>
      <c r="AP142" t="s">
        <v>1476</v>
      </c>
      <c r="AQ142" t="s">
        <v>74</v>
      </c>
      <c r="AR142" t="s">
        <v>1477</v>
      </c>
      <c r="AS142" t="s">
        <v>1478</v>
      </c>
      <c r="AT142" t="s">
        <v>2365</v>
      </c>
      <c r="AU142">
        <v>2019</v>
      </c>
      <c r="AV142">
        <v>46</v>
      </c>
      <c r="AW142">
        <v>23</v>
      </c>
      <c r="AX142" t="s">
        <v>74</v>
      </c>
      <c r="AY142" t="s">
        <v>74</v>
      </c>
      <c r="AZ142" t="s">
        <v>74</v>
      </c>
      <c r="BA142" t="s">
        <v>74</v>
      </c>
      <c r="BB142">
        <v>13862</v>
      </c>
      <c r="BC142">
        <v>13871</v>
      </c>
      <c r="BD142" t="s">
        <v>74</v>
      </c>
      <c r="BE142" t="s">
        <v>3129</v>
      </c>
      <c r="BF142" t="str">
        <f>HYPERLINK("http://dx.doi.org/10.1029/2019GL084466","http://dx.doi.org/10.1029/2019GL084466")</f>
        <v>http://dx.doi.org/10.1029/2019GL084466</v>
      </c>
      <c r="BG142" t="s">
        <v>74</v>
      </c>
      <c r="BH142" t="s">
        <v>1272</v>
      </c>
      <c r="BI142">
        <v>10</v>
      </c>
      <c r="BJ142" t="s">
        <v>849</v>
      </c>
      <c r="BK142" t="s">
        <v>294</v>
      </c>
      <c r="BL142" t="s">
        <v>850</v>
      </c>
      <c r="BM142" t="s">
        <v>2823</v>
      </c>
      <c r="BN142" t="s">
        <v>74</v>
      </c>
      <c r="BO142" t="s">
        <v>2221</v>
      </c>
      <c r="BP142" t="s">
        <v>74</v>
      </c>
      <c r="BQ142" t="s">
        <v>74</v>
      </c>
      <c r="BR142" t="s">
        <v>108</v>
      </c>
      <c r="BS142" t="s">
        <v>3130</v>
      </c>
      <c r="BT142" t="str">
        <f>HYPERLINK("https%3A%2F%2Fwww.webofscience.com%2Fwos%2Fwoscc%2Ffull-record%2FWOS:000500687400001","View Full Record in Web of Science")</f>
        <v>View Full Record in Web of Science</v>
      </c>
    </row>
    <row r="143" spans="1:72" x14ac:dyDescent="0.15">
      <c r="A143" t="s">
        <v>133</v>
      </c>
      <c r="B143" t="s">
        <v>3131</v>
      </c>
      <c r="C143" t="s">
        <v>74</v>
      </c>
      <c r="D143" t="s">
        <v>74</v>
      </c>
      <c r="E143" t="s">
        <v>74</v>
      </c>
      <c r="F143" t="s">
        <v>3132</v>
      </c>
      <c r="G143" t="s">
        <v>74</v>
      </c>
      <c r="H143" t="s">
        <v>74</v>
      </c>
      <c r="I143" t="s">
        <v>3133</v>
      </c>
      <c r="J143" t="s">
        <v>3134</v>
      </c>
      <c r="K143" t="s">
        <v>74</v>
      </c>
      <c r="L143" t="s">
        <v>74</v>
      </c>
      <c r="M143" t="s">
        <v>80</v>
      </c>
      <c r="N143" t="s">
        <v>138</v>
      </c>
      <c r="O143" t="s">
        <v>74</v>
      </c>
      <c r="P143" t="s">
        <v>74</v>
      </c>
      <c r="Q143" t="s">
        <v>74</v>
      </c>
      <c r="R143" t="s">
        <v>74</v>
      </c>
      <c r="S143" t="s">
        <v>74</v>
      </c>
      <c r="T143" t="s">
        <v>3135</v>
      </c>
      <c r="U143" t="s">
        <v>3136</v>
      </c>
      <c r="V143" t="s">
        <v>3137</v>
      </c>
      <c r="W143" t="s">
        <v>3138</v>
      </c>
      <c r="X143" t="s">
        <v>3139</v>
      </c>
      <c r="Y143" t="s">
        <v>3140</v>
      </c>
      <c r="Z143" t="s">
        <v>3141</v>
      </c>
      <c r="AA143" t="s">
        <v>3142</v>
      </c>
      <c r="AB143" t="s">
        <v>3143</v>
      </c>
      <c r="AC143" t="s">
        <v>3144</v>
      </c>
      <c r="AD143" t="s">
        <v>3145</v>
      </c>
      <c r="AE143" t="s">
        <v>3146</v>
      </c>
      <c r="AF143" t="s">
        <v>74</v>
      </c>
      <c r="AG143">
        <v>80</v>
      </c>
      <c r="AH143">
        <v>15</v>
      </c>
      <c r="AI143">
        <v>15</v>
      </c>
      <c r="AJ143">
        <v>1</v>
      </c>
      <c r="AK143">
        <v>36</v>
      </c>
      <c r="AL143" t="s">
        <v>429</v>
      </c>
      <c r="AM143" t="s">
        <v>430</v>
      </c>
      <c r="AN143" t="s">
        <v>431</v>
      </c>
      <c r="AO143" t="s">
        <v>3147</v>
      </c>
      <c r="AP143" t="s">
        <v>3148</v>
      </c>
      <c r="AQ143" t="s">
        <v>74</v>
      </c>
      <c r="AR143" t="s">
        <v>3149</v>
      </c>
      <c r="AS143" t="s">
        <v>3150</v>
      </c>
      <c r="AT143" t="s">
        <v>1405</v>
      </c>
      <c r="AU143">
        <v>2020</v>
      </c>
      <c r="AV143">
        <v>40</v>
      </c>
      <c r="AW143">
        <v>4</v>
      </c>
      <c r="AX143" t="s">
        <v>74</v>
      </c>
      <c r="AY143" t="s">
        <v>74</v>
      </c>
      <c r="AZ143" t="s">
        <v>74</v>
      </c>
      <c r="BA143" t="s">
        <v>74</v>
      </c>
      <c r="BB143">
        <v>818</v>
      </c>
      <c r="BC143">
        <v>841</v>
      </c>
      <c r="BD143" t="s">
        <v>74</v>
      </c>
      <c r="BE143" t="s">
        <v>3151</v>
      </c>
      <c r="BF143" t="str">
        <f>HYPERLINK("http://dx.doi.org/10.1111/risa.13429","http://dx.doi.org/10.1111/risa.13429")</f>
        <v>http://dx.doi.org/10.1111/risa.13429</v>
      </c>
      <c r="BG143" t="s">
        <v>74</v>
      </c>
      <c r="BH143" t="s">
        <v>1272</v>
      </c>
      <c r="BI143">
        <v>24</v>
      </c>
      <c r="BJ143" t="s">
        <v>3152</v>
      </c>
      <c r="BK143" t="s">
        <v>360</v>
      </c>
      <c r="BL143" t="s">
        <v>3153</v>
      </c>
      <c r="BM143" t="s">
        <v>3154</v>
      </c>
      <c r="BN143">
        <v>31799748</v>
      </c>
      <c r="BO143" t="s">
        <v>1573</v>
      </c>
      <c r="BP143" t="s">
        <v>74</v>
      </c>
      <c r="BQ143" t="s">
        <v>74</v>
      </c>
      <c r="BR143" t="s">
        <v>108</v>
      </c>
      <c r="BS143" t="s">
        <v>3155</v>
      </c>
      <c r="BT143" t="str">
        <f>HYPERLINK("https%3A%2F%2Fwww.webofscience.com%2Fwos%2Fwoscc%2Ffull-record%2FWOS:000500401300001","View Full Record in Web of Science")</f>
        <v>View Full Record in Web of Science</v>
      </c>
    </row>
    <row r="144" spans="1:72" x14ac:dyDescent="0.15">
      <c r="A144" t="s">
        <v>133</v>
      </c>
      <c r="B144" t="s">
        <v>3156</v>
      </c>
      <c r="C144" t="s">
        <v>74</v>
      </c>
      <c r="D144" t="s">
        <v>74</v>
      </c>
      <c r="E144" t="s">
        <v>74</v>
      </c>
      <c r="F144" t="s">
        <v>3157</v>
      </c>
      <c r="G144" t="s">
        <v>74</v>
      </c>
      <c r="H144" t="s">
        <v>74</v>
      </c>
      <c r="I144" t="s">
        <v>3158</v>
      </c>
      <c r="J144" t="s">
        <v>1928</v>
      </c>
      <c r="K144" t="s">
        <v>74</v>
      </c>
      <c r="L144" t="s">
        <v>74</v>
      </c>
      <c r="M144" t="s">
        <v>80</v>
      </c>
      <c r="N144" t="s">
        <v>138</v>
      </c>
      <c r="O144" t="s">
        <v>74</v>
      </c>
      <c r="P144" t="s">
        <v>74</v>
      </c>
      <c r="Q144" t="s">
        <v>74</v>
      </c>
      <c r="R144" t="s">
        <v>74</v>
      </c>
      <c r="S144" t="s">
        <v>74</v>
      </c>
      <c r="T144" t="s">
        <v>3159</v>
      </c>
      <c r="U144" t="s">
        <v>3160</v>
      </c>
      <c r="V144" t="s">
        <v>3161</v>
      </c>
      <c r="W144" t="s">
        <v>3162</v>
      </c>
      <c r="X144" t="s">
        <v>3163</v>
      </c>
      <c r="Y144" t="s">
        <v>3164</v>
      </c>
      <c r="Z144" t="s">
        <v>3165</v>
      </c>
      <c r="AA144" t="s">
        <v>3166</v>
      </c>
      <c r="AB144" t="s">
        <v>3167</v>
      </c>
      <c r="AC144" t="s">
        <v>3168</v>
      </c>
      <c r="AD144" t="s">
        <v>3169</v>
      </c>
      <c r="AE144" t="s">
        <v>3170</v>
      </c>
      <c r="AF144" t="s">
        <v>74</v>
      </c>
      <c r="AG144">
        <v>99</v>
      </c>
      <c r="AH144">
        <v>16</v>
      </c>
      <c r="AI144">
        <v>17</v>
      </c>
      <c r="AJ144">
        <v>0</v>
      </c>
      <c r="AK144">
        <v>21</v>
      </c>
      <c r="AL144" t="s">
        <v>1264</v>
      </c>
      <c r="AM144" t="s">
        <v>1265</v>
      </c>
      <c r="AN144" t="s">
        <v>1266</v>
      </c>
      <c r="AO144" t="s">
        <v>1940</v>
      </c>
      <c r="AP144" t="s">
        <v>1941</v>
      </c>
      <c r="AQ144" t="s">
        <v>74</v>
      </c>
      <c r="AR144" t="s">
        <v>1942</v>
      </c>
      <c r="AS144" t="s">
        <v>1943</v>
      </c>
      <c r="AT144" t="s">
        <v>1270</v>
      </c>
      <c r="AU144">
        <v>2019</v>
      </c>
      <c r="AV144">
        <v>124</v>
      </c>
      <c r="AW144">
        <v>12</v>
      </c>
      <c r="AX144" t="s">
        <v>74</v>
      </c>
      <c r="AY144" t="s">
        <v>74</v>
      </c>
      <c r="AZ144" t="s">
        <v>74</v>
      </c>
      <c r="BA144" t="s">
        <v>74</v>
      </c>
      <c r="BB144">
        <v>8538</v>
      </c>
      <c r="BC144">
        <v>8557</v>
      </c>
      <c r="BD144" t="s">
        <v>74</v>
      </c>
      <c r="BE144" t="s">
        <v>3171</v>
      </c>
      <c r="BF144" t="str">
        <f>HYPERLINK("http://dx.doi.org/10.1029/2019JC015221","http://dx.doi.org/10.1029/2019JC015221")</f>
        <v>http://dx.doi.org/10.1029/2019JC015221</v>
      </c>
      <c r="BG144" t="s">
        <v>74</v>
      </c>
      <c r="BH144" t="s">
        <v>1272</v>
      </c>
      <c r="BI144">
        <v>20</v>
      </c>
      <c r="BJ144" t="s">
        <v>1945</v>
      </c>
      <c r="BK144" t="s">
        <v>294</v>
      </c>
      <c r="BL144" t="s">
        <v>1945</v>
      </c>
      <c r="BM144" t="s">
        <v>1946</v>
      </c>
      <c r="BN144" t="s">
        <v>74</v>
      </c>
      <c r="BO144" t="s">
        <v>1482</v>
      </c>
      <c r="BP144" t="s">
        <v>74</v>
      </c>
      <c r="BQ144" t="s">
        <v>74</v>
      </c>
      <c r="BR144" t="s">
        <v>108</v>
      </c>
      <c r="BS144" t="s">
        <v>3172</v>
      </c>
      <c r="BT144" t="str">
        <f>HYPERLINK("https%3A%2F%2Fwww.webofscience.com%2Fwos%2Fwoscc%2Ffull-record%2FWOS:000500403000001","View Full Record in Web of Science")</f>
        <v>View Full Record in Web of Science</v>
      </c>
    </row>
    <row r="145" spans="1:72" x14ac:dyDescent="0.15">
      <c r="A145" t="s">
        <v>133</v>
      </c>
      <c r="B145" t="s">
        <v>3173</v>
      </c>
      <c r="C145" t="s">
        <v>74</v>
      </c>
      <c r="D145" t="s">
        <v>74</v>
      </c>
      <c r="E145" t="s">
        <v>74</v>
      </c>
      <c r="F145" t="s">
        <v>3174</v>
      </c>
      <c r="G145" t="s">
        <v>74</v>
      </c>
      <c r="H145" t="s">
        <v>74</v>
      </c>
      <c r="I145" t="s">
        <v>3175</v>
      </c>
      <c r="J145" t="s">
        <v>3176</v>
      </c>
      <c r="K145" t="s">
        <v>74</v>
      </c>
      <c r="L145" t="s">
        <v>74</v>
      </c>
      <c r="M145" t="s">
        <v>80</v>
      </c>
      <c r="N145" t="s">
        <v>138</v>
      </c>
      <c r="O145" t="s">
        <v>74</v>
      </c>
      <c r="P145" t="s">
        <v>74</v>
      </c>
      <c r="Q145" t="s">
        <v>74</v>
      </c>
      <c r="R145" t="s">
        <v>74</v>
      </c>
      <c r="S145" t="s">
        <v>74</v>
      </c>
      <c r="T145" t="s">
        <v>3177</v>
      </c>
      <c r="U145" t="s">
        <v>3178</v>
      </c>
      <c r="V145" t="s">
        <v>3179</v>
      </c>
      <c r="W145" t="s">
        <v>3180</v>
      </c>
      <c r="X145" t="s">
        <v>3181</v>
      </c>
      <c r="Y145" t="s">
        <v>3182</v>
      </c>
      <c r="Z145" t="s">
        <v>3183</v>
      </c>
      <c r="AA145" t="s">
        <v>3184</v>
      </c>
      <c r="AB145" t="s">
        <v>3185</v>
      </c>
      <c r="AC145" t="s">
        <v>3186</v>
      </c>
      <c r="AD145" t="s">
        <v>3187</v>
      </c>
      <c r="AE145" t="s">
        <v>3188</v>
      </c>
      <c r="AF145" t="s">
        <v>74</v>
      </c>
      <c r="AG145">
        <v>51</v>
      </c>
      <c r="AH145">
        <v>2</v>
      </c>
      <c r="AI145">
        <v>2</v>
      </c>
      <c r="AJ145">
        <v>7</v>
      </c>
      <c r="AK145">
        <v>41</v>
      </c>
      <c r="AL145" t="s">
        <v>1264</v>
      </c>
      <c r="AM145" t="s">
        <v>1265</v>
      </c>
      <c r="AN145" t="s">
        <v>1266</v>
      </c>
      <c r="AO145" t="s">
        <v>3189</v>
      </c>
      <c r="AP145" t="s">
        <v>3190</v>
      </c>
      <c r="AQ145" t="s">
        <v>74</v>
      </c>
      <c r="AR145" t="s">
        <v>3191</v>
      </c>
      <c r="AS145" t="s">
        <v>3192</v>
      </c>
      <c r="AT145" t="s">
        <v>1270</v>
      </c>
      <c r="AU145">
        <v>2019</v>
      </c>
      <c r="AV145">
        <v>124</v>
      </c>
      <c r="AW145">
        <v>12</v>
      </c>
      <c r="AX145" t="s">
        <v>74</v>
      </c>
      <c r="AY145" t="s">
        <v>74</v>
      </c>
      <c r="AZ145" t="s">
        <v>74</v>
      </c>
      <c r="BA145" t="s">
        <v>74</v>
      </c>
      <c r="BB145">
        <v>12354</v>
      </c>
      <c r="BC145">
        <v>12365</v>
      </c>
      <c r="BD145" t="s">
        <v>74</v>
      </c>
      <c r="BE145" t="s">
        <v>3193</v>
      </c>
      <c r="BF145" t="str">
        <f>HYPERLINK("http://dx.doi.org/10.1029/2019JB017936","http://dx.doi.org/10.1029/2019JB017936")</f>
        <v>http://dx.doi.org/10.1029/2019JB017936</v>
      </c>
      <c r="BG145" t="s">
        <v>74</v>
      </c>
      <c r="BH145" t="s">
        <v>1272</v>
      </c>
      <c r="BI145">
        <v>12</v>
      </c>
      <c r="BJ145" t="s">
        <v>1067</v>
      </c>
      <c r="BK145" t="s">
        <v>294</v>
      </c>
      <c r="BL145" t="s">
        <v>1067</v>
      </c>
      <c r="BM145" t="s">
        <v>3194</v>
      </c>
      <c r="BN145" t="s">
        <v>74</v>
      </c>
      <c r="BO145" t="s">
        <v>74</v>
      </c>
      <c r="BP145" t="s">
        <v>74</v>
      </c>
      <c r="BQ145" t="s">
        <v>74</v>
      </c>
      <c r="BR145" t="s">
        <v>108</v>
      </c>
      <c r="BS145" t="s">
        <v>3195</v>
      </c>
      <c r="BT145" t="str">
        <f>HYPERLINK("https%3A%2F%2Fwww.webofscience.com%2Fwos%2Fwoscc%2Ffull-record%2FWOS:000500437900001","View Full Record in Web of Science")</f>
        <v>View Full Record in Web of Science</v>
      </c>
    </row>
    <row r="146" spans="1:72" x14ac:dyDescent="0.15">
      <c r="A146" t="s">
        <v>133</v>
      </c>
      <c r="B146" t="s">
        <v>3196</v>
      </c>
      <c r="C146" t="s">
        <v>74</v>
      </c>
      <c r="D146" t="s">
        <v>74</v>
      </c>
      <c r="E146" t="s">
        <v>74</v>
      </c>
      <c r="F146" t="s">
        <v>3197</v>
      </c>
      <c r="G146" t="s">
        <v>74</v>
      </c>
      <c r="H146" t="s">
        <v>74</v>
      </c>
      <c r="I146" t="s">
        <v>3198</v>
      </c>
      <c r="J146" t="s">
        <v>3199</v>
      </c>
      <c r="K146" t="s">
        <v>74</v>
      </c>
      <c r="L146" t="s">
        <v>74</v>
      </c>
      <c r="M146" t="s">
        <v>80</v>
      </c>
      <c r="N146" t="s">
        <v>3200</v>
      </c>
      <c r="O146" t="s">
        <v>74</v>
      </c>
      <c r="P146" t="s">
        <v>74</v>
      </c>
      <c r="Q146" t="s">
        <v>74</v>
      </c>
      <c r="R146" t="s">
        <v>74</v>
      </c>
      <c r="S146" t="s">
        <v>74</v>
      </c>
      <c r="T146" t="s">
        <v>74</v>
      </c>
      <c r="U146" t="s">
        <v>3201</v>
      </c>
      <c r="V146" t="s">
        <v>3202</v>
      </c>
      <c r="W146" t="s">
        <v>3203</v>
      </c>
      <c r="X146" t="s">
        <v>3204</v>
      </c>
      <c r="Y146" t="s">
        <v>3205</v>
      </c>
      <c r="Z146" t="s">
        <v>3206</v>
      </c>
      <c r="AA146" t="s">
        <v>3207</v>
      </c>
      <c r="AB146" t="s">
        <v>3208</v>
      </c>
      <c r="AC146" t="s">
        <v>3209</v>
      </c>
      <c r="AD146" t="s">
        <v>3210</v>
      </c>
      <c r="AE146" t="s">
        <v>74</v>
      </c>
      <c r="AF146" t="s">
        <v>74</v>
      </c>
      <c r="AG146">
        <v>223</v>
      </c>
      <c r="AH146">
        <v>967</v>
      </c>
      <c r="AI146">
        <v>1054</v>
      </c>
      <c r="AJ146">
        <v>70</v>
      </c>
      <c r="AK146">
        <v>727</v>
      </c>
      <c r="AL146" t="s">
        <v>2099</v>
      </c>
      <c r="AM146" t="s">
        <v>2100</v>
      </c>
      <c r="AN146" t="s">
        <v>2101</v>
      </c>
      <c r="AO146" t="s">
        <v>3211</v>
      </c>
      <c r="AP146" t="s">
        <v>3212</v>
      </c>
      <c r="AQ146" t="s">
        <v>74</v>
      </c>
      <c r="AR146" t="s">
        <v>3213</v>
      </c>
      <c r="AS146" t="s">
        <v>3214</v>
      </c>
      <c r="AT146" t="s">
        <v>3215</v>
      </c>
      <c r="AU146">
        <v>2019</v>
      </c>
      <c r="AV146">
        <v>11</v>
      </c>
      <c r="AW146">
        <v>4</v>
      </c>
      <c r="AX146" t="s">
        <v>74</v>
      </c>
      <c r="AY146" t="s">
        <v>74</v>
      </c>
      <c r="AZ146" t="s">
        <v>74</v>
      </c>
      <c r="BA146" t="s">
        <v>74</v>
      </c>
      <c r="BB146">
        <v>1783</v>
      </c>
      <c r="BC146">
        <v>1838</v>
      </c>
      <c r="BD146" t="s">
        <v>74</v>
      </c>
      <c r="BE146" t="s">
        <v>3216</v>
      </c>
      <c r="BF146" t="str">
        <f>HYPERLINK("http://dx.doi.org/10.5194/essd-11-1783-2019","http://dx.doi.org/10.5194/essd-11-1783-2019")</f>
        <v>http://dx.doi.org/10.5194/essd-11-1783-2019</v>
      </c>
      <c r="BG146" t="s">
        <v>74</v>
      </c>
      <c r="BH146" t="s">
        <v>74</v>
      </c>
      <c r="BI146">
        <v>56</v>
      </c>
      <c r="BJ146" t="s">
        <v>3217</v>
      </c>
      <c r="BK146" t="s">
        <v>294</v>
      </c>
      <c r="BL146" t="s">
        <v>3218</v>
      </c>
      <c r="BM146" t="s">
        <v>3219</v>
      </c>
      <c r="BN146" t="s">
        <v>74</v>
      </c>
      <c r="BO146" t="s">
        <v>3220</v>
      </c>
      <c r="BP146" t="s">
        <v>560</v>
      </c>
      <c r="BQ146" t="s">
        <v>561</v>
      </c>
      <c r="BR146" t="s">
        <v>108</v>
      </c>
      <c r="BS146" t="s">
        <v>3221</v>
      </c>
      <c r="BT146" t="str">
        <f>HYPERLINK("https%3A%2F%2Fwww.webofscience.com%2Fwos%2Fwoscc%2Ffull-record%2FWOS:000500962900001","View Full Record in Web of Science")</f>
        <v>View Full Record in Web of Science</v>
      </c>
    </row>
    <row r="147" spans="1:72" x14ac:dyDescent="0.15">
      <c r="A147" t="s">
        <v>133</v>
      </c>
      <c r="B147" t="s">
        <v>3222</v>
      </c>
      <c r="C147" t="s">
        <v>74</v>
      </c>
      <c r="D147" t="s">
        <v>74</v>
      </c>
      <c r="E147" t="s">
        <v>74</v>
      </c>
      <c r="F147" t="s">
        <v>3223</v>
      </c>
      <c r="G147" t="s">
        <v>74</v>
      </c>
      <c r="H147" t="s">
        <v>74</v>
      </c>
      <c r="I147" t="s">
        <v>3224</v>
      </c>
      <c r="J147" t="s">
        <v>3225</v>
      </c>
      <c r="K147" t="s">
        <v>74</v>
      </c>
      <c r="L147" t="s">
        <v>74</v>
      </c>
      <c r="M147" t="s">
        <v>80</v>
      </c>
      <c r="N147" t="s">
        <v>138</v>
      </c>
      <c r="O147" t="s">
        <v>74</v>
      </c>
      <c r="P147" t="s">
        <v>74</v>
      </c>
      <c r="Q147" t="s">
        <v>74</v>
      </c>
      <c r="R147" t="s">
        <v>74</v>
      </c>
      <c r="S147" t="s">
        <v>74</v>
      </c>
      <c r="T147" t="s">
        <v>3226</v>
      </c>
      <c r="U147" t="s">
        <v>3227</v>
      </c>
      <c r="V147" t="s">
        <v>3228</v>
      </c>
      <c r="W147" t="s">
        <v>3229</v>
      </c>
      <c r="X147" t="s">
        <v>3230</v>
      </c>
      <c r="Y147" t="s">
        <v>3231</v>
      </c>
      <c r="Z147" t="s">
        <v>3232</v>
      </c>
      <c r="AA147" t="s">
        <v>3233</v>
      </c>
      <c r="AB147" t="s">
        <v>3234</v>
      </c>
      <c r="AC147" t="s">
        <v>3235</v>
      </c>
      <c r="AD147" t="s">
        <v>3236</v>
      </c>
      <c r="AE147" t="s">
        <v>3237</v>
      </c>
      <c r="AF147" t="s">
        <v>74</v>
      </c>
      <c r="AG147">
        <v>370</v>
      </c>
      <c r="AH147">
        <v>70</v>
      </c>
      <c r="AI147">
        <v>78</v>
      </c>
      <c r="AJ147">
        <v>1</v>
      </c>
      <c r="AK147">
        <v>37</v>
      </c>
      <c r="AL147" t="s">
        <v>1264</v>
      </c>
      <c r="AM147" t="s">
        <v>1265</v>
      </c>
      <c r="AN147" t="s">
        <v>1266</v>
      </c>
      <c r="AO147" t="s">
        <v>74</v>
      </c>
      <c r="AP147" t="s">
        <v>3238</v>
      </c>
      <c r="AQ147" t="s">
        <v>74</v>
      </c>
      <c r="AR147" t="s">
        <v>3225</v>
      </c>
      <c r="AS147" t="s">
        <v>3239</v>
      </c>
      <c r="AT147" t="s">
        <v>1270</v>
      </c>
      <c r="AU147">
        <v>2019</v>
      </c>
      <c r="AV147">
        <v>7</v>
      </c>
      <c r="AW147">
        <v>12</v>
      </c>
      <c r="AX147" t="s">
        <v>74</v>
      </c>
      <c r="AY147" t="s">
        <v>74</v>
      </c>
      <c r="AZ147" t="s">
        <v>74</v>
      </c>
      <c r="BA147" t="s">
        <v>74</v>
      </c>
      <c r="BB147">
        <v>1235</v>
      </c>
      <c r="BC147">
        <v>1269</v>
      </c>
      <c r="BD147" t="s">
        <v>74</v>
      </c>
      <c r="BE147" t="s">
        <v>3240</v>
      </c>
      <c r="BF147" t="str">
        <f>HYPERLINK("http://dx.doi.org/10.1029/2018EF001145","http://dx.doi.org/10.1029/2018EF001145")</f>
        <v>http://dx.doi.org/10.1029/2018EF001145</v>
      </c>
      <c r="BG147" t="s">
        <v>74</v>
      </c>
      <c r="BH147" t="s">
        <v>1272</v>
      </c>
      <c r="BI147">
        <v>35</v>
      </c>
      <c r="BJ147" t="s">
        <v>3241</v>
      </c>
      <c r="BK147" t="s">
        <v>360</v>
      </c>
      <c r="BL147" t="s">
        <v>3242</v>
      </c>
      <c r="BM147" t="s">
        <v>3243</v>
      </c>
      <c r="BN147">
        <v>32064296</v>
      </c>
      <c r="BO147" t="s">
        <v>693</v>
      </c>
      <c r="BP147" t="s">
        <v>74</v>
      </c>
      <c r="BQ147" t="s">
        <v>74</v>
      </c>
      <c r="BR147" t="s">
        <v>108</v>
      </c>
      <c r="BS147" t="s">
        <v>3244</v>
      </c>
      <c r="BT147" t="str">
        <f>HYPERLINK("https%3A%2F%2Fwww.webofscience.com%2Fwos%2Fwoscc%2Ffull-record%2FWOS:000500397200001","View Full Record in Web of Science")</f>
        <v>View Full Record in Web of Science</v>
      </c>
    </row>
    <row r="148" spans="1:72" x14ac:dyDescent="0.15">
      <c r="A148" t="s">
        <v>133</v>
      </c>
      <c r="B148" t="s">
        <v>3245</v>
      </c>
      <c r="C148" t="s">
        <v>74</v>
      </c>
      <c r="D148" t="s">
        <v>74</v>
      </c>
      <c r="E148" t="s">
        <v>74</v>
      </c>
      <c r="F148" t="s">
        <v>3246</v>
      </c>
      <c r="G148" t="s">
        <v>74</v>
      </c>
      <c r="H148" t="s">
        <v>74</v>
      </c>
      <c r="I148" t="s">
        <v>3247</v>
      </c>
      <c r="J148" t="s">
        <v>2723</v>
      </c>
      <c r="K148" t="s">
        <v>74</v>
      </c>
      <c r="L148" t="s">
        <v>74</v>
      </c>
      <c r="M148" t="s">
        <v>80</v>
      </c>
      <c r="N148" t="s">
        <v>138</v>
      </c>
      <c r="O148" t="s">
        <v>74</v>
      </c>
      <c r="P148" t="s">
        <v>74</v>
      </c>
      <c r="Q148" t="s">
        <v>74</v>
      </c>
      <c r="R148" t="s">
        <v>74</v>
      </c>
      <c r="S148" t="s">
        <v>74</v>
      </c>
      <c r="T148" t="s">
        <v>3248</v>
      </c>
      <c r="U148" t="s">
        <v>3249</v>
      </c>
      <c r="V148" t="s">
        <v>3250</v>
      </c>
      <c r="W148" t="s">
        <v>3251</v>
      </c>
      <c r="X148" t="s">
        <v>3252</v>
      </c>
      <c r="Y148" t="s">
        <v>3253</v>
      </c>
      <c r="Z148" t="s">
        <v>3254</v>
      </c>
      <c r="AA148" t="s">
        <v>3255</v>
      </c>
      <c r="AB148" t="s">
        <v>3256</v>
      </c>
      <c r="AC148" t="s">
        <v>3257</v>
      </c>
      <c r="AD148" t="s">
        <v>3258</v>
      </c>
      <c r="AE148" t="s">
        <v>3259</v>
      </c>
      <c r="AF148" t="s">
        <v>74</v>
      </c>
      <c r="AG148">
        <v>67</v>
      </c>
      <c r="AH148">
        <v>292</v>
      </c>
      <c r="AI148">
        <v>309</v>
      </c>
      <c r="AJ148">
        <v>33</v>
      </c>
      <c r="AK148">
        <v>172</v>
      </c>
      <c r="AL148" t="s">
        <v>2587</v>
      </c>
      <c r="AM148" t="s">
        <v>2588</v>
      </c>
      <c r="AN148" t="s">
        <v>2589</v>
      </c>
      <c r="AO148" t="s">
        <v>74</v>
      </c>
      <c r="AP148" t="s">
        <v>2734</v>
      </c>
      <c r="AQ148" t="s">
        <v>74</v>
      </c>
      <c r="AR148" t="s">
        <v>2735</v>
      </c>
      <c r="AS148" t="s">
        <v>2736</v>
      </c>
      <c r="AT148" t="s">
        <v>3215</v>
      </c>
      <c r="AU148">
        <v>2019</v>
      </c>
      <c r="AV148">
        <v>6</v>
      </c>
      <c r="AW148" t="s">
        <v>74</v>
      </c>
      <c r="AX148" t="s">
        <v>74</v>
      </c>
      <c r="AY148" t="s">
        <v>74</v>
      </c>
      <c r="AZ148" t="s">
        <v>74</v>
      </c>
      <c r="BA148" t="s">
        <v>74</v>
      </c>
      <c r="BB148" t="s">
        <v>74</v>
      </c>
      <c r="BC148" t="s">
        <v>74</v>
      </c>
      <c r="BD148">
        <v>734</v>
      </c>
      <c r="BE148" t="s">
        <v>3260</v>
      </c>
      <c r="BF148" t="str">
        <f>HYPERLINK("http://dx.doi.org/10.3389/fmars.2019.00734","http://dx.doi.org/10.3389/fmars.2019.00734")</f>
        <v>http://dx.doi.org/10.3389/fmars.2019.00734</v>
      </c>
      <c r="BG148" t="s">
        <v>74</v>
      </c>
      <c r="BH148" t="s">
        <v>74</v>
      </c>
      <c r="BI148">
        <v>12</v>
      </c>
      <c r="BJ148" t="s">
        <v>2738</v>
      </c>
      <c r="BK148" t="s">
        <v>294</v>
      </c>
      <c r="BL148" t="s">
        <v>2739</v>
      </c>
      <c r="BM148" t="s">
        <v>3261</v>
      </c>
      <c r="BN148" t="s">
        <v>74</v>
      </c>
      <c r="BO148" t="s">
        <v>1688</v>
      </c>
      <c r="BP148" t="s">
        <v>560</v>
      </c>
      <c r="BQ148" t="s">
        <v>561</v>
      </c>
      <c r="BR148" t="s">
        <v>108</v>
      </c>
      <c r="BS148" t="s">
        <v>3262</v>
      </c>
      <c r="BT148" t="str">
        <f>HYPERLINK("https%3A%2F%2Fwww.webofscience.com%2Fwos%2Fwoscc%2Ffull-record%2FWOS:000502961300001","View Full Record in Web of Science")</f>
        <v>View Full Record in Web of Science</v>
      </c>
    </row>
    <row r="149" spans="1:72" x14ac:dyDescent="0.15">
      <c r="A149" t="s">
        <v>133</v>
      </c>
      <c r="B149" t="s">
        <v>3263</v>
      </c>
      <c r="C149" t="s">
        <v>74</v>
      </c>
      <c r="D149" t="s">
        <v>74</v>
      </c>
      <c r="E149" t="s">
        <v>74</v>
      </c>
      <c r="F149" t="s">
        <v>3264</v>
      </c>
      <c r="G149" t="s">
        <v>74</v>
      </c>
      <c r="H149" t="s">
        <v>74</v>
      </c>
      <c r="I149" t="s">
        <v>3265</v>
      </c>
      <c r="J149" t="s">
        <v>3266</v>
      </c>
      <c r="K149" t="s">
        <v>74</v>
      </c>
      <c r="L149" t="s">
        <v>74</v>
      </c>
      <c r="M149" t="s">
        <v>80</v>
      </c>
      <c r="N149" t="s">
        <v>138</v>
      </c>
      <c r="O149" t="s">
        <v>74</v>
      </c>
      <c r="P149" t="s">
        <v>74</v>
      </c>
      <c r="Q149" t="s">
        <v>74</v>
      </c>
      <c r="R149" t="s">
        <v>74</v>
      </c>
      <c r="S149" t="s">
        <v>74</v>
      </c>
      <c r="T149" t="s">
        <v>3267</v>
      </c>
      <c r="U149" t="s">
        <v>3268</v>
      </c>
      <c r="V149" t="s">
        <v>3269</v>
      </c>
      <c r="W149" t="s">
        <v>3270</v>
      </c>
      <c r="X149" t="s">
        <v>3271</v>
      </c>
      <c r="Y149" t="s">
        <v>3272</v>
      </c>
      <c r="Z149" t="s">
        <v>3273</v>
      </c>
      <c r="AA149" t="s">
        <v>3274</v>
      </c>
      <c r="AB149" t="s">
        <v>3275</v>
      </c>
      <c r="AC149" t="s">
        <v>3276</v>
      </c>
      <c r="AD149" t="s">
        <v>3277</v>
      </c>
      <c r="AE149" t="s">
        <v>3278</v>
      </c>
      <c r="AF149" t="s">
        <v>74</v>
      </c>
      <c r="AG149">
        <v>87</v>
      </c>
      <c r="AH149">
        <v>14</v>
      </c>
      <c r="AI149">
        <v>14</v>
      </c>
      <c r="AJ149">
        <v>2</v>
      </c>
      <c r="AK149">
        <v>19</v>
      </c>
      <c r="AL149" t="s">
        <v>3279</v>
      </c>
      <c r="AM149" t="s">
        <v>1730</v>
      </c>
      <c r="AN149" t="s">
        <v>3280</v>
      </c>
      <c r="AO149" t="s">
        <v>3281</v>
      </c>
      <c r="AP149" t="s">
        <v>74</v>
      </c>
      <c r="AQ149" t="s">
        <v>74</v>
      </c>
      <c r="AR149" t="s">
        <v>3266</v>
      </c>
      <c r="AS149" t="s">
        <v>3282</v>
      </c>
      <c r="AT149" t="s">
        <v>3283</v>
      </c>
      <c r="AU149">
        <v>2019</v>
      </c>
      <c r="AV149">
        <v>7</v>
      </c>
      <c r="AW149" t="s">
        <v>74</v>
      </c>
      <c r="AX149" t="s">
        <v>74</v>
      </c>
      <c r="AY149" t="s">
        <v>74</v>
      </c>
      <c r="AZ149" t="s">
        <v>74</v>
      </c>
      <c r="BA149" t="s">
        <v>74</v>
      </c>
      <c r="BB149" t="s">
        <v>74</v>
      </c>
      <c r="BC149" t="s">
        <v>74</v>
      </c>
      <c r="BD149" t="s">
        <v>3284</v>
      </c>
      <c r="BE149" t="s">
        <v>3285</v>
      </c>
      <c r="BF149" t="str">
        <f>HYPERLINK("http://dx.doi.org/10.7717/peerj.8088","http://dx.doi.org/10.7717/peerj.8088")</f>
        <v>http://dx.doi.org/10.7717/peerj.8088</v>
      </c>
      <c r="BG149" t="s">
        <v>74</v>
      </c>
      <c r="BH149" t="s">
        <v>74</v>
      </c>
      <c r="BI149">
        <v>34</v>
      </c>
      <c r="BJ149" t="s">
        <v>1245</v>
      </c>
      <c r="BK149" t="s">
        <v>294</v>
      </c>
      <c r="BL149" t="s">
        <v>1246</v>
      </c>
      <c r="BM149" t="s">
        <v>3286</v>
      </c>
      <c r="BN149">
        <v>31824760</v>
      </c>
      <c r="BO149" t="s">
        <v>3287</v>
      </c>
      <c r="BP149" t="s">
        <v>74</v>
      </c>
      <c r="BQ149" t="s">
        <v>74</v>
      </c>
      <c r="BR149" t="s">
        <v>108</v>
      </c>
      <c r="BS149" t="s">
        <v>3288</v>
      </c>
      <c r="BT149" t="str">
        <f>HYPERLINK("https%3A%2F%2Fwww.webofscience.com%2Fwos%2Fwoscc%2Ffull-record%2FWOS:000502038200004","View Full Record in Web of Science")</f>
        <v>View Full Record in Web of Science</v>
      </c>
    </row>
    <row r="150" spans="1:72" x14ac:dyDescent="0.15">
      <c r="A150" t="s">
        <v>133</v>
      </c>
      <c r="B150" t="s">
        <v>3289</v>
      </c>
      <c r="C150" t="s">
        <v>74</v>
      </c>
      <c r="D150" t="s">
        <v>74</v>
      </c>
      <c r="E150" t="s">
        <v>74</v>
      </c>
      <c r="F150" t="s">
        <v>3290</v>
      </c>
      <c r="G150" t="s">
        <v>74</v>
      </c>
      <c r="H150" t="s">
        <v>74</v>
      </c>
      <c r="I150" t="s">
        <v>3291</v>
      </c>
      <c r="J150" t="s">
        <v>2623</v>
      </c>
      <c r="K150" t="s">
        <v>74</v>
      </c>
      <c r="L150" t="s">
        <v>74</v>
      </c>
      <c r="M150" t="s">
        <v>80</v>
      </c>
      <c r="N150" t="s">
        <v>138</v>
      </c>
      <c r="O150" t="s">
        <v>74</v>
      </c>
      <c r="P150" t="s">
        <v>74</v>
      </c>
      <c r="Q150" t="s">
        <v>74</v>
      </c>
      <c r="R150" t="s">
        <v>74</v>
      </c>
      <c r="S150" t="s">
        <v>74</v>
      </c>
      <c r="T150" t="s">
        <v>74</v>
      </c>
      <c r="U150" t="s">
        <v>3292</v>
      </c>
      <c r="V150" t="s">
        <v>3293</v>
      </c>
      <c r="W150" t="s">
        <v>3294</v>
      </c>
      <c r="X150" t="s">
        <v>3295</v>
      </c>
      <c r="Y150" t="s">
        <v>3296</v>
      </c>
      <c r="Z150" t="s">
        <v>3297</v>
      </c>
      <c r="AA150" t="s">
        <v>3298</v>
      </c>
      <c r="AB150" t="s">
        <v>3299</v>
      </c>
      <c r="AC150" t="s">
        <v>3300</v>
      </c>
      <c r="AD150" t="s">
        <v>3301</v>
      </c>
      <c r="AE150" t="s">
        <v>3302</v>
      </c>
      <c r="AF150" t="s">
        <v>74</v>
      </c>
      <c r="AG150">
        <v>73</v>
      </c>
      <c r="AH150">
        <v>6</v>
      </c>
      <c r="AI150">
        <v>8</v>
      </c>
      <c r="AJ150">
        <v>1</v>
      </c>
      <c r="AK150">
        <v>1</v>
      </c>
      <c r="AL150" t="s">
        <v>2635</v>
      </c>
      <c r="AM150" t="s">
        <v>841</v>
      </c>
      <c r="AN150" t="s">
        <v>842</v>
      </c>
      <c r="AO150" t="s">
        <v>2636</v>
      </c>
      <c r="AP150" t="s">
        <v>74</v>
      </c>
      <c r="AQ150" t="s">
        <v>74</v>
      </c>
      <c r="AR150" t="s">
        <v>2637</v>
      </c>
      <c r="AS150" t="s">
        <v>2638</v>
      </c>
      <c r="AT150" t="s">
        <v>3283</v>
      </c>
      <c r="AU150">
        <v>2019</v>
      </c>
      <c r="AV150">
        <v>9</v>
      </c>
      <c r="AW150" t="s">
        <v>74</v>
      </c>
      <c r="AX150" t="s">
        <v>74</v>
      </c>
      <c r="AY150" t="s">
        <v>74</v>
      </c>
      <c r="AZ150" t="s">
        <v>74</v>
      </c>
      <c r="BA150" t="s">
        <v>74</v>
      </c>
      <c r="BB150" t="s">
        <v>74</v>
      </c>
      <c r="BC150" t="s">
        <v>74</v>
      </c>
      <c r="BD150">
        <v>18182</v>
      </c>
      <c r="BE150" t="s">
        <v>3303</v>
      </c>
      <c r="BF150" t="str">
        <f>HYPERLINK("http://dx.doi.org/10.1038/s41598-019-54637-6","http://dx.doi.org/10.1038/s41598-019-54637-6")</f>
        <v>http://dx.doi.org/10.1038/s41598-019-54637-6</v>
      </c>
      <c r="BG150" t="s">
        <v>74</v>
      </c>
      <c r="BH150" t="s">
        <v>74</v>
      </c>
      <c r="BI150">
        <v>10</v>
      </c>
      <c r="BJ150" t="s">
        <v>1245</v>
      </c>
      <c r="BK150" t="s">
        <v>294</v>
      </c>
      <c r="BL150" t="s">
        <v>1246</v>
      </c>
      <c r="BM150" t="s">
        <v>3304</v>
      </c>
      <c r="BN150">
        <v>31796816</v>
      </c>
      <c r="BO150" t="s">
        <v>693</v>
      </c>
      <c r="BP150" t="s">
        <v>74</v>
      </c>
      <c r="BQ150" t="s">
        <v>74</v>
      </c>
      <c r="BR150" t="s">
        <v>108</v>
      </c>
      <c r="BS150" t="s">
        <v>3305</v>
      </c>
      <c r="BT150" t="str">
        <f>HYPERLINK("https%3A%2F%2Fwww.webofscience.com%2Fwos%2Fwoscc%2Ffull-record%2FWOS:000501301700001","View Full Record in Web of Science")</f>
        <v>View Full Record in Web of Science</v>
      </c>
    </row>
    <row r="151" spans="1:72" x14ac:dyDescent="0.15">
      <c r="A151" t="s">
        <v>133</v>
      </c>
      <c r="B151" t="s">
        <v>3306</v>
      </c>
      <c r="C151" t="s">
        <v>74</v>
      </c>
      <c r="D151" t="s">
        <v>74</v>
      </c>
      <c r="E151" t="s">
        <v>74</v>
      </c>
      <c r="F151" t="s">
        <v>3307</v>
      </c>
      <c r="G151" t="s">
        <v>74</v>
      </c>
      <c r="H151" t="s">
        <v>74</v>
      </c>
      <c r="I151" t="s">
        <v>3308</v>
      </c>
      <c r="J151" t="s">
        <v>1199</v>
      </c>
      <c r="K151" t="s">
        <v>74</v>
      </c>
      <c r="L151" t="s">
        <v>74</v>
      </c>
      <c r="M151" t="s">
        <v>80</v>
      </c>
      <c r="N151" t="s">
        <v>138</v>
      </c>
      <c r="O151" t="s">
        <v>74</v>
      </c>
      <c r="P151" t="s">
        <v>74</v>
      </c>
      <c r="Q151" t="s">
        <v>74</v>
      </c>
      <c r="R151" t="s">
        <v>74</v>
      </c>
      <c r="S151" t="s">
        <v>74</v>
      </c>
      <c r="T151" t="s">
        <v>3309</v>
      </c>
      <c r="U151" t="s">
        <v>3310</v>
      </c>
      <c r="V151" t="s">
        <v>3311</v>
      </c>
      <c r="W151" t="s">
        <v>3312</v>
      </c>
      <c r="X151" t="s">
        <v>2071</v>
      </c>
      <c r="Y151" t="s">
        <v>3313</v>
      </c>
      <c r="Z151" t="s">
        <v>74</v>
      </c>
      <c r="AA151" t="s">
        <v>74</v>
      </c>
      <c r="AB151" t="s">
        <v>74</v>
      </c>
      <c r="AC151" t="s">
        <v>74</v>
      </c>
      <c r="AD151" t="s">
        <v>74</v>
      </c>
      <c r="AE151" t="s">
        <v>74</v>
      </c>
      <c r="AF151" t="s">
        <v>74</v>
      </c>
      <c r="AG151">
        <v>36</v>
      </c>
      <c r="AH151">
        <v>0</v>
      </c>
      <c r="AI151">
        <v>0</v>
      </c>
      <c r="AJ151">
        <v>1</v>
      </c>
      <c r="AK151">
        <v>1</v>
      </c>
      <c r="AL151" t="s">
        <v>1211</v>
      </c>
      <c r="AM151" t="s">
        <v>1212</v>
      </c>
      <c r="AN151" t="s">
        <v>1213</v>
      </c>
      <c r="AO151" t="s">
        <v>1214</v>
      </c>
      <c r="AP151" t="s">
        <v>1215</v>
      </c>
      <c r="AQ151" t="s">
        <v>74</v>
      </c>
      <c r="AR151" t="s">
        <v>1199</v>
      </c>
      <c r="AS151" t="s">
        <v>1216</v>
      </c>
      <c r="AT151" t="s">
        <v>3283</v>
      </c>
      <c r="AU151">
        <v>2019</v>
      </c>
      <c r="AV151">
        <v>4701</v>
      </c>
      <c r="AW151">
        <v>6</v>
      </c>
      <c r="AX151" t="s">
        <v>74</v>
      </c>
      <c r="AY151" t="s">
        <v>74</v>
      </c>
      <c r="AZ151" t="s">
        <v>74</v>
      </c>
      <c r="BA151" t="s">
        <v>74</v>
      </c>
      <c r="BB151">
        <v>563</v>
      </c>
      <c r="BC151">
        <v>573</v>
      </c>
      <c r="BD151" t="s">
        <v>74</v>
      </c>
      <c r="BE151" t="s">
        <v>3314</v>
      </c>
      <c r="BF151" t="str">
        <f>HYPERLINK("http://dx.doi.org/10.11646/zootaxa.4701.6.5","http://dx.doi.org/10.11646/zootaxa.4701.6.5")</f>
        <v>http://dx.doi.org/10.11646/zootaxa.4701.6.5</v>
      </c>
      <c r="BG151" t="s">
        <v>74</v>
      </c>
      <c r="BH151" t="s">
        <v>74</v>
      </c>
      <c r="BI151">
        <v>11</v>
      </c>
      <c r="BJ151" t="s">
        <v>1219</v>
      </c>
      <c r="BK151" t="s">
        <v>294</v>
      </c>
      <c r="BL151" t="s">
        <v>1219</v>
      </c>
      <c r="BM151" t="s">
        <v>3315</v>
      </c>
      <c r="BN151">
        <v>32229918</v>
      </c>
      <c r="BO151" t="s">
        <v>74</v>
      </c>
      <c r="BP151" t="s">
        <v>74</v>
      </c>
      <c r="BQ151" t="s">
        <v>74</v>
      </c>
      <c r="BR151" t="s">
        <v>108</v>
      </c>
      <c r="BS151" t="s">
        <v>3316</v>
      </c>
      <c r="BT151" t="str">
        <f>HYPERLINK("https%3A%2F%2Fwww.webofscience.com%2Fwos%2Fwoscc%2Ffull-record%2FWOS:000500716700005","View Full Record in Web of Science")</f>
        <v>View Full Record in Web of Science</v>
      </c>
    </row>
    <row r="152" spans="1:72" x14ac:dyDescent="0.15">
      <c r="A152" t="s">
        <v>133</v>
      </c>
      <c r="B152" t="s">
        <v>3317</v>
      </c>
      <c r="C152" t="s">
        <v>74</v>
      </c>
      <c r="D152" t="s">
        <v>74</v>
      </c>
      <c r="E152" t="s">
        <v>74</v>
      </c>
      <c r="F152" t="s">
        <v>3318</v>
      </c>
      <c r="G152" t="s">
        <v>74</v>
      </c>
      <c r="H152" t="s">
        <v>74</v>
      </c>
      <c r="I152" t="s">
        <v>3319</v>
      </c>
      <c r="J152" t="s">
        <v>3320</v>
      </c>
      <c r="K152" t="s">
        <v>74</v>
      </c>
      <c r="L152" t="s">
        <v>74</v>
      </c>
      <c r="M152" t="s">
        <v>80</v>
      </c>
      <c r="N152" t="s">
        <v>138</v>
      </c>
      <c r="O152" t="s">
        <v>74</v>
      </c>
      <c r="P152" t="s">
        <v>74</v>
      </c>
      <c r="Q152" t="s">
        <v>74</v>
      </c>
      <c r="R152" t="s">
        <v>74</v>
      </c>
      <c r="S152" t="s">
        <v>74</v>
      </c>
      <c r="T152" t="s">
        <v>3321</v>
      </c>
      <c r="U152" t="s">
        <v>3322</v>
      </c>
      <c r="V152" t="s">
        <v>3323</v>
      </c>
      <c r="W152" t="s">
        <v>3324</v>
      </c>
      <c r="X152" t="s">
        <v>3325</v>
      </c>
      <c r="Y152" t="s">
        <v>3326</v>
      </c>
      <c r="Z152" t="s">
        <v>3327</v>
      </c>
      <c r="AA152" t="s">
        <v>3328</v>
      </c>
      <c r="AB152" t="s">
        <v>3329</v>
      </c>
      <c r="AC152" t="s">
        <v>3330</v>
      </c>
      <c r="AD152" t="s">
        <v>3330</v>
      </c>
      <c r="AE152" t="s">
        <v>3330</v>
      </c>
      <c r="AF152" t="s">
        <v>74</v>
      </c>
      <c r="AG152">
        <v>68</v>
      </c>
      <c r="AH152">
        <v>37</v>
      </c>
      <c r="AI152">
        <v>37</v>
      </c>
      <c r="AJ152">
        <v>4</v>
      </c>
      <c r="AK152">
        <v>33</v>
      </c>
      <c r="AL152" t="s">
        <v>429</v>
      </c>
      <c r="AM152" t="s">
        <v>430</v>
      </c>
      <c r="AN152" t="s">
        <v>431</v>
      </c>
      <c r="AO152" t="s">
        <v>3331</v>
      </c>
      <c r="AP152" t="s">
        <v>3332</v>
      </c>
      <c r="AQ152" t="s">
        <v>74</v>
      </c>
      <c r="AR152" t="s">
        <v>3333</v>
      </c>
      <c r="AS152" t="s">
        <v>3334</v>
      </c>
      <c r="AT152" t="s">
        <v>1527</v>
      </c>
      <c r="AU152">
        <v>2020</v>
      </c>
      <c r="AV152">
        <v>51</v>
      </c>
      <c r="AW152">
        <v>2</v>
      </c>
      <c r="AX152" t="s">
        <v>74</v>
      </c>
      <c r="AY152" t="s">
        <v>74</v>
      </c>
      <c r="AZ152" t="s">
        <v>74</v>
      </c>
      <c r="BA152" t="s">
        <v>74</v>
      </c>
      <c r="BB152" t="s">
        <v>74</v>
      </c>
      <c r="BC152" t="s">
        <v>74</v>
      </c>
      <c r="BD152" t="s">
        <v>74</v>
      </c>
      <c r="BE152" t="s">
        <v>3335</v>
      </c>
      <c r="BF152" t="str">
        <f>HYPERLINK("http://dx.doi.org/10.1111/are.14416","http://dx.doi.org/10.1111/are.14416")</f>
        <v>http://dx.doi.org/10.1111/are.14416</v>
      </c>
      <c r="BG152" t="s">
        <v>74</v>
      </c>
      <c r="BH152" t="s">
        <v>1272</v>
      </c>
      <c r="BI152">
        <v>13</v>
      </c>
      <c r="BJ152" t="s">
        <v>413</v>
      </c>
      <c r="BK152" t="s">
        <v>294</v>
      </c>
      <c r="BL152" t="s">
        <v>413</v>
      </c>
      <c r="BM152" t="s">
        <v>3336</v>
      </c>
      <c r="BN152" t="s">
        <v>74</v>
      </c>
      <c r="BO152" t="s">
        <v>107</v>
      </c>
      <c r="BP152" t="s">
        <v>74</v>
      </c>
      <c r="BQ152" t="s">
        <v>74</v>
      </c>
      <c r="BR152" t="s">
        <v>108</v>
      </c>
      <c r="BS152" t="s">
        <v>3337</v>
      </c>
      <c r="BT152" t="str">
        <f>HYPERLINK("https%3A%2F%2Fwww.webofscience.com%2Fwos%2Fwoscc%2Ffull-record%2FWOS:000500002600001","View Full Record in Web of Science")</f>
        <v>View Full Record in Web of Science</v>
      </c>
    </row>
    <row r="153" spans="1:72" x14ac:dyDescent="0.15">
      <c r="A153" t="s">
        <v>133</v>
      </c>
      <c r="B153" t="s">
        <v>3338</v>
      </c>
      <c r="C153" t="s">
        <v>74</v>
      </c>
      <c r="D153" t="s">
        <v>74</v>
      </c>
      <c r="E153" t="s">
        <v>74</v>
      </c>
      <c r="F153" t="s">
        <v>3339</v>
      </c>
      <c r="G153" t="s">
        <v>74</v>
      </c>
      <c r="H153" t="s">
        <v>74</v>
      </c>
      <c r="I153" t="s">
        <v>3340</v>
      </c>
      <c r="J153" t="s">
        <v>3341</v>
      </c>
      <c r="K153" t="s">
        <v>74</v>
      </c>
      <c r="L153" t="s">
        <v>74</v>
      </c>
      <c r="M153" t="s">
        <v>80</v>
      </c>
      <c r="N153" t="s">
        <v>138</v>
      </c>
      <c r="O153" t="s">
        <v>74</v>
      </c>
      <c r="P153" t="s">
        <v>74</v>
      </c>
      <c r="Q153" t="s">
        <v>74</v>
      </c>
      <c r="R153" t="s">
        <v>74</v>
      </c>
      <c r="S153" t="s">
        <v>74</v>
      </c>
      <c r="T153" t="s">
        <v>74</v>
      </c>
      <c r="U153" t="s">
        <v>3342</v>
      </c>
      <c r="V153" t="s">
        <v>3343</v>
      </c>
      <c r="W153" t="s">
        <v>3344</v>
      </c>
      <c r="X153" t="s">
        <v>3345</v>
      </c>
      <c r="Y153" t="s">
        <v>3346</v>
      </c>
      <c r="Z153" t="s">
        <v>3347</v>
      </c>
      <c r="AA153" t="s">
        <v>3348</v>
      </c>
      <c r="AB153" t="s">
        <v>3349</v>
      </c>
      <c r="AC153" t="s">
        <v>3350</v>
      </c>
      <c r="AD153" t="s">
        <v>3351</v>
      </c>
      <c r="AE153" t="s">
        <v>3352</v>
      </c>
      <c r="AF153" t="s">
        <v>74</v>
      </c>
      <c r="AG153">
        <v>101</v>
      </c>
      <c r="AH153">
        <v>133</v>
      </c>
      <c r="AI153">
        <v>138</v>
      </c>
      <c r="AJ153">
        <v>2</v>
      </c>
      <c r="AK153">
        <v>16</v>
      </c>
      <c r="AL153" t="s">
        <v>2099</v>
      </c>
      <c r="AM153" t="s">
        <v>2100</v>
      </c>
      <c r="AN153" t="s">
        <v>2101</v>
      </c>
      <c r="AO153" t="s">
        <v>3353</v>
      </c>
      <c r="AP153" t="s">
        <v>3354</v>
      </c>
      <c r="AQ153" t="s">
        <v>74</v>
      </c>
      <c r="AR153" t="s">
        <v>3355</v>
      </c>
      <c r="AS153" t="s">
        <v>3356</v>
      </c>
      <c r="AT153" t="s">
        <v>3283</v>
      </c>
      <c r="AU153">
        <v>2019</v>
      </c>
      <c r="AV153">
        <v>12</v>
      </c>
      <c r="AW153">
        <v>12</v>
      </c>
      <c r="AX153" t="s">
        <v>74</v>
      </c>
      <c r="AY153" t="s">
        <v>74</v>
      </c>
      <c r="AZ153" t="s">
        <v>74</v>
      </c>
      <c r="BA153" t="s">
        <v>74</v>
      </c>
      <c r="BB153">
        <v>4999</v>
      </c>
      <c r="BC153">
        <v>5028</v>
      </c>
      <c r="BD153" t="s">
        <v>74</v>
      </c>
      <c r="BE153" t="s">
        <v>3357</v>
      </c>
      <c r="BF153" t="str">
        <f>HYPERLINK("http://dx.doi.org/10.5194/gmd-12-4999-2019","http://dx.doi.org/10.5194/gmd-12-4999-2019")</f>
        <v>http://dx.doi.org/10.5194/gmd-12-4999-2019</v>
      </c>
      <c r="BG153" t="s">
        <v>74</v>
      </c>
      <c r="BH153" t="s">
        <v>74</v>
      </c>
      <c r="BI153">
        <v>30</v>
      </c>
      <c r="BJ153" t="s">
        <v>849</v>
      </c>
      <c r="BK153" t="s">
        <v>294</v>
      </c>
      <c r="BL153" t="s">
        <v>850</v>
      </c>
      <c r="BM153" t="s">
        <v>3358</v>
      </c>
      <c r="BN153" t="s">
        <v>74</v>
      </c>
      <c r="BO153" t="s">
        <v>2261</v>
      </c>
      <c r="BP153" t="s">
        <v>560</v>
      </c>
      <c r="BQ153" t="s">
        <v>561</v>
      </c>
      <c r="BR153" t="s">
        <v>108</v>
      </c>
      <c r="BS153" t="s">
        <v>3359</v>
      </c>
      <c r="BT153" t="str">
        <f>HYPERLINK("https%3A%2F%2Fwww.webofscience.com%2Fwos%2Fwoscc%2Ffull-record%2FWOS:000500961400001","View Full Record in Web of Science")</f>
        <v>View Full Record in Web of Science</v>
      </c>
    </row>
    <row r="154" spans="1:72" x14ac:dyDescent="0.15">
      <c r="A154" t="s">
        <v>133</v>
      </c>
      <c r="B154" t="s">
        <v>3360</v>
      </c>
      <c r="C154" t="s">
        <v>74</v>
      </c>
      <c r="D154" t="s">
        <v>74</v>
      </c>
      <c r="E154" t="s">
        <v>74</v>
      </c>
      <c r="F154" t="s">
        <v>3361</v>
      </c>
      <c r="G154" t="s">
        <v>74</v>
      </c>
      <c r="H154" t="s">
        <v>74</v>
      </c>
      <c r="I154" t="s">
        <v>3362</v>
      </c>
      <c r="J154" t="s">
        <v>1487</v>
      </c>
      <c r="K154" t="s">
        <v>74</v>
      </c>
      <c r="L154" t="s">
        <v>74</v>
      </c>
      <c r="M154" t="s">
        <v>80</v>
      </c>
      <c r="N154" t="s">
        <v>138</v>
      </c>
      <c r="O154" t="s">
        <v>74</v>
      </c>
      <c r="P154" t="s">
        <v>74</v>
      </c>
      <c r="Q154" t="s">
        <v>74</v>
      </c>
      <c r="R154" t="s">
        <v>74</v>
      </c>
      <c r="S154" t="s">
        <v>74</v>
      </c>
      <c r="T154" t="s">
        <v>74</v>
      </c>
      <c r="U154" t="s">
        <v>3363</v>
      </c>
      <c r="V154" t="s">
        <v>3364</v>
      </c>
      <c r="W154" t="s">
        <v>3365</v>
      </c>
      <c r="X154" t="s">
        <v>3366</v>
      </c>
      <c r="Y154" t="s">
        <v>3367</v>
      </c>
      <c r="Z154" t="s">
        <v>3368</v>
      </c>
      <c r="AA154" t="s">
        <v>3369</v>
      </c>
      <c r="AB154" t="s">
        <v>3370</v>
      </c>
      <c r="AC154" t="s">
        <v>3371</v>
      </c>
      <c r="AD154" t="s">
        <v>3372</v>
      </c>
      <c r="AE154" t="s">
        <v>3373</v>
      </c>
      <c r="AF154" t="s">
        <v>74</v>
      </c>
      <c r="AG154">
        <v>59</v>
      </c>
      <c r="AH154">
        <v>9</v>
      </c>
      <c r="AI154">
        <v>10</v>
      </c>
      <c r="AJ154">
        <v>0</v>
      </c>
      <c r="AK154">
        <v>6</v>
      </c>
      <c r="AL154" t="s">
        <v>1264</v>
      </c>
      <c r="AM154" t="s">
        <v>1265</v>
      </c>
      <c r="AN154" t="s">
        <v>1266</v>
      </c>
      <c r="AO154" t="s">
        <v>1500</v>
      </c>
      <c r="AP154" t="s">
        <v>1501</v>
      </c>
      <c r="AQ154" t="s">
        <v>74</v>
      </c>
      <c r="AR154" t="s">
        <v>1502</v>
      </c>
      <c r="AS154" t="s">
        <v>1503</v>
      </c>
      <c r="AT154" t="s">
        <v>2365</v>
      </c>
      <c r="AU154">
        <v>2019</v>
      </c>
      <c r="AV154">
        <v>124</v>
      </c>
      <c r="AW154">
        <v>23</v>
      </c>
      <c r="AX154" t="s">
        <v>74</v>
      </c>
      <c r="AY154" t="s">
        <v>74</v>
      </c>
      <c r="AZ154" t="s">
        <v>74</v>
      </c>
      <c r="BA154" t="s">
        <v>74</v>
      </c>
      <c r="BB154">
        <v>12468</v>
      </c>
      <c r="BC154">
        <v>12484</v>
      </c>
      <c r="BD154" t="s">
        <v>74</v>
      </c>
      <c r="BE154" t="s">
        <v>3374</v>
      </c>
      <c r="BF154" t="str">
        <f>HYPERLINK("http://dx.doi.org/10.1029/2019JD030897","http://dx.doi.org/10.1029/2019JD030897")</f>
        <v>http://dx.doi.org/10.1029/2019JD030897</v>
      </c>
      <c r="BG154" t="s">
        <v>74</v>
      </c>
      <c r="BH154" t="s">
        <v>1272</v>
      </c>
      <c r="BI154">
        <v>17</v>
      </c>
      <c r="BJ154" t="s">
        <v>1024</v>
      </c>
      <c r="BK154" t="s">
        <v>294</v>
      </c>
      <c r="BL154" t="s">
        <v>1024</v>
      </c>
      <c r="BM154" t="s">
        <v>2367</v>
      </c>
      <c r="BN154" t="s">
        <v>74</v>
      </c>
      <c r="BO154" t="s">
        <v>1092</v>
      </c>
      <c r="BP154" t="s">
        <v>74</v>
      </c>
      <c r="BQ154" t="s">
        <v>74</v>
      </c>
      <c r="BR154" t="s">
        <v>108</v>
      </c>
      <c r="BS154" t="s">
        <v>3375</v>
      </c>
      <c r="BT154" t="str">
        <f>HYPERLINK("https%3A%2F%2Fwww.webofscience.com%2Fwos%2Fwoscc%2Ffull-record%2FWOS:000500137600001","View Full Record in Web of Science")</f>
        <v>View Full Record in Web of Science</v>
      </c>
    </row>
    <row r="155" spans="1:72" x14ac:dyDescent="0.15">
      <c r="A155" t="s">
        <v>133</v>
      </c>
      <c r="B155" t="s">
        <v>3376</v>
      </c>
      <c r="C155" t="s">
        <v>74</v>
      </c>
      <c r="D155" t="s">
        <v>74</v>
      </c>
      <c r="E155" t="s">
        <v>74</v>
      </c>
      <c r="F155" t="s">
        <v>3377</v>
      </c>
      <c r="G155" t="s">
        <v>74</v>
      </c>
      <c r="H155" t="s">
        <v>74</v>
      </c>
      <c r="I155" t="s">
        <v>3378</v>
      </c>
      <c r="J155" t="s">
        <v>1225</v>
      </c>
      <c r="K155" t="s">
        <v>74</v>
      </c>
      <c r="L155" t="s">
        <v>74</v>
      </c>
      <c r="M155" t="s">
        <v>80</v>
      </c>
      <c r="N155" t="s">
        <v>138</v>
      </c>
      <c r="O155" t="s">
        <v>74</v>
      </c>
      <c r="P155" t="s">
        <v>74</v>
      </c>
      <c r="Q155" t="s">
        <v>74</v>
      </c>
      <c r="R155" t="s">
        <v>74</v>
      </c>
      <c r="S155" t="s">
        <v>74</v>
      </c>
      <c r="T155" t="s">
        <v>74</v>
      </c>
      <c r="U155" t="s">
        <v>3379</v>
      </c>
      <c r="V155" t="s">
        <v>3380</v>
      </c>
      <c r="W155" t="s">
        <v>3381</v>
      </c>
      <c r="X155" t="s">
        <v>3382</v>
      </c>
      <c r="Y155" t="s">
        <v>3383</v>
      </c>
      <c r="Z155" t="s">
        <v>3384</v>
      </c>
      <c r="AA155" t="s">
        <v>3385</v>
      </c>
      <c r="AB155" t="s">
        <v>3386</v>
      </c>
      <c r="AC155" t="s">
        <v>3387</v>
      </c>
      <c r="AD155" t="s">
        <v>3388</v>
      </c>
      <c r="AE155" t="s">
        <v>3389</v>
      </c>
      <c r="AF155" t="s">
        <v>74</v>
      </c>
      <c r="AG155">
        <v>85</v>
      </c>
      <c r="AH155">
        <v>4</v>
      </c>
      <c r="AI155">
        <v>7</v>
      </c>
      <c r="AJ155">
        <v>1</v>
      </c>
      <c r="AK155">
        <v>10</v>
      </c>
      <c r="AL155" t="s">
        <v>1237</v>
      </c>
      <c r="AM155" t="s">
        <v>1238</v>
      </c>
      <c r="AN155" t="s">
        <v>1239</v>
      </c>
      <c r="AO155" t="s">
        <v>1240</v>
      </c>
      <c r="AP155" t="s">
        <v>74</v>
      </c>
      <c r="AQ155" t="s">
        <v>74</v>
      </c>
      <c r="AR155" t="s">
        <v>1225</v>
      </c>
      <c r="AS155" t="s">
        <v>1241</v>
      </c>
      <c r="AT155" t="s">
        <v>3390</v>
      </c>
      <c r="AU155">
        <v>2019</v>
      </c>
      <c r="AV155">
        <v>14</v>
      </c>
      <c r="AW155">
        <v>12</v>
      </c>
      <c r="AX155" t="s">
        <v>74</v>
      </c>
      <c r="AY155" t="s">
        <v>74</v>
      </c>
      <c r="AZ155" t="s">
        <v>74</v>
      </c>
      <c r="BA155" t="s">
        <v>74</v>
      </c>
      <c r="BB155" t="s">
        <v>74</v>
      </c>
      <c r="BC155" t="s">
        <v>74</v>
      </c>
      <c r="BD155" t="s">
        <v>3391</v>
      </c>
      <c r="BE155" t="s">
        <v>3392</v>
      </c>
      <c r="BF155" t="str">
        <f>HYPERLINK("http://dx.doi.org/10.1371/journal.pone.0225551","http://dx.doi.org/10.1371/journal.pone.0225551")</f>
        <v>http://dx.doi.org/10.1371/journal.pone.0225551</v>
      </c>
      <c r="BG155" t="s">
        <v>74</v>
      </c>
      <c r="BH155" t="s">
        <v>74</v>
      </c>
      <c r="BI155">
        <v>16</v>
      </c>
      <c r="BJ155" t="s">
        <v>1245</v>
      </c>
      <c r="BK155" t="s">
        <v>294</v>
      </c>
      <c r="BL155" t="s">
        <v>1246</v>
      </c>
      <c r="BM155" t="s">
        <v>3393</v>
      </c>
      <c r="BN155">
        <v>31790456</v>
      </c>
      <c r="BO155" t="s">
        <v>693</v>
      </c>
      <c r="BP155" t="s">
        <v>74</v>
      </c>
      <c r="BQ155" t="s">
        <v>74</v>
      </c>
      <c r="BR155" t="s">
        <v>108</v>
      </c>
      <c r="BS155" t="s">
        <v>3394</v>
      </c>
      <c r="BT155" t="str">
        <f>HYPERLINK("https%3A%2F%2Fwww.webofscience.com%2Fwos%2Fwoscc%2Ffull-record%2FWOS:000533930800045","View Full Record in Web of Science")</f>
        <v>View Full Record in Web of Science</v>
      </c>
    </row>
    <row r="156" spans="1:72" x14ac:dyDescent="0.15">
      <c r="A156" t="s">
        <v>133</v>
      </c>
      <c r="B156" t="s">
        <v>3395</v>
      </c>
      <c r="C156" t="s">
        <v>74</v>
      </c>
      <c r="D156" t="s">
        <v>74</v>
      </c>
      <c r="E156" t="s">
        <v>74</v>
      </c>
      <c r="F156" t="s">
        <v>3396</v>
      </c>
      <c r="G156" t="s">
        <v>74</v>
      </c>
      <c r="H156" t="s">
        <v>74</v>
      </c>
      <c r="I156" t="s">
        <v>3397</v>
      </c>
      <c r="J156" t="s">
        <v>3398</v>
      </c>
      <c r="K156" t="s">
        <v>74</v>
      </c>
      <c r="L156" t="s">
        <v>74</v>
      </c>
      <c r="M156" t="s">
        <v>80</v>
      </c>
      <c r="N156" t="s">
        <v>138</v>
      </c>
      <c r="O156" t="s">
        <v>74</v>
      </c>
      <c r="P156" t="s">
        <v>74</v>
      </c>
      <c r="Q156" t="s">
        <v>74</v>
      </c>
      <c r="R156" t="s">
        <v>74</v>
      </c>
      <c r="S156" t="s">
        <v>74</v>
      </c>
      <c r="T156" t="s">
        <v>3399</v>
      </c>
      <c r="U156" t="s">
        <v>74</v>
      </c>
      <c r="V156" t="s">
        <v>3400</v>
      </c>
      <c r="W156" t="s">
        <v>3401</v>
      </c>
      <c r="X156" t="s">
        <v>3402</v>
      </c>
      <c r="Y156" t="s">
        <v>3403</v>
      </c>
      <c r="Z156" t="s">
        <v>3404</v>
      </c>
      <c r="AA156" t="s">
        <v>74</v>
      </c>
      <c r="AB156" t="s">
        <v>3405</v>
      </c>
      <c r="AC156" t="s">
        <v>3406</v>
      </c>
      <c r="AD156" t="s">
        <v>3407</v>
      </c>
      <c r="AE156" t="s">
        <v>3408</v>
      </c>
      <c r="AF156" t="s">
        <v>74</v>
      </c>
      <c r="AG156">
        <v>54</v>
      </c>
      <c r="AH156">
        <v>11</v>
      </c>
      <c r="AI156">
        <v>11</v>
      </c>
      <c r="AJ156">
        <v>1</v>
      </c>
      <c r="AK156">
        <v>5</v>
      </c>
      <c r="AL156" t="s">
        <v>683</v>
      </c>
      <c r="AM156" t="s">
        <v>684</v>
      </c>
      <c r="AN156" t="s">
        <v>685</v>
      </c>
      <c r="AO156" t="s">
        <v>74</v>
      </c>
      <c r="AP156" t="s">
        <v>3409</v>
      </c>
      <c r="AQ156" t="s">
        <v>74</v>
      </c>
      <c r="AR156" t="s">
        <v>3410</v>
      </c>
      <c r="AS156" t="s">
        <v>3411</v>
      </c>
      <c r="AT156" t="s">
        <v>3390</v>
      </c>
      <c r="AU156">
        <v>2019</v>
      </c>
      <c r="AV156">
        <v>19</v>
      </c>
      <c r="AW156">
        <v>24</v>
      </c>
      <c r="AX156" t="s">
        <v>74</v>
      </c>
      <c r="AY156" t="s">
        <v>74</v>
      </c>
      <c r="AZ156" t="s">
        <v>74</v>
      </c>
      <c r="BA156" t="s">
        <v>74</v>
      </c>
      <c r="BB156" t="s">
        <v>74</v>
      </c>
      <c r="BC156" t="s">
        <v>74</v>
      </c>
      <c r="BD156">
        <v>5479</v>
      </c>
      <c r="BE156" t="s">
        <v>3412</v>
      </c>
      <c r="BF156" t="str">
        <f>HYPERLINK("http://dx.doi.org/10.3390/s19245479","http://dx.doi.org/10.3390/s19245479")</f>
        <v>http://dx.doi.org/10.3390/s19245479</v>
      </c>
      <c r="BG156" t="s">
        <v>74</v>
      </c>
      <c r="BH156" t="s">
        <v>74</v>
      </c>
      <c r="BI156">
        <v>17</v>
      </c>
      <c r="BJ156" t="s">
        <v>3413</v>
      </c>
      <c r="BK156" t="s">
        <v>294</v>
      </c>
      <c r="BL156" t="s">
        <v>3414</v>
      </c>
      <c r="BM156" t="s">
        <v>3415</v>
      </c>
      <c r="BN156">
        <v>31842359</v>
      </c>
      <c r="BO156" t="s">
        <v>2107</v>
      </c>
      <c r="BP156" t="s">
        <v>74</v>
      </c>
      <c r="BQ156" t="s">
        <v>74</v>
      </c>
      <c r="BR156" t="s">
        <v>108</v>
      </c>
      <c r="BS156" t="s">
        <v>3416</v>
      </c>
      <c r="BT156" t="str">
        <f>HYPERLINK("https%3A%2F%2Fwww.webofscience.com%2Fwos%2Fwoscc%2Ffull-record%2FWOS:000517961400142","View Full Record in Web of Science")</f>
        <v>View Full Record in Web of Science</v>
      </c>
    </row>
    <row r="157" spans="1:72" x14ac:dyDescent="0.15">
      <c r="A157" t="s">
        <v>133</v>
      </c>
      <c r="B157" t="s">
        <v>3417</v>
      </c>
      <c r="C157" t="s">
        <v>74</v>
      </c>
      <c r="D157" t="s">
        <v>74</v>
      </c>
      <c r="E157" t="s">
        <v>74</v>
      </c>
      <c r="F157" t="s">
        <v>3418</v>
      </c>
      <c r="G157" t="s">
        <v>74</v>
      </c>
      <c r="H157" t="s">
        <v>74</v>
      </c>
      <c r="I157" t="s">
        <v>3419</v>
      </c>
      <c r="J157" t="s">
        <v>3420</v>
      </c>
      <c r="K157" t="s">
        <v>74</v>
      </c>
      <c r="L157" t="s">
        <v>74</v>
      </c>
      <c r="M157" t="s">
        <v>80</v>
      </c>
      <c r="N157" t="s">
        <v>138</v>
      </c>
      <c r="O157" t="s">
        <v>74</v>
      </c>
      <c r="P157" t="s">
        <v>74</v>
      </c>
      <c r="Q157" t="s">
        <v>74</v>
      </c>
      <c r="R157" t="s">
        <v>74</v>
      </c>
      <c r="S157" t="s">
        <v>74</v>
      </c>
      <c r="T157" t="s">
        <v>3421</v>
      </c>
      <c r="U157" t="s">
        <v>3422</v>
      </c>
      <c r="V157" t="s">
        <v>3423</v>
      </c>
      <c r="W157" t="s">
        <v>3424</v>
      </c>
      <c r="X157" t="s">
        <v>3425</v>
      </c>
      <c r="Y157" t="s">
        <v>3426</v>
      </c>
      <c r="Z157" t="s">
        <v>3427</v>
      </c>
      <c r="AA157" t="s">
        <v>3428</v>
      </c>
      <c r="AB157" t="s">
        <v>3429</v>
      </c>
      <c r="AC157" t="s">
        <v>3430</v>
      </c>
      <c r="AD157" t="s">
        <v>512</v>
      </c>
      <c r="AE157" t="s">
        <v>3431</v>
      </c>
      <c r="AF157" t="s">
        <v>74</v>
      </c>
      <c r="AG157">
        <v>53</v>
      </c>
      <c r="AH157">
        <v>5</v>
      </c>
      <c r="AI157">
        <v>5</v>
      </c>
      <c r="AJ157">
        <v>0</v>
      </c>
      <c r="AK157">
        <v>9</v>
      </c>
      <c r="AL157" t="s">
        <v>683</v>
      </c>
      <c r="AM157" t="s">
        <v>684</v>
      </c>
      <c r="AN157" t="s">
        <v>685</v>
      </c>
      <c r="AO157" t="s">
        <v>74</v>
      </c>
      <c r="AP157" t="s">
        <v>3432</v>
      </c>
      <c r="AQ157" t="s">
        <v>74</v>
      </c>
      <c r="AR157" t="s">
        <v>3433</v>
      </c>
      <c r="AS157" t="s">
        <v>3434</v>
      </c>
      <c r="AT157" t="s">
        <v>3390</v>
      </c>
      <c r="AU157">
        <v>2019</v>
      </c>
      <c r="AV157">
        <v>11</v>
      </c>
      <c r="AW157">
        <v>24</v>
      </c>
      <c r="AX157" t="s">
        <v>74</v>
      </c>
      <c r="AY157" t="s">
        <v>74</v>
      </c>
      <c r="AZ157" t="s">
        <v>74</v>
      </c>
      <c r="BA157" t="s">
        <v>74</v>
      </c>
      <c r="BB157" t="s">
        <v>74</v>
      </c>
      <c r="BC157" t="s">
        <v>74</v>
      </c>
      <c r="BD157">
        <v>2890</v>
      </c>
      <c r="BE157" t="s">
        <v>3435</v>
      </c>
      <c r="BF157" t="str">
        <f>HYPERLINK("http://dx.doi.org/10.3390/rs11242890","http://dx.doi.org/10.3390/rs11242890")</f>
        <v>http://dx.doi.org/10.3390/rs11242890</v>
      </c>
      <c r="BG157" t="s">
        <v>74</v>
      </c>
      <c r="BH157" t="s">
        <v>74</v>
      </c>
      <c r="BI157">
        <v>20</v>
      </c>
      <c r="BJ157" t="s">
        <v>3436</v>
      </c>
      <c r="BK157" t="s">
        <v>294</v>
      </c>
      <c r="BL157" t="s">
        <v>3437</v>
      </c>
      <c r="BM157" t="s">
        <v>3438</v>
      </c>
      <c r="BN157" t="s">
        <v>74</v>
      </c>
      <c r="BO157" t="s">
        <v>693</v>
      </c>
      <c r="BP157" t="s">
        <v>74</v>
      </c>
      <c r="BQ157" t="s">
        <v>74</v>
      </c>
      <c r="BR157" t="s">
        <v>108</v>
      </c>
      <c r="BS157" t="s">
        <v>3439</v>
      </c>
      <c r="BT157" t="str">
        <f>HYPERLINK("https%3A%2F%2Fwww.webofscience.com%2Fwos%2Fwoscc%2Ffull-record%2FWOS:000507333400007","View Full Record in Web of Science")</f>
        <v>View Full Record in Web of Science</v>
      </c>
    </row>
    <row r="158" spans="1:72" x14ac:dyDescent="0.15">
      <c r="A158" t="s">
        <v>133</v>
      </c>
      <c r="B158" t="s">
        <v>3440</v>
      </c>
      <c r="C158" t="s">
        <v>74</v>
      </c>
      <c r="D158" t="s">
        <v>74</v>
      </c>
      <c r="E158" t="s">
        <v>74</v>
      </c>
      <c r="F158" t="s">
        <v>3441</v>
      </c>
      <c r="G158" t="s">
        <v>74</v>
      </c>
      <c r="H158" t="s">
        <v>74</v>
      </c>
      <c r="I158" t="s">
        <v>3442</v>
      </c>
      <c r="J158" t="s">
        <v>3443</v>
      </c>
      <c r="K158" t="s">
        <v>74</v>
      </c>
      <c r="L158" t="s">
        <v>74</v>
      </c>
      <c r="M158" t="s">
        <v>80</v>
      </c>
      <c r="N158" t="s">
        <v>138</v>
      </c>
      <c r="O158" t="s">
        <v>74</v>
      </c>
      <c r="P158" t="s">
        <v>74</v>
      </c>
      <c r="Q158" t="s">
        <v>74</v>
      </c>
      <c r="R158" t="s">
        <v>74</v>
      </c>
      <c r="S158" t="s">
        <v>74</v>
      </c>
      <c r="T158" t="s">
        <v>74</v>
      </c>
      <c r="U158" t="s">
        <v>3444</v>
      </c>
      <c r="V158" t="s">
        <v>3445</v>
      </c>
      <c r="W158" t="s">
        <v>3446</v>
      </c>
      <c r="X158" t="s">
        <v>3447</v>
      </c>
      <c r="Y158" t="s">
        <v>3448</v>
      </c>
      <c r="Z158" t="s">
        <v>3449</v>
      </c>
      <c r="AA158" t="s">
        <v>3450</v>
      </c>
      <c r="AB158" t="s">
        <v>3451</v>
      </c>
      <c r="AC158" t="s">
        <v>74</v>
      </c>
      <c r="AD158" t="s">
        <v>74</v>
      </c>
      <c r="AE158" t="s">
        <v>74</v>
      </c>
      <c r="AF158" t="s">
        <v>74</v>
      </c>
      <c r="AG158">
        <v>23</v>
      </c>
      <c r="AH158">
        <v>5</v>
      </c>
      <c r="AI158">
        <v>5</v>
      </c>
      <c r="AJ158">
        <v>0</v>
      </c>
      <c r="AK158">
        <v>5</v>
      </c>
      <c r="AL158" t="s">
        <v>1964</v>
      </c>
      <c r="AM158" t="s">
        <v>1965</v>
      </c>
      <c r="AN158" t="s">
        <v>3452</v>
      </c>
      <c r="AO158" t="s">
        <v>3453</v>
      </c>
      <c r="AP158" t="s">
        <v>3454</v>
      </c>
      <c r="AQ158" t="s">
        <v>74</v>
      </c>
      <c r="AR158" t="s">
        <v>3455</v>
      </c>
      <c r="AS158" t="s">
        <v>3456</v>
      </c>
      <c r="AT158" t="s">
        <v>3457</v>
      </c>
      <c r="AU158">
        <v>2019</v>
      </c>
      <c r="AV158">
        <v>62</v>
      </c>
      <c r="AW158">
        <v>6</v>
      </c>
      <c r="AX158" t="s">
        <v>74</v>
      </c>
      <c r="AY158" t="s">
        <v>74</v>
      </c>
      <c r="AZ158" t="s">
        <v>74</v>
      </c>
      <c r="BA158" t="s">
        <v>74</v>
      </c>
      <c r="BB158">
        <v>385</v>
      </c>
      <c r="BC158">
        <v>394</v>
      </c>
      <c r="BD158" t="s">
        <v>74</v>
      </c>
      <c r="BE158" t="s">
        <v>3458</v>
      </c>
      <c r="BF158" t="str">
        <f>HYPERLINK("http://dx.doi.org/10.1007/s11141-019-09985-8","http://dx.doi.org/10.1007/s11141-019-09985-8")</f>
        <v>http://dx.doi.org/10.1007/s11141-019-09985-8</v>
      </c>
      <c r="BG158" t="s">
        <v>74</v>
      </c>
      <c r="BH158" t="s">
        <v>1272</v>
      </c>
      <c r="BI158">
        <v>10</v>
      </c>
      <c r="BJ158" t="s">
        <v>3459</v>
      </c>
      <c r="BK158" t="s">
        <v>294</v>
      </c>
      <c r="BL158" t="s">
        <v>3460</v>
      </c>
      <c r="BM158" t="s">
        <v>3461</v>
      </c>
      <c r="BN158" t="s">
        <v>74</v>
      </c>
      <c r="BO158" t="s">
        <v>74</v>
      </c>
      <c r="BP158" t="s">
        <v>74</v>
      </c>
      <c r="BQ158" t="s">
        <v>74</v>
      </c>
      <c r="BR158" t="s">
        <v>108</v>
      </c>
      <c r="BS158" t="s">
        <v>3462</v>
      </c>
      <c r="BT158" t="str">
        <f>HYPERLINK("https%3A%2F%2Fwww.webofscience.com%2Fwos%2Fwoscc%2Ffull-record%2FWOS:000501024200007","View Full Record in Web of Science")</f>
        <v>View Full Record in Web of Science</v>
      </c>
    </row>
    <row r="159" spans="1:72" x14ac:dyDescent="0.15">
      <c r="A159" t="s">
        <v>133</v>
      </c>
      <c r="B159" t="s">
        <v>3463</v>
      </c>
      <c r="C159" t="s">
        <v>74</v>
      </c>
      <c r="D159" t="s">
        <v>74</v>
      </c>
      <c r="E159" t="s">
        <v>74</v>
      </c>
      <c r="F159" t="s">
        <v>3464</v>
      </c>
      <c r="G159" t="s">
        <v>74</v>
      </c>
      <c r="H159" t="s">
        <v>74</v>
      </c>
      <c r="I159" t="s">
        <v>3465</v>
      </c>
      <c r="J159" t="s">
        <v>2026</v>
      </c>
      <c r="K159" t="s">
        <v>74</v>
      </c>
      <c r="L159" t="s">
        <v>74</v>
      </c>
      <c r="M159" t="s">
        <v>80</v>
      </c>
      <c r="N159" t="s">
        <v>138</v>
      </c>
      <c r="O159" t="s">
        <v>74</v>
      </c>
      <c r="P159" t="s">
        <v>74</v>
      </c>
      <c r="Q159" t="s">
        <v>74</v>
      </c>
      <c r="R159" t="s">
        <v>74</v>
      </c>
      <c r="S159" t="s">
        <v>74</v>
      </c>
      <c r="T159" t="s">
        <v>74</v>
      </c>
      <c r="U159" t="s">
        <v>3466</v>
      </c>
      <c r="V159" t="s">
        <v>3467</v>
      </c>
      <c r="W159" t="s">
        <v>3468</v>
      </c>
      <c r="X159" t="s">
        <v>3469</v>
      </c>
      <c r="Y159" t="s">
        <v>3470</v>
      </c>
      <c r="Z159" t="s">
        <v>3471</v>
      </c>
      <c r="AA159" t="s">
        <v>3472</v>
      </c>
      <c r="AB159" t="s">
        <v>3473</v>
      </c>
      <c r="AC159" t="s">
        <v>3474</v>
      </c>
      <c r="AD159" t="s">
        <v>3475</v>
      </c>
      <c r="AE159" t="s">
        <v>3476</v>
      </c>
      <c r="AF159" t="s">
        <v>74</v>
      </c>
      <c r="AG159">
        <v>61</v>
      </c>
      <c r="AH159">
        <v>12</v>
      </c>
      <c r="AI159">
        <v>12</v>
      </c>
      <c r="AJ159">
        <v>2</v>
      </c>
      <c r="AK159">
        <v>10</v>
      </c>
      <c r="AL159" t="s">
        <v>2038</v>
      </c>
      <c r="AM159" t="s">
        <v>1730</v>
      </c>
      <c r="AN159" t="s">
        <v>2039</v>
      </c>
      <c r="AO159" t="s">
        <v>2040</v>
      </c>
      <c r="AP159" t="s">
        <v>74</v>
      </c>
      <c r="AQ159" t="s">
        <v>74</v>
      </c>
      <c r="AR159" t="s">
        <v>2041</v>
      </c>
      <c r="AS159" t="s">
        <v>2042</v>
      </c>
      <c r="AT159" t="s">
        <v>3390</v>
      </c>
      <c r="AU159">
        <v>2019</v>
      </c>
      <c r="AV159">
        <v>10</v>
      </c>
      <c r="AW159" t="s">
        <v>74</v>
      </c>
      <c r="AX159" t="s">
        <v>74</v>
      </c>
      <c r="AY159" t="s">
        <v>74</v>
      </c>
      <c r="AZ159" t="s">
        <v>74</v>
      </c>
      <c r="BA159" t="s">
        <v>74</v>
      </c>
      <c r="BB159" t="s">
        <v>74</v>
      </c>
      <c r="BC159" t="s">
        <v>74</v>
      </c>
      <c r="BD159">
        <v>5491</v>
      </c>
      <c r="BE159" t="s">
        <v>3477</v>
      </c>
      <c r="BF159" t="str">
        <f>HYPERLINK("http://dx.doi.org/10.1038/s41467-019-13539-x","http://dx.doi.org/10.1038/s41467-019-13539-x")</f>
        <v>http://dx.doi.org/10.1038/s41467-019-13539-x</v>
      </c>
      <c r="BG159" t="s">
        <v>74</v>
      </c>
      <c r="BH159" t="s">
        <v>74</v>
      </c>
      <c r="BI159">
        <v>12</v>
      </c>
      <c r="BJ159" t="s">
        <v>1245</v>
      </c>
      <c r="BK159" t="s">
        <v>294</v>
      </c>
      <c r="BL159" t="s">
        <v>1246</v>
      </c>
      <c r="BM159" t="s">
        <v>3478</v>
      </c>
      <c r="BN159">
        <v>31792201</v>
      </c>
      <c r="BO159" t="s">
        <v>1688</v>
      </c>
      <c r="BP159" t="s">
        <v>74</v>
      </c>
      <c r="BQ159" t="s">
        <v>74</v>
      </c>
      <c r="BR159" t="s">
        <v>108</v>
      </c>
      <c r="BS159" t="s">
        <v>3479</v>
      </c>
      <c r="BT159" t="str">
        <f>HYPERLINK("https%3A%2F%2Fwww.webofscience.com%2Fwos%2Fwoscc%2Ffull-record%2FWOS:000500490900001","View Full Record in Web of Science")</f>
        <v>View Full Record in Web of Science</v>
      </c>
    </row>
    <row r="160" spans="1:72" x14ac:dyDescent="0.15">
      <c r="A160" t="s">
        <v>133</v>
      </c>
      <c r="B160" t="s">
        <v>3480</v>
      </c>
      <c r="C160" t="s">
        <v>74</v>
      </c>
      <c r="D160" t="s">
        <v>74</v>
      </c>
      <c r="E160" t="s">
        <v>74</v>
      </c>
      <c r="F160" t="s">
        <v>3481</v>
      </c>
      <c r="G160" t="s">
        <v>74</v>
      </c>
      <c r="H160" t="s">
        <v>74</v>
      </c>
      <c r="I160" t="s">
        <v>3482</v>
      </c>
      <c r="J160" t="s">
        <v>3483</v>
      </c>
      <c r="K160" t="s">
        <v>74</v>
      </c>
      <c r="L160" t="s">
        <v>74</v>
      </c>
      <c r="M160" t="s">
        <v>80</v>
      </c>
      <c r="N160" t="s">
        <v>138</v>
      </c>
      <c r="O160" t="s">
        <v>74</v>
      </c>
      <c r="P160" t="s">
        <v>74</v>
      </c>
      <c r="Q160" t="s">
        <v>74</v>
      </c>
      <c r="R160" t="s">
        <v>74</v>
      </c>
      <c r="S160" t="s">
        <v>74</v>
      </c>
      <c r="T160" t="s">
        <v>3484</v>
      </c>
      <c r="U160" t="s">
        <v>3485</v>
      </c>
      <c r="V160" t="s">
        <v>3486</v>
      </c>
      <c r="W160" t="s">
        <v>3487</v>
      </c>
      <c r="X160" t="s">
        <v>3488</v>
      </c>
      <c r="Y160" t="s">
        <v>3489</v>
      </c>
      <c r="Z160" t="s">
        <v>3490</v>
      </c>
      <c r="AA160" t="s">
        <v>3491</v>
      </c>
      <c r="AB160" t="s">
        <v>3492</v>
      </c>
      <c r="AC160" t="s">
        <v>74</v>
      </c>
      <c r="AD160" t="s">
        <v>74</v>
      </c>
      <c r="AE160" t="s">
        <v>74</v>
      </c>
      <c r="AF160" t="s">
        <v>74</v>
      </c>
      <c r="AG160">
        <v>31</v>
      </c>
      <c r="AH160">
        <v>2</v>
      </c>
      <c r="AI160">
        <v>2</v>
      </c>
      <c r="AJ160">
        <v>0</v>
      </c>
      <c r="AK160">
        <v>2</v>
      </c>
      <c r="AL160" t="s">
        <v>3493</v>
      </c>
      <c r="AM160" t="s">
        <v>3494</v>
      </c>
      <c r="AN160" t="s">
        <v>3495</v>
      </c>
      <c r="AO160" t="s">
        <v>3496</v>
      </c>
      <c r="AP160" t="s">
        <v>3497</v>
      </c>
      <c r="AQ160" t="s">
        <v>74</v>
      </c>
      <c r="AR160" t="s">
        <v>3483</v>
      </c>
      <c r="AS160" t="s">
        <v>3498</v>
      </c>
      <c r="AT160" t="s">
        <v>3499</v>
      </c>
      <c r="AU160">
        <v>2020</v>
      </c>
      <c r="AV160">
        <v>94</v>
      </c>
      <c r="AW160">
        <v>3</v>
      </c>
      <c r="AX160" t="s">
        <v>74</v>
      </c>
      <c r="AY160" t="s">
        <v>74</v>
      </c>
      <c r="AZ160" t="s">
        <v>74</v>
      </c>
      <c r="BA160" t="s">
        <v>74</v>
      </c>
      <c r="BB160">
        <v>513</v>
      </c>
      <c r="BC160">
        <v>518</v>
      </c>
      <c r="BD160" t="s">
        <v>74</v>
      </c>
      <c r="BE160" t="s">
        <v>3500</v>
      </c>
      <c r="BF160" t="str">
        <f>HYPERLINK("http://dx.doi.org/10.1007/s12542-019-00498-3","http://dx.doi.org/10.1007/s12542-019-00498-3")</f>
        <v>http://dx.doi.org/10.1007/s12542-019-00498-3</v>
      </c>
      <c r="BG160" t="s">
        <v>74</v>
      </c>
      <c r="BH160" t="s">
        <v>1272</v>
      </c>
      <c r="BI160">
        <v>6</v>
      </c>
      <c r="BJ160" t="s">
        <v>3501</v>
      </c>
      <c r="BK160" t="s">
        <v>294</v>
      </c>
      <c r="BL160" t="s">
        <v>3501</v>
      </c>
      <c r="BM160" t="s">
        <v>3502</v>
      </c>
      <c r="BN160" t="s">
        <v>74</v>
      </c>
      <c r="BO160" t="s">
        <v>74</v>
      </c>
      <c r="BP160" t="s">
        <v>74</v>
      </c>
      <c r="BQ160" t="s">
        <v>74</v>
      </c>
      <c r="BR160" t="s">
        <v>108</v>
      </c>
      <c r="BS160" t="s">
        <v>3503</v>
      </c>
      <c r="BT160" t="str">
        <f>HYPERLINK("https%3A%2F%2Fwww.webofscience.com%2Fwos%2Fwoscc%2Ffull-record%2FWOS:000499982400001","View Full Record in Web of Science")</f>
        <v>View Full Record in Web of Science</v>
      </c>
    </row>
    <row r="161" spans="1:72" x14ac:dyDescent="0.15">
      <c r="A161" t="s">
        <v>133</v>
      </c>
      <c r="B161" t="s">
        <v>3504</v>
      </c>
      <c r="C161" t="s">
        <v>74</v>
      </c>
      <c r="D161" t="s">
        <v>74</v>
      </c>
      <c r="E161" t="s">
        <v>74</v>
      </c>
      <c r="F161" t="s">
        <v>3505</v>
      </c>
      <c r="G161" t="s">
        <v>74</v>
      </c>
      <c r="H161" t="s">
        <v>74</v>
      </c>
      <c r="I161" t="s">
        <v>3506</v>
      </c>
      <c r="J161" t="s">
        <v>3507</v>
      </c>
      <c r="K161" t="s">
        <v>74</v>
      </c>
      <c r="L161" t="s">
        <v>74</v>
      </c>
      <c r="M161" t="s">
        <v>80</v>
      </c>
      <c r="N161" t="s">
        <v>138</v>
      </c>
      <c r="O161" t="s">
        <v>74</v>
      </c>
      <c r="P161" t="s">
        <v>74</v>
      </c>
      <c r="Q161" t="s">
        <v>74</v>
      </c>
      <c r="R161" t="s">
        <v>74</v>
      </c>
      <c r="S161" t="s">
        <v>74</v>
      </c>
      <c r="T161" t="s">
        <v>3508</v>
      </c>
      <c r="U161" t="s">
        <v>3509</v>
      </c>
      <c r="V161" t="s">
        <v>3510</v>
      </c>
      <c r="W161" t="s">
        <v>3511</v>
      </c>
      <c r="X161" t="s">
        <v>3512</v>
      </c>
      <c r="Y161" t="s">
        <v>3513</v>
      </c>
      <c r="Z161" t="s">
        <v>3514</v>
      </c>
      <c r="AA161" t="s">
        <v>74</v>
      </c>
      <c r="AB161" t="s">
        <v>3515</v>
      </c>
      <c r="AC161" t="s">
        <v>3516</v>
      </c>
      <c r="AD161" t="s">
        <v>3517</v>
      </c>
      <c r="AE161" t="s">
        <v>3518</v>
      </c>
      <c r="AF161" t="s">
        <v>74</v>
      </c>
      <c r="AG161">
        <v>25</v>
      </c>
      <c r="AH161">
        <v>4</v>
      </c>
      <c r="AI161">
        <v>4</v>
      </c>
      <c r="AJ161">
        <v>0</v>
      </c>
      <c r="AK161">
        <v>4</v>
      </c>
      <c r="AL161" t="s">
        <v>1964</v>
      </c>
      <c r="AM161" t="s">
        <v>1965</v>
      </c>
      <c r="AN161" t="s">
        <v>1966</v>
      </c>
      <c r="AO161" t="s">
        <v>3519</v>
      </c>
      <c r="AP161" t="s">
        <v>3520</v>
      </c>
      <c r="AQ161" t="s">
        <v>74</v>
      </c>
      <c r="AR161" t="s">
        <v>3521</v>
      </c>
      <c r="AS161" t="s">
        <v>3522</v>
      </c>
      <c r="AT161" t="s">
        <v>291</v>
      </c>
      <c r="AU161">
        <v>2020</v>
      </c>
      <c r="AV161">
        <v>43</v>
      </c>
      <c r="AW161">
        <v>1</v>
      </c>
      <c r="AX161" t="s">
        <v>74</v>
      </c>
      <c r="AY161" t="s">
        <v>74</v>
      </c>
      <c r="AZ161" t="s">
        <v>74</v>
      </c>
      <c r="BA161" t="s">
        <v>74</v>
      </c>
      <c r="BB161">
        <v>81</v>
      </c>
      <c r="BC161">
        <v>86</v>
      </c>
      <c r="BD161" t="s">
        <v>74</v>
      </c>
      <c r="BE161" t="s">
        <v>3523</v>
      </c>
      <c r="BF161" t="str">
        <f>HYPERLINK("http://dx.doi.org/10.1007/s00300-019-02609-x","http://dx.doi.org/10.1007/s00300-019-02609-x")</f>
        <v>http://dx.doi.org/10.1007/s00300-019-02609-x</v>
      </c>
      <c r="BG161" t="s">
        <v>74</v>
      </c>
      <c r="BH161" t="s">
        <v>1272</v>
      </c>
      <c r="BI161">
        <v>6</v>
      </c>
      <c r="BJ161" t="s">
        <v>3524</v>
      </c>
      <c r="BK161" t="s">
        <v>294</v>
      </c>
      <c r="BL161" t="s">
        <v>295</v>
      </c>
      <c r="BM161" t="s">
        <v>3525</v>
      </c>
      <c r="BN161" t="s">
        <v>74</v>
      </c>
      <c r="BO161" t="s">
        <v>1482</v>
      </c>
      <c r="BP161" t="s">
        <v>74</v>
      </c>
      <c r="BQ161" t="s">
        <v>74</v>
      </c>
      <c r="BR161" t="s">
        <v>108</v>
      </c>
      <c r="BS161" t="s">
        <v>3526</v>
      </c>
      <c r="BT161" t="str">
        <f>HYPERLINK("https%3A%2F%2Fwww.webofscience.com%2Fwos%2Fwoscc%2Ffull-record%2FWOS:000500235800001","View Full Record in Web of Science")</f>
        <v>View Full Record in Web of Science</v>
      </c>
    </row>
    <row r="162" spans="1:72" x14ac:dyDescent="0.15">
      <c r="A162" t="s">
        <v>133</v>
      </c>
      <c r="B162" t="s">
        <v>3527</v>
      </c>
      <c r="C162" t="s">
        <v>74</v>
      </c>
      <c r="D162" t="s">
        <v>74</v>
      </c>
      <c r="E162" t="s">
        <v>74</v>
      </c>
      <c r="F162" t="s">
        <v>3528</v>
      </c>
      <c r="G162" t="s">
        <v>74</v>
      </c>
      <c r="H162" t="s">
        <v>74</v>
      </c>
      <c r="I162" t="s">
        <v>3529</v>
      </c>
      <c r="J162" t="s">
        <v>3530</v>
      </c>
      <c r="K162" t="s">
        <v>74</v>
      </c>
      <c r="L162" t="s">
        <v>74</v>
      </c>
      <c r="M162" t="s">
        <v>80</v>
      </c>
      <c r="N162" t="s">
        <v>138</v>
      </c>
      <c r="O162" t="s">
        <v>74</v>
      </c>
      <c r="P162" t="s">
        <v>74</v>
      </c>
      <c r="Q162" t="s">
        <v>74</v>
      </c>
      <c r="R162" t="s">
        <v>74</v>
      </c>
      <c r="S162" t="s">
        <v>74</v>
      </c>
      <c r="T162" t="s">
        <v>3531</v>
      </c>
      <c r="U162" t="s">
        <v>3532</v>
      </c>
      <c r="V162" t="s">
        <v>3533</v>
      </c>
      <c r="W162" t="s">
        <v>3534</v>
      </c>
      <c r="X162" t="s">
        <v>3535</v>
      </c>
      <c r="Y162" t="s">
        <v>3536</v>
      </c>
      <c r="Z162" t="s">
        <v>3537</v>
      </c>
      <c r="AA162" t="s">
        <v>1185</v>
      </c>
      <c r="AB162" t="s">
        <v>1186</v>
      </c>
      <c r="AC162" t="s">
        <v>3538</v>
      </c>
      <c r="AD162" t="s">
        <v>3539</v>
      </c>
      <c r="AE162" t="s">
        <v>3540</v>
      </c>
      <c r="AF162" t="s">
        <v>74</v>
      </c>
      <c r="AG162">
        <v>48</v>
      </c>
      <c r="AH162">
        <v>0</v>
      </c>
      <c r="AI162">
        <v>1</v>
      </c>
      <c r="AJ162">
        <v>1</v>
      </c>
      <c r="AK162">
        <v>8</v>
      </c>
      <c r="AL162" t="s">
        <v>3541</v>
      </c>
      <c r="AM162" t="s">
        <v>3542</v>
      </c>
      <c r="AN162" t="s">
        <v>3543</v>
      </c>
      <c r="AO162" t="s">
        <v>3544</v>
      </c>
      <c r="AP162" t="s">
        <v>74</v>
      </c>
      <c r="AQ162" t="s">
        <v>74</v>
      </c>
      <c r="AR162" t="s">
        <v>3545</v>
      </c>
      <c r="AS162" t="s">
        <v>3546</v>
      </c>
      <c r="AT162" t="s">
        <v>1270</v>
      </c>
      <c r="AU162">
        <v>2019</v>
      </c>
      <c r="AV162">
        <v>2</v>
      </c>
      <c r="AW162">
        <v>4</v>
      </c>
      <c r="AX162" t="s">
        <v>74</v>
      </c>
      <c r="AY162" t="s">
        <v>74</v>
      </c>
      <c r="AZ162" t="s">
        <v>74</v>
      </c>
      <c r="BA162" t="s">
        <v>74</v>
      </c>
      <c r="BB162">
        <v>493</v>
      </c>
      <c r="BC162">
        <v>500</v>
      </c>
      <c r="BD162" t="s">
        <v>74</v>
      </c>
      <c r="BE162" t="s">
        <v>3547</v>
      </c>
      <c r="BF162" t="str">
        <f>HYPERLINK("http://dx.doi.org/10.31035/cg2018134","http://dx.doi.org/10.31035/cg2018134")</f>
        <v>http://dx.doi.org/10.31035/cg2018134</v>
      </c>
      <c r="BG162" t="s">
        <v>74</v>
      </c>
      <c r="BH162" t="s">
        <v>74</v>
      </c>
      <c r="BI162">
        <v>8</v>
      </c>
      <c r="BJ162" t="s">
        <v>849</v>
      </c>
      <c r="BK162" t="s">
        <v>160</v>
      </c>
      <c r="BL162" t="s">
        <v>850</v>
      </c>
      <c r="BM162" t="s">
        <v>3548</v>
      </c>
      <c r="BN162" t="s">
        <v>74</v>
      </c>
      <c r="BO162" t="s">
        <v>107</v>
      </c>
      <c r="BP162" t="s">
        <v>74</v>
      </c>
      <c r="BQ162" t="s">
        <v>74</v>
      </c>
      <c r="BR162" t="s">
        <v>108</v>
      </c>
      <c r="BS162" t="s">
        <v>3549</v>
      </c>
      <c r="BT162" t="str">
        <f>HYPERLINK("https%3A%2F%2Fwww.webofscience.com%2Fwos%2Fwoscc%2Ffull-record%2FWOS:000536045600007","View Full Record in Web of Science")</f>
        <v>View Full Record in Web of Science</v>
      </c>
    </row>
    <row r="163" spans="1:72" x14ac:dyDescent="0.15">
      <c r="A163" t="s">
        <v>133</v>
      </c>
      <c r="B163" t="s">
        <v>3550</v>
      </c>
      <c r="C163" t="s">
        <v>74</v>
      </c>
      <c r="D163" t="s">
        <v>74</v>
      </c>
      <c r="E163" t="s">
        <v>74</v>
      </c>
      <c r="F163" t="s">
        <v>3551</v>
      </c>
      <c r="G163" t="s">
        <v>74</v>
      </c>
      <c r="H163" t="s">
        <v>74</v>
      </c>
      <c r="I163" t="s">
        <v>3552</v>
      </c>
      <c r="J163" t="s">
        <v>3553</v>
      </c>
      <c r="K163" t="s">
        <v>74</v>
      </c>
      <c r="L163" t="s">
        <v>74</v>
      </c>
      <c r="M163" t="s">
        <v>80</v>
      </c>
      <c r="N163" t="s">
        <v>138</v>
      </c>
      <c r="O163" t="s">
        <v>74</v>
      </c>
      <c r="P163" t="s">
        <v>74</v>
      </c>
      <c r="Q163" t="s">
        <v>74</v>
      </c>
      <c r="R163" t="s">
        <v>74</v>
      </c>
      <c r="S163" t="s">
        <v>74</v>
      </c>
      <c r="T163" t="s">
        <v>3554</v>
      </c>
      <c r="U163" t="s">
        <v>74</v>
      </c>
      <c r="V163" t="s">
        <v>3555</v>
      </c>
      <c r="W163" t="s">
        <v>3556</v>
      </c>
      <c r="X163" t="s">
        <v>3557</v>
      </c>
      <c r="Y163" t="s">
        <v>3558</v>
      </c>
      <c r="Z163" t="s">
        <v>3559</v>
      </c>
      <c r="AA163" t="s">
        <v>74</v>
      </c>
      <c r="AB163" t="s">
        <v>74</v>
      </c>
      <c r="AC163" t="s">
        <v>3560</v>
      </c>
      <c r="AD163" t="s">
        <v>3560</v>
      </c>
      <c r="AE163" t="s">
        <v>3561</v>
      </c>
      <c r="AF163" t="s">
        <v>74</v>
      </c>
      <c r="AG163">
        <v>21</v>
      </c>
      <c r="AH163">
        <v>0</v>
      </c>
      <c r="AI163">
        <v>0</v>
      </c>
      <c r="AJ163">
        <v>0</v>
      </c>
      <c r="AK163">
        <v>4</v>
      </c>
      <c r="AL163" t="s">
        <v>3562</v>
      </c>
      <c r="AM163" t="s">
        <v>3563</v>
      </c>
      <c r="AN163" t="s">
        <v>3564</v>
      </c>
      <c r="AO163" t="s">
        <v>3565</v>
      </c>
      <c r="AP163" t="s">
        <v>74</v>
      </c>
      <c r="AQ163" t="s">
        <v>74</v>
      </c>
      <c r="AR163" t="s">
        <v>3566</v>
      </c>
      <c r="AS163" t="s">
        <v>3567</v>
      </c>
      <c r="AT163" t="s">
        <v>1270</v>
      </c>
      <c r="AU163">
        <v>2019</v>
      </c>
      <c r="AV163">
        <v>27</v>
      </c>
      <c r="AW163">
        <v>4</v>
      </c>
      <c r="AX163" t="s">
        <v>74</v>
      </c>
      <c r="AY163" t="s">
        <v>74</v>
      </c>
      <c r="AZ163" t="s">
        <v>74</v>
      </c>
      <c r="BA163" t="s">
        <v>74</v>
      </c>
      <c r="BB163">
        <v>245</v>
      </c>
      <c r="BC163">
        <v>252</v>
      </c>
      <c r="BD163" t="s">
        <v>74</v>
      </c>
      <c r="BE163" t="s">
        <v>74</v>
      </c>
      <c r="BF163" t="s">
        <v>74</v>
      </c>
      <c r="BG163" t="s">
        <v>74</v>
      </c>
      <c r="BH163" t="s">
        <v>74</v>
      </c>
      <c r="BI163">
        <v>8</v>
      </c>
      <c r="BJ163" t="s">
        <v>3568</v>
      </c>
      <c r="BK163" t="s">
        <v>294</v>
      </c>
      <c r="BL163" t="s">
        <v>1219</v>
      </c>
      <c r="BM163" t="s">
        <v>3569</v>
      </c>
      <c r="BN163" t="s">
        <v>74</v>
      </c>
      <c r="BO163" t="s">
        <v>74</v>
      </c>
      <c r="BP163" t="s">
        <v>74</v>
      </c>
      <c r="BQ163" t="s">
        <v>74</v>
      </c>
      <c r="BR163" t="s">
        <v>108</v>
      </c>
      <c r="BS163" t="s">
        <v>3570</v>
      </c>
      <c r="BT163" t="str">
        <f>HYPERLINK("https%3A%2F%2Fwww.webofscience.com%2Fwos%2Fwoscc%2Ffull-record%2FWOS:000531872300005","View Full Record in Web of Science")</f>
        <v>View Full Record in Web of Science</v>
      </c>
    </row>
    <row r="164" spans="1:72" x14ac:dyDescent="0.15">
      <c r="A164" t="s">
        <v>133</v>
      </c>
      <c r="B164" t="s">
        <v>3571</v>
      </c>
      <c r="C164" t="s">
        <v>74</v>
      </c>
      <c r="D164" t="s">
        <v>74</v>
      </c>
      <c r="E164" t="s">
        <v>74</v>
      </c>
      <c r="F164" t="s">
        <v>3572</v>
      </c>
      <c r="G164" t="s">
        <v>74</v>
      </c>
      <c r="H164" t="s">
        <v>74</v>
      </c>
      <c r="I164" t="s">
        <v>3573</v>
      </c>
      <c r="J164" t="s">
        <v>3574</v>
      </c>
      <c r="K164" t="s">
        <v>74</v>
      </c>
      <c r="L164" t="s">
        <v>74</v>
      </c>
      <c r="M164" t="s">
        <v>80</v>
      </c>
      <c r="N164" t="s">
        <v>138</v>
      </c>
      <c r="O164" t="s">
        <v>74</v>
      </c>
      <c r="P164" t="s">
        <v>74</v>
      </c>
      <c r="Q164" t="s">
        <v>74</v>
      </c>
      <c r="R164" t="s">
        <v>74</v>
      </c>
      <c r="S164" t="s">
        <v>74</v>
      </c>
      <c r="T164" t="s">
        <v>3575</v>
      </c>
      <c r="U164" t="s">
        <v>3576</v>
      </c>
      <c r="V164" t="s">
        <v>3577</v>
      </c>
      <c r="W164" t="s">
        <v>3578</v>
      </c>
      <c r="X164" t="s">
        <v>74</v>
      </c>
      <c r="Y164" t="s">
        <v>3579</v>
      </c>
      <c r="Z164" t="s">
        <v>3580</v>
      </c>
      <c r="AA164" t="s">
        <v>74</v>
      </c>
      <c r="AB164" t="s">
        <v>74</v>
      </c>
      <c r="AC164" t="s">
        <v>74</v>
      </c>
      <c r="AD164" t="s">
        <v>74</v>
      </c>
      <c r="AE164" t="s">
        <v>74</v>
      </c>
      <c r="AF164" t="s">
        <v>74</v>
      </c>
      <c r="AG164">
        <v>18</v>
      </c>
      <c r="AH164">
        <v>1</v>
      </c>
      <c r="AI164">
        <v>1</v>
      </c>
      <c r="AJ164">
        <v>0</v>
      </c>
      <c r="AK164">
        <v>8</v>
      </c>
      <c r="AL164" t="s">
        <v>3581</v>
      </c>
      <c r="AM164" t="s">
        <v>1965</v>
      </c>
      <c r="AN164" t="s">
        <v>3582</v>
      </c>
      <c r="AO164" t="s">
        <v>3583</v>
      </c>
      <c r="AP164" t="s">
        <v>3584</v>
      </c>
      <c r="AQ164" t="s">
        <v>74</v>
      </c>
      <c r="AR164" t="s">
        <v>3585</v>
      </c>
      <c r="AS164" t="s">
        <v>3586</v>
      </c>
      <c r="AT164" t="s">
        <v>1270</v>
      </c>
      <c r="AU164">
        <v>2019</v>
      </c>
      <c r="AV164">
        <v>55</v>
      </c>
      <c r="AW164">
        <v>9</v>
      </c>
      <c r="AX164" t="s">
        <v>74</v>
      </c>
      <c r="AY164" t="s">
        <v>74</v>
      </c>
      <c r="AZ164" t="s">
        <v>74</v>
      </c>
      <c r="BA164" t="s">
        <v>74</v>
      </c>
      <c r="BB164">
        <v>1210</v>
      </c>
      <c r="BC164">
        <v>1217</v>
      </c>
      <c r="BD164" t="s">
        <v>74</v>
      </c>
      <c r="BE164" t="s">
        <v>3587</v>
      </c>
      <c r="BF164" t="str">
        <f>HYPERLINK("http://dx.doi.org/10.1134/S0001433819090536","http://dx.doi.org/10.1134/S0001433819090536")</f>
        <v>http://dx.doi.org/10.1134/S0001433819090536</v>
      </c>
      <c r="BG164" t="s">
        <v>74</v>
      </c>
      <c r="BH164" t="s">
        <v>74</v>
      </c>
      <c r="BI164">
        <v>8</v>
      </c>
      <c r="BJ164" t="s">
        <v>610</v>
      </c>
      <c r="BK164" t="s">
        <v>294</v>
      </c>
      <c r="BL164" t="s">
        <v>610</v>
      </c>
      <c r="BM164" t="s">
        <v>3588</v>
      </c>
      <c r="BN164" t="s">
        <v>74</v>
      </c>
      <c r="BO164" t="s">
        <v>74</v>
      </c>
      <c r="BP164" t="s">
        <v>74</v>
      </c>
      <c r="BQ164" t="s">
        <v>74</v>
      </c>
      <c r="BR164" t="s">
        <v>108</v>
      </c>
      <c r="BS164" t="s">
        <v>3589</v>
      </c>
      <c r="BT164" t="str">
        <f>HYPERLINK("https%3A%2F%2Fwww.webofscience.com%2Fwos%2Fwoscc%2Ffull-record%2FWOS:000530305800034","View Full Record in Web of Science")</f>
        <v>View Full Record in Web of Science</v>
      </c>
    </row>
    <row r="165" spans="1:72" x14ac:dyDescent="0.15">
      <c r="A165" t="s">
        <v>133</v>
      </c>
      <c r="B165" t="s">
        <v>3590</v>
      </c>
      <c r="C165" t="s">
        <v>74</v>
      </c>
      <c r="D165" t="s">
        <v>74</v>
      </c>
      <c r="E165" t="s">
        <v>74</v>
      </c>
      <c r="F165" t="s">
        <v>3591</v>
      </c>
      <c r="G165" t="s">
        <v>74</v>
      </c>
      <c r="H165" t="s">
        <v>74</v>
      </c>
      <c r="I165" t="s">
        <v>3592</v>
      </c>
      <c r="J165" t="s">
        <v>3574</v>
      </c>
      <c r="K165" t="s">
        <v>74</v>
      </c>
      <c r="L165" t="s">
        <v>74</v>
      </c>
      <c r="M165" t="s">
        <v>80</v>
      </c>
      <c r="N165" t="s">
        <v>138</v>
      </c>
      <c r="O165" t="s">
        <v>74</v>
      </c>
      <c r="P165" t="s">
        <v>74</v>
      </c>
      <c r="Q165" t="s">
        <v>74</v>
      </c>
      <c r="R165" t="s">
        <v>74</v>
      </c>
      <c r="S165" t="s">
        <v>74</v>
      </c>
      <c r="T165" t="s">
        <v>3593</v>
      </c>
      <c r="U165" t="s">
        <v>3594</v>
      </c>
      <c r="V165" t="s">
        <v>3595</v>
      </c>
      <c r="W165" t="s">
        <v>3596</v>
      </c>
      <c r="X165" t="s">
        <v>3597</v>
      </c>
      <c r="Y165" t="s">
        <v>3598</v>
      </c>
      <c r="Z165" t="s">
        <v>3599</v>
      </c>
      <c r="AA165" t="s">
        <v>3600</v>
      </c>
      <c r="AB165" t="s">
        <v>3601</v>
      </c>
      <c r="AC165" t="s">
        <v>3602</v>
      </c>
      <c r="AD165" t="s">
        <v>3603</v>
      </c>
      <c r="AE165" t="s">
        <v>3604</v>
      </c>
      <c r="AF165" t="s">
        <v>74</v>
      </c>
      <c r="AG165">
        <v>38</v>
      </c>
      <c r="AH165">
        <v>2</v>
      </c>
      <c r="AI165">
        <v>2</v>
      </c>
      <c r="AJ165">
        <v>0</v>
      </c>
      <c r="AK165">
        <v>6</v>
      </c>
      <c r="AL165" t="s">
        <v>3581</v>
      </c>
      <c r="AM165" t="s">
        <v>1965</v>
      </c>
      <c r="AN165" t="s">
        <v>3582</v>
      </c>
      <c r="AO165" t="s">
        <v>3583</v>
      </c>
      <c r="AP165" t="s">
        <v>3584</v>
      </c>
      <c r="AQ165" t="s">
        <v>74</v>
      </c>
      <c r="AR165" t="s">
        <v>3585</v>
      </c>
      <c r="AS165" t="s">
        <v>3586</v>
      </c>
      <c r="AT165" t="s">
        <v>1270</v>
      </c>
      <c r="AU165">
        <v>2019</v>
      </c>
      <c r="AV165">
        <v>55</v>
      </c>
      <c r="AW165">
        <v>9</v>
      </c>
      <c r="AX165" t="s">
        <v>74</v>
      </c>
      <c r="AY165" t="s">
        <v>74</v>
      </c>
      <c r="AZ165" t="s">
        <v>74</v>
      </c>
      <c r="BA165" t="s">
        <v>74</v>
      </c>
      <c r="BB165">
        <v>1292</v>
      </c>
      <c r="BC165">
        <v>1301</v>
      </c>
      <c r="BD165" t="s">
        <v>74</v>
      </c>
      <c r="BE165" t="s">
        <v>3605</v>
      </c>
      <c r="BF165" t="str">
        <f>HYPERLINK("http://dx.doi.org/10.1134/S0001433819090032","http://dx.doi.org/10.1134/S0001433819090032")</f>
        <v>http://dx.doi.org/10.1134/S0001433819090032</v>
      </c>
      <c r="BG165" t="s">
        <v>74</v>
      </c>
      <c r="BH165" t="s">
        <v>74</v>
      </c>
      <c r="BI165">
        <v>10</v>
      </c>
      <c r="BJ165" t="s">
        <v>610</v>
      </c>
      <c r="BK165" t="s">
        <v>294</v>
      </c>
      <c r="BL165" t="s">
        <v>610</v>
      </c>
      <c r="BM165" t="s">
        <v>3588</v>
      </c>
      <c r="BN165" t="s">
        <v>74</v>
      </c>
      <c r="BO165" t="s">
        <v>74</v>
      </c>
      <c r="BP165" t="s">
        <v>74</v>
      </c>
      <c r="BQ165" t="s">
        <v>74</v>
      </c>
      <c r="BR165" t="s">
        <v>108</v>
      </c>
      <c r="BS165" t="s">
        <v>3606</v>
      </c>
      <c r="BT165" t="str">
        <f>HYPERLINK("https%3A%2F%2Fwww.webofscience.com%2Fwos%2Fwoscc%2Ffull-record%2FWOS:000530305800041","View Full Record in Web of Science")</f>
        <v>View Full Record in Web of Science</v>
      </c>
    </row>
    <row r="166" spans="1:72" x14ac:dyDescent="0.15">
      <c r="A166" t="s">
        <v>133</v>
      </c>
      <c r="B166" t="s">
        <v>3607</v>
      </c>
      <c r="C166" t="s">
        <v>74</v>
      </c>
      <c r="D166" t="s">
        <v>74</v>
      </c>
      <c r="E166" t="s">
        <v>74</v>
      </c>
      <c r="F166" t="s">
        <v>3608</v>
      </c>
      <c r="G166" t="s">
        <v>74</v>
      </c>
      <c r="H166" t="s">
        <v>74</v>
      </c>
      <c r="I166" t="s">
        <v>3609</v>
      </c>
      <c r="J166" t="s">
        <v>3574</v>
      </c>
      <c r="K166" t="s">
        <v>74</v>
      </c>
      <c r="L166" t="s">
        <v>74</v>
      </c>
      <c r="M166" t="s">
        <v>80</v>
      </c>
      <c r="N166" t="s">
        <v>138</v>
      </c>
      <c r="O166" t="s">
        <v>74</v>
      </c>
      <c r="P166" t="s">
        <v>74</v>
      </c>
      <c r="Q166" t="s">
        <v>74</v>
      </c>
      <c r="R166" t="s">
        <v>74</v>
      </c>
      <c r="S166" t="s">
        <v>74</v>
      </c>
      <c r="T166" t="s">
        <v>3610</v>
      </c>
      <c r="U166" t="s">
        <v>3611</v>
      </c>
      <c r="V166" t="s">
        <v>3612</v>
      </c>
      <c r="W166" t="s">
        <v>3613</v>
      </c>
      <c r="X166" t="s">
        <v>3614</v>
      </c>
      <c r="Y166" t="s">
        <v>3615</v>
      </c>
      <c r="Z166" t="s">
        <v>3616</v>
      </c>
      <c r="AA166" t="s">
        <v>3617</v>
      </c>
      <c r="AB166" t="s">
        <v>3618</v>
      </c>
      <c r="AC166" t="s">
        <v>3619</v>
      </c>
      <c r="AD166" t="s">
        <v>3620</v>
      </c>
      <c r="AE166" t="s">
        <v>3621</v>
      </c>
      <c r="AF166" t="s">
        <v>74</v>
      </c>
      <c r="AG166">
        <v>53</v>
      </c>
      <c r="AH166">
        <v>0</v>
      </c>
      <c r="AI166">
        <v>0</v>
      </c>
      <c r="AJ166">
        <v>0</v>
      </c>
      <c r="AK166">
        <v>4</v>
      </c>
      <c r="AL166" t="s">
        <v>3581</v>
      </c>
      <c r="AM166" t="s">
        <v>1965</v>
      </c>
      <c r="AN166" t="s">
        <v>3582</v>
      </c>
      <c r="AO166" t="s">
        <v>3583</v>
      </c>
      <c r="AP166" t="s">
        <v>3584</v>
      </c>
      <c r="AQ166" t="s">
        <v>74</v>
      </c>
      <c r="AR166" t="s">
        <v>3585</v>
      </c>
      <c r="AS166" t="s">
        <v>3586</v>
      </c>
      <c r="AT166" t="s">
        <v>1270</v>
      </c>
      <c r="AU166">
        <v>2019</v>
      </c>
      <c r="AV166">
        <v>55</v>
      </c>
      <c r="AW166">
        <v>9</v>
      </c>
      <c r="AX166" t="s">
        <v>74</v>
      </c>
      <c r="AY166" t="s">
        <v>74</v>
      </c>
      <c r="AZ166" t="s">
        <v>74</v>
      </c>
      <c r="BA166" t="s">
        <v>74</v>
      </c>
      <c r="BB166">
        <v>1302</v>
      </c>
      <c r="BC166">
        <v>1313</v>
      </c>
      <c r="BD166" t="s">
        <v>74</v>
      </c>
      <c r="BE166" t="s">
        <v>3622</v>
      </c>
      <c r="BF166" t="str">
        <f>HYPERLINK("http://dx.doi.org/10.1134/S0001433819090512","http://dx.doi.org/10.1134/S0001433819090512")</f>
        <v>http://dx.doi.org/10.1134/S0001433819090512</v>
      </c>
      <c r="BG166" t="s">
        <v>74</v>
      </c>
      <c r="BH166" t="s">
        <v>74</v>
      </c>
      <c r="BI166">
        <v>12</v>
      </c>
      <c r="BJ166" t="s">
        <v>610</v>
      </c>
      <c r="BK166" t="s">
        <v>294</v>
      </c>
      <c r="BL166" t="s">
        <v>610</v>
      </c>
      <c r="BM166" t="s">
        <v>3588</v>
      </c>
      <c r="BN166" t="s">
        <v>74</v>
      </c>
      <c r="BO166" t="s">
        <v>74</v>
      </c>
      <c r="BP166" t="s">
        <v>74</v>
      </c>
      <c r="BQ166" t="s">
        <v>74</v>
      </c>
      <c r="BR166" t="s">
        <v>108</v>
      </c>
      <c r="BS166" t="s">
        <v>3623</v>
      </c>
      <c r="BT166" t="str">
        <f>HYPERLINK("https%3A%2F%2Fwww.webofscience.com%2Fwos%2Fwoscc%2Ffull-record%2FWOS:000530305800042","View Full Record in Web of Science")</f>
        <v>View Full Record in Web of Science</v>
      </c>
    </row>
    <row r="167" spans="1:72" x14ac:dyDescent="0.15">
      <c r="A167" t="s">
        <v>133</v>
      </c>
      <c r="B167" t="s">
        <v>3624</v>
      </c>
      <c r="C167" t="s">
        <v>74</v>
      </c>
      <c r="D167" t="s">
        <v>74</v>
      </c>
      <c r="E167" t="s">
        <v>74</v>
      </c>
      <c r="F167" t="s">
        <v>3625</v>
      </c>
      <c r="G167" t="s">
        <v>74</v>
      </c>
      <c r="H167" t="s">
        <v>74</v>
      </c>
      <c r="I167" t="s">
        <v>3626</v>
      </c>
      <c r="J167" t="s">
        <v>3627</v>
      </c>
      <c r="K167" t="s">
        <v>74</v>
      </c>
      <c r="L167" t="s">
        <v>74</v>
      </c>
      <c r="M167" t="s">
        <v>80</v>
      </c>
      <c r="N167" t="s">
        <v>138</v>
      </c>
      <c r="O167" t="s">
        <v>74</v>
      </c>
      <c r="P167" t="s">
        <v>74</v>
      </c>
      <c r="Q167" t="s">
        <v>74</v>
      </c>
      <c r="R167" t="s">
        <v>74</v>
      </c>
      <c r="S167" t="s">
        <v>74</v>
      </c>
      <c r="T167" t="s">
        <v>3628</v>
      </c>
      <c r="U167" t="s">
        <v>3629</v>
      </c>
      <c r="V167" t="s">
        <v>3630</v>
      </c>
      <c r="W167" t="s">
        <v>3631</v>
      </c>
      <c r="X167" t="s">
        <v>3632</v>
      </c>
      <c r="Y167" t="s">
        <v>3633</v>
      </c>
      <c r="Z167" t="s">
        <v>3634</v>
      </c>
      <c r="AA167" t="s">
        <v>74</v>
      </c>
      <c r="AB167" t="s">
        <v>74</v>
      </c>
      <c r="AC167" t="s">
        <v>3635</v>
      </c>
      <c r="AD167" t="s">
        <v>3636</v>
      </c>
      <c r="AE167" t="s">
        <v>3637</v>
      </c>
      <c r="AF167" t="s">
        <v>74</v>
      </c>
      <c r="AG167">
        <v>64</v>
      </c>
      <c r="AH167">
        <v>31</v>
      </c>
      <c r="AI167">
        <v>35</v>
      </c>
      <c r="AJ167">
        <v>6</v>
      </c>
      <c r="AK167">
        <v>56</v>
      </c>
      <c r="AL167" t="s">
        <v>3638</v>
      </c>
      <c r="AM167" t="s">
        <v>3542</v>
      </c>
      <c r="AN167" t="s">
        <v>3639</v>
      </c>
      <c r="AO167" t="s">
        <v>3640</v>
      </c>
      <c r="AP167" t="s">
        <v>74</v>
      </c>
      <c r="AQ167" t="s">
        <v>74</v>
      </c>
      <c r="AR167" t="s">
        <v>3641</v>
      </c>
      <c r="AS167" t="s">
        <v>3642</v>
      </c>
      <c r="AT167" t="s">
        <v>1270</v>
      </c>
      <c r="AU167">
        <v>2019</v>
      </c>
      <c r="AV167">
        <v>10</v>
      </c>
      <c r="AW167">
        <v>4</v>
      </c>
      <c r="AX167" t="s">
        <v>74</v>
      </c>
      <c r="AY167" t="s">
        <v>74</v>
      </c>
      <c r="AZ167" t="s">
        <v>74</v>
      </c>
      <c r="BA167" t="s">
        <v>74</v>
      </c>
      <c r="BB167">
        <v>203</v>
      </c>
      <c r="BC167">
        <v>213</v>
      </c>
      <c r="BD167" t="s">
        <v>74</v>
      </c>
      <c r="BE167" t="s">
        <v>3643</v>
      </c>
      <c r="BF167" t="str">
        <f>HYPERLINK("http://dx.doi.org/10.1016/j.accre.2020.03.003","http://dx.doi.org/10.1016/j.accre.2020.03.003")</f>
        <v>http://dx.doi.org/10.1016/j.accre.2020.03.003</v>
      </c>
      <c r="BG167" t="s">
        <v>74</v>
      </c>
      <c r="BH167" t="s">
        <v>74</v>
      </c>
      <c r="BI167">
        <v>11</v>
      </c>
      <c r="BJ167" t="s">
        <v>103</v>
      </c>
      <c r="BK167" t="s">
        <v>294</v>
      </c>
      <c r="BL167" t="s">
        <v>105</v>
      </c>
      <c r="BM167" t="s">
        <v>3644</v>
      </c>
      <c r="BN167" t="s">
        <v>74</v>
      </c>
      <c r="BO167" t="s">
        <v>107</v>
      </c>
      <c r="BP167" t="s">
        <v>74</v>
      </c>
      <c r="BQ167" t="s">
        <v>74</v>
      </c>
      <c r="BR167" t="s">
        <v>108</v>
      </c>
      <c r="BS167" t="s">
        <v>3645</v>
      </c>
      <c r="BT167" t="str">
        <f>HYPERLINK("https%3A%2F%2Fwww.webofscience.com%2Fwos%2Fwoscc%2Ffull-record%2FWOS:000530164000002","View Full Record in Web of Science")</f>
        <v>View Full Record in Web of Science</v>
      </c>
    </row>
    <row r="168" spans="1:72" x14ac:dyDescent="0.15">
      <c r="A168" t="s">
        <v>133</v>
      </c>
      <c r="B168" t="s">
        <v>3646</v>
      </c>
      <c r="C168" t="s">
        <v>74</v>
      </c>
      <c r="D168" t="s">
        <v>74</v>
      </c>
      <c r="E168" t="s">
        <v>74</v>
      </c>
      <c r="F168" t="s">
        <v>3647</v>
      </c>
      <c r="G168" t="s">
        <v>74</v>
      </c>
      <c r="H168" t="s">
        <v>74</v>
      </c>
      <c r="I168" t="s">
        <v>3648</v>
      </c>
      <c r="J168" t="s">
        <v>3649</v>
      </c>
      <c r="K168" t="s">
        <v>74</v>
      </c>
      <c r="L168" t="s">
        <v>74</v>
      </c>
      <c r="M168" t="s">
        <v>80</v>
      </c>
      <c r="N168" t="s">
        <v>138</v>
      </c>
      <c r="O168" t="s">
        <v>74</v>
      </c>
      <c r="P168" t="s">
        <v>74</v>
      </c>
      <c r="Q168" t="s">
        <v>74</v>
      </c>
      <c r="R168" t="s">
        <v>74</v>
      </c>
      <c r="S168" t="s">
        <v>74</v>
      </c>
      <c r="T168" t="s">
        <v>3650</v>
      </c>
      <c r="U168" t="s">
        <v>3651</v>
      </c>
      <c r="V168" t="s">
        <v>3652</v>
      </c>
      <c r="W168" t="s">
        <v>3653</v>
      </c>
      <c r="X168" t="s">
        <v>3654</v>
      </c>
      <c r="Y168" t="s">
        <v>3655</v>
      </c>
      <c r="Z168" t="s">
        <v>3656</v>
      </c>
      <c r="AA168" t="s">
        <v>74</v>
      </c>
      <c r="AB168" t="s">
        <v>3657</v>
      </c>
      <c r="AC168" t="s">
        <v>3658</v>
      </c>
      <c r="AD168" t="s">
        <v>3659</v>
      </c>
      <c r="AE168" t="s">
        <v>3660</v>
      </c>
      <c r="AF168" t="s">
        <v>74</v>
      </c>
      <c r="AG168">
        <v>51</v>
      </c>
      <c r="AH168">
        <v>1</v>
      </c>
      <c r="AI168">
        <v>2</v>
      </c>
      <c r="AJ168">
        <v>3</v>
      </c>
      <c r="AK168">
        <v>7</v>
      </c>
      <c r="AL168" t="s">
        <v>605</v>
      </c>
      <c r="AM168" t="s">
        <v>606</v>
      </c>
      <c r="AN168" t="s">
        <v>629</v>
      </c>
      <c r="AO168" t="s">
        <v>3661</v>
      </c>
      <c r="AP168" t="s">
        <v>3662</v>
      </c>
      <c r="AQ168" t="s">
        <v>74</v>
      </c>
      <c r="AR168" t="s">
        <v>3663</v>
      </c>
      <c r="AS168" t="s">
        <v>3664</v>
      </c>
      <c r="AT168" t="s">
        <v>1270</v>
      </c>
      <c r="AU168">
        <v>2019</v>
      </c>
      <c r="AV168">
        <v>60</v>
      </c>
      <c r="AW168">
        <v>80</v>
      </c>
      <c r="AX168" t="s">
        <v>74</v>
      </c>
      <c r="AY168" t="s">
        <v>74</v>
      </c>
      <c r="AZ168" t="s">
        <v>74</v>
      </c>
      <c r="BA168" t="s">
        <v>74</v>
      </c>
      <c r="BB168">
        <v>14</v>
      </c>
      <c r="BC168">
        <v>20</v>
      </c>
      <c r="BD168" t="s">
        <v>74</v>
      </c>
      <c r="BE168" t="s">
        <v>3665</v>
      </c>
      <c r="BF168" t="str">
        <f>HYPERLINK("http://dx.doi.org/10.1017/aog.2019.44","http://dx.doi.org/10.1017/aog.2019.44")</f>
        <v>http://dx.doi.org/10.1017/aog.2019.44</v>
      </c>
      <c r="BG168" t="s">
        <v>74</v>
      </c>
      <c r="BH168" t="s">
        <v>74</v>
      </c>
      <c r="BI168">
        <v>7</v>
      </c>
      <c r="BJ168" t="s">
        <v>462</v>
      </c>
      <c r="BK168" t="s">
        <v>294</v>
      </c>
      <c r="BL168" t="s">
        <v>463</v>
      </c>
      <c r="BM168" t="s">
        <v>3666</v>
      </c>
      <c r="BN168" t="s">
        <v>74</v>
      </c>
      <c r="BO168" t="s">
        <v>107</v>
      </c>
      <c r="BP168" t="s">
        <v>74</v>
      </c>
      <c r="BQ168" t="s">
        <v>74</v>
      </c>
      <c r="BR168" t="s">
        <v>108</v>
      </c>
      <c r="BS168" t="s">
        <v>3667</v>
      </c>
      <c r="BT168" t="str">
        <f>HYPERLINK("https%3A%2F%2Fwww.webofscience.com%2Fwos%2Fwoscc%2Ffull-record%2FWOS:000521622400003","View Full Record in Web of Science")</f>
        <v>View Full Record in Web of Science</v>
      </c>
    </row>
    <row r="169" spans="1:72" x14ac:dyDescent="0.15">
      <c r="A169" t="s">
        <v>133</v>
      </c>
      <c r="B169" t="s">
        <v>3668</v>
      </c>
      <c r="C169" t="s">
        <v>74</v>
      </c>
      <c r="D169" t="s">
        <v>74</v>
      </c>
      <c r="E169" t="s">
        <v>74</v>
      </c>
      <c r="F169" t="s">
        <v>3669</v>
      </c>
      <c r="G169" t="s">
        <v>74</v>
      </c>
      <c r="H169" t="s">
        <v>74</v>
      </c>
      <c r="I169" t="s">
        <v>3670</v>
      </c>
      <c r="J169" t="s">
        <v>3649</v>
      </c>
      <c r="K169" t="s">
        <v>74</v>
      </c>
      <c r="L169" t="s">
        <v>74</v>
      </c>
      <c r="M169" t="s">
        <v>80</v>
      </c>
      <c r="N169" t="s">
        <v>138</v>
      </c>
      <c r="O169" t="s">
        <v>74</v>
      </c>
      <c r="P169" t="s">
        <v>74</v>
      </c>
      <c r="Q169" t="s">
        <v>74</v>
      </c>
      <c r="R169" t="s">
        <v>74</v>
      </c>
      <c r="S169" t="s">
        <v>74</v>
      </c>
      <c r="T169" t="s">
        <v>3671</v>
      </c>
      <c r="U169" t="s">
        <v>3672</v>
      </c>
      <c r="V169" t="s">
        <v>3673</v>
      </c>
      <c r="W169" t="s">
        <v>3674</v>
      </c>
      <c r="X169" t="s">
        <v>3675</v>
      </c>
      <c r="Y169" t="s">
        <v>3676</v>
      </c>
      <c r="Z169" t="s">
        <v>3677</v>
      </c>
      <c r="AA169" t="s">
        <v>3678</v>
      </c>
      <c r="AB169" t="s">
        <v>3679</v>
      </c>
      <c r="AC169" t="s">
        <v>3680</v>
      </c>
      <c r="AD169" t="s">
        <v>3681</v>
      </c>
      <c r="AE169" t="s">
        <v>3682</v>
      </c>
      <c r="AF169" t="s">
        <v>74</v>
      </c>
      <c r="AG169">
        <v>57</v>
      </c>
      <c r="AH169">
        <v>11</v>
      </c>
      <c r="AI169">
        <v>11</v>
      </c>
      <c r="AJ169">
        <v>0</v>
      </c>
      <c r="AK169">
        <v>2</v>
      </c>
      <c r="AL169" t="s">
        <v>605</v>
      </c>
      <c r="AM169" t="s">
        <v>606</v>
      </c>
      <c r="AN169" t="s">
        <v>629</v>
      </c>
      <c r="AO169" t="s">
        <v>3661</v>
      </c>
      <c r="AP169" t="s">
        <v>3662</v>
      </c>
      <c r="AQ169" t="s">
        <v>74</v>
      </c>
      <c r="AR169" t="s">
        <v>3663</v>
      </c>
      <c r="AS169" t="s">
        <v>3664</v>
      </c>
      <c r="AT169" t="s">
        <v>1270</v>
      </c>
      <c r="AU169">
        <v>2019</v>
      </c>
      <c r="AV169">
        <v>60</v>
      </c>
      <c r="AW169">
        <v>80</v>
      </c>
      <c r="AX169" t="s">
        <v>74</v>
      </c>
      <c r="AY169" t="s">
        <v>74</v>
      </c>
      <c r="AZ169" t="s">
        <v>74</v>
      </c>
      <c r="BA169" t="s">
        <v>74</v>
      </c>
      <c r="BB169">
        <v>82</v>
      </c>
      <c r="BC169">
        <v>90</v>
      </c>
      <c r="BD169" t="s">
        <v>74</v>
      </c>
      <c r="BE169" t="s">
        <v>3683</v>
      </c>
      <c r="BF169" t="str">
        <f>HYPERLINK("http://dx.doi.org/10.1017/aog.2019.32","http://dx.doi.org/10.1017/aog.2019.32")</f>
        <v>http://dx.doi.org/10.1017/aog.2019.32</v>
      </c>
      <c r="BG169" t="s">
        <v>74</v>
      </c>
      <c r="BH169" t="s">
        <v>74</v>
      </c>
      <c r="BI169">
        <v>9</v>
      </c>
      <c r="BJ169" t="s">
        <v>462</v>
      </c>
      <c r="BK169" t="s">
        <v>294</v>
      </c>
      <c r="BL169" t="s">
        <v>463</v>
      </c>
      <c r="BM169" t="s">
        <v>3666</v>
      </c>
      <c r="BN169" t="s">
        <v>74</v>
      </c>
      <c r="BO169" t="s">
        <v>107</v>
      </c>
      <c r="BP169" t="s">
        <v>74</v>
      </c>
      <c r="BQ169" t="s">
        <v>74</v>
      </c>
      <c r="BR169" t="s">
        <v>108</v>
      </c>
      <c r="BS169" t="s">
        <v>3684</v>
      </c>
      <c r="BT169" t="str">
        <f>HYPERLINK("https%3A%2F%2Fwww.webofscience.com%2Fwos%2Fwoscc%2Ffull-record%2FWOS:000521622400010","View Full Record in Web of Science")</f>
        <v>View Full Record in Web of Science</v>
      </c>
    </row>
    <row r="170" spans="1:72" x14ac:dyDescent="0.15">
      <c r="A170" t="s">
        <v>133</v>
      </c>
      <c r="B170" t="s">
        <v>3685</v>
      </c>
      <c r="C170" t="s">
        <v>74</v>
      </c>
      <c r="D170" t="s">
        <v>74</v>
      </c>
      <c r="E170" t="s">
        <v>74</v>
      </c>
      <c r="F170" t="s">
        <v>3686</v>
      </c>
      <c r="G170" t="s">
        <v>74</v>
      </c>
      <c r="H170" t="s">
        <v>74</v>
      </c>
      <c r="I170" t="s">
        <v>3687</v>
      </c>
      <c r="J170" t="s">
        <v>3574</v>
      </c>
      <c r="K170" t="s">
        <v>74</v>
      </c>
      <c r="L170" t="s">
        <v>74</v>
      </c>
      <c r="M170" t="s">
        <v>80</v>
      </c>
      <c r="N170" t="s">
        <v>138</v>
      </c>
      <c r="O170" t="s">
        <v>74</v>
      </c>
      <c r="P170" t="s">
        <v>74</v>
      </c>
      <c r="Q170" t="s">
        <v>74</v>
      </c>
      <c r="R170" t="s">
        <v>74</v>
      </c>
      <c r="S170" t="s">
        <v>74</v>
      </c>
      <c r="T170" t="s">
        <v>3688</v>
      </c>
      <c r="U170" t="s">
        <v>3689</v>
      </c>
      <c r="V170" t="s">
        <v>3690</v>
      </c>
      <c r="W170" t="s">
        <v>3691</v>
      </c>
      <c r="X170" t="s">
        <v>3692</v>
      </c>
      <c r="Y170" t="s">
        <v>3693</v>
      </c>
      <c r="Z170" t="s">
        <v>3694</v>
      </c>
      <c r="AA170" t="s">
        <v>3695</v>
      </c>
      <c r="AB170" t="s">
        <v>74</v>
      </c>
      <c r="AC170" t="s">
        <v>3696</v>
      </c>
      <c r="AD170" t="s">
        <v>149</v>
      </c>
      <c r="AE170" t="s">
        <v>3697</v>
      </c>
      <c r="AF170" t="s">
        <v>74</v>
      </c>
      <c r="AG170">
        <v>59</v>
      </c>
      <c r="AH170">
        <v>1</v>
      </c>
      <c r="AI170">
        <v>1</v>
      </c>
      <c r="AJ170">
        <v>0</v>
      </c>
      <c r="AK170">
        <v>6</v>
      </c>
      <c r="AL170" t="s">
        <v>3581</v>
      </c>
      <c r="AM170" t="s">
        <v>1965</v>
      </c>
      <c r="AN170" t="s">
        <v>3582</v>
      </c>
      <c r="AO170" t="s">
        <v>3583</v>
      </c>
      <c r="AP170" t="s">
        <v>3584</v>
      </c>
      <c r="AQ170" t="s">
        <v>74</v>
      </c>
      <c r="AR170" t="s">
        <v>3585</v>
      </c>
      <c r="AS170" t="s">
        <v>3586</v>
      </c>
      <c r="AT170" t="s">
        <v>1270</v>
      </c>
      <c r="AU170">
        <v>2019</v>
      </c>
      <c r="AV170">
        <v>55</v>
      </c>
      <c r="AW170">
        <v>11</v>
      </c>
      <c r="AX170" t="s">
        <v>74</v>
      </c>
      <c r="AY170" t="s">
        <v>74</v>
      </c>
      <c r="AZ170" t="s">
        <v>74</v>
      </c>
      <c r="BA170" t="s">
        <v>74</v>
      </c>
      <c r="BB170">
        <v>1766</v>
      </c>
      <c r="BC170">
        <v>1773</v>
      </c>
      <c r="BD170" t="s">
        <v>74</v>
      </c>
      <c r="BE170" t="s">
        <v>3698</v>
      </c>
      <c r="BF170" t="str">
        <f>HYPERLINK("http://dx.doi.org/10.1134/S0001433819110057","http://dx.doi.org/10.1134/S0001433819110057")</f>
        <v>http://dx.doi.org/10.1134/S0001433819110057</v>
      </c>
      <c r="BG170" t="s">
        <v>74</v>
      </c>
      <c r="BH170" t="s">
        <v>74</v>
      </c>
      <c r="BI170">
        <v>8</v>
      </c>
      <c r="BJ170" t="s">
        <v>610</v>
      </c>
      <c r="BK170" t="s">
        <v>294</v>
      </c>
      <c r="BL170" t="s">
        <v>610</v>
      </c>
      <c r="BM170" t="s">
        <v>3699</v>
      </c>
      <c r="BN170" t="s">
        <v>74</v>
      </c>
      <c r="BO170" t="s">
        <v>74</v>
      </c>
      <c r="BP170" t="s">
        <v>74</v>
      </c>
      <c r="BQ170" t="s">
        <v>74</v>
      </c>
      <c r="BR170" t="s">
        <v>108</v>
      </c>
      <c r="BS170" t="s">
        <v>3700</v>
      </c>
      <c r="BT170" t="str">
        <f>HYPERLINK("https%3A%2F%2Fwww.webofscience.com%2Fwos%2Fwoscc%2Ffull-record%2FWOS:000519350800017","View Full Record in Web of Science")</f>
        <v>View Full Record in Web of Science</v>
      </c>
    </row>
    <row r="171" spans="1:72" x14ac:dyDescent="0.15">
      <c r="A171" t="s">
        <v>133</v>
      </c>
      <c r="B171" t="s">
        <v>3701</v>
      </c>
      <c r="C171" t="s">
        <v>74</v>
      </c>
      <c r="D171" t="s">
        <v>74</v>
      </c>
      <c r="E171" t="s">
        <v>74</v>
      </c>
      <c r="F171" t="s">
        <v>3702</v>
      </c>
      <c r="G171" t="s">
        <v>74</v>
      </c>
      <c r="H171" t="s">
        <v>74</v>
      </c>
      <c r="I171" t="s">
        <v>3703</v>
      </c>
      <c r="J171" t="s">
        <v>3704</v>
      </c>
      <c r="K171" t="s">
        <v>74</v>
      </c>
      <c r="L171" t="s">
        <v>74</v>
      </c>
      <c r="M171" t="s">
        <v>80</v>
      </c>
      <c r="N171" t="s">
        <v>138</v>
      </c>
      <c r="O171" t="s">
        <v>74</v>
      </c>
      <c r="P171" t="s">
        <v>74</v>
      </c>
      <c r="Q171" t="s">
        <v>74</v>
      </c>
      <c r="R171" t="s">
        <v>74</v>
      </c>
      <c r="S171" t="s">
        <v>74</v>
      </c>
      <c r="T171" t="s">
        <v>3705</v>
      </c>
      <c r="U171" t="s">
        <v>3706</v>
      </c>
      <c r="V171" t="s">
        <v>3707</v>
      </c>
      <c r="W171" t="s">
        <v>3708</v>
      </c>
      <c r="X171" t="s">
        <v>3709</v>
      </c>
      <c r="Y171" t="s">
        <v>3710</v>
      </c>
      <c r="Z171" t="s">
        <v>3711</v>
      </c>
      <c r="AA171" t="s">
        <v>3712</v>
      </c>
      <c r="AB171" t="s">
        <v>3713</v>
      </c>
      <c r="AC171" t="s">
        <v>3714</v>
      </c>
      <c r="AD171" t="s">
        <v>3715</v>
      </c>
      <c r="AE171" t="s">
        <v>3716</v>
      </c>
      <c r="AF171" t="s">
        <v>74</v>
      </c>
      <c r="AG171">
        <v>10</v>
      </c>
      <c r="AH171">
        <v>1</v>
      </c>
      <c r="AI171">
        <v>1</v>
      </c>
      <c r="AJ171">
        <v>0</v>
      </c>
      <c r="AK171">
        <v>3</v>
      </c>
      <c r="AL171" t="s">
        <v>3717</v>
      </c>
      <c r="AM171" t="s">
        <v>3718</v>
      </c>
      <c r="AN171" t="s">
        <v>3719</v>
      </c>
      <c r="AO171" t="s">
        <v>3720</v>
      </c>
      <c r="AP171" t="s">
        <v>3721</v>
      </c>
      <c r="AQ171" t="s">
        <v>74</v>
      </c>
      <c r="AR171" t="s">
        <v>3722</v>
      </c>
      <c r="AS171" t="s">
        <v>3723</v>
      </c>
      <c r="AT171" t="s">
        <v>1270</v>
      </c>
      <c r="AU171">
        <v>2019</v>
      </c>
      <c r="AV171">
        <v>53</v>
      </c>
      <c r="AW171">
        <v>9</v>
      </c>
      <c r="AX171" t="s">
        <v>74</v>
      </c>
      <c r="AY171" t="s">
        <v>74</v>
      </c>
      <c r="AZ171" t="s">
        <v>74</v>
      </c>
      <c r="BA171" t="s">
        <v>74</v>
      </c>
      <c r="BB171">
        <v>894</v>
      </c>
      <c r="BC171">
        <v>898</v>
      </c>
      <c r="BD171" t="s">
        <v>74</v>
      </c>
      <c r="BE171" t="s">
        <v>3724</v>
      </c>
      <c r="BF171" t="str">
        <f>HYPERLINK("http://dx.doi.org/10.1134/S0031030119090119","http://dx.doi.org/10.1134/S0031030119090119")</f>
        <v>http://dx.doi.org/10.1134/S0031030119090119</v>
      </c>
      <c r="BG171" t="s">
        <v>74</v>
      </c>
      <c r="BH171" t="s">
        <v>74</v>
      </c>
      <c r="BI171">
        <v>5</v>
      </c>
      <c r="BJ171" t="s">
        <v>3501</v>
      </c>
      <c r="BK171" t="s">
        <v>294</v>
      </c>
      <c r="BL171" t="s">
        <v>3501</v>
      </c>
      <c r="BM171" t="s">
        <v>3725</v>
      </c>
      <c r="BN171" t="s">
        <v>74</v>
      </c>
      <c r="BO171" t="s">
        <v>74</v>
      </c>
      <c r="BP171" t="s">
        <v>74</v>
      </c>
      <c r="BQ171" t="s">
        <v>74</v>
      </c>
      <c r="BR171" t="s">
        <v>108</v>
      </c>
      <c r="BS171" t="s">
        <v>3726</v>
      </c>
      <c r="BT171" t="str">
        <f>HYPERLINK("https%3A%2F%2Fwww.webofscience.com%2Fwos%2Fwoscc%2Ffull-record%2FWOS:000519448700004","View Full Record in Web of Science")</f>
        <v>View Full Record in Web of Science</v>
      </c>
    </row>
    <row r="172" spans="1:72" x14ac:dyDescent="0.15">
      <c r="A172" t="s">
        <v>133</v>
      </c>
      <c r="B172" t="s">
        <v>3727</v>
      </c>
      <c r="C172" t="s">
        <v>74</v>
      </c>
      <c r="D172" t="s">
        <v>74</v>
      </c>
      <c r="E172" t="s">
        <v>74</v>
      </c>
      <c r="F172" t="s">
        <v>3728</v>
      </c>
      <c r="G172" t="s">
        <v>74</v>
      </c>
      <c r="H172" t="s">
        <v>74</v>
      </c>
      <c r="I172" t="s">
        <v>3729</v>
      </c>
      <c r="J172" t="s">
        <v>3730</v>
      </c>
      <c r="K172" t="s">
        <v>74</v>
      </c>
      <c r="L172" t="s">
        <v>74</v>
      </c>
      <c r="M172" t="s">
        <v>80</v>
      </c>
      <c r="N172" t="s">
        <v>138</v>
      </c>
      <c r="O172" t="s">
        <v>74</v>
      </c>
      <c r="P172" t="s">
        <v>74</v>
      </c>
      <c r="Q172" t="s">
        <v>74</v>
      </c>
      <c r="R172" t="s">
        <v>74</v>
      </c>
      <c r="S172" t="s">
        <v>74</v>
      </c>
      <c r="T172" t="s">
        <v>3731</v>
      </c>
      <c r="U172" t="s">
        <v>3732</v>
      </c>
      <c r="V172" t="s">
        <v>3733</v>
      </c>
      <c r="W172" t="s">
        <v>3734</v>
      </c>
      <c r="X172" t="s">
        <v>3735</v>
      </c>
      <c r="Y172" t="s">
        <v>3736</v>
      </c>
      <c r="Z172" t="s">
        <v>3737</v>
      </c>
      <c r="AA172" t="s">
        <v>3738</v>
      </c>
      <c r="AB172" t="s">
        <v>3739</v>
      </c>
      <c r="AC172" t="s">
        <v>3740</v>
      </c>
      <c r="AD172" t="s">
        <v>3741</v>
      </c>
      <c r="AE172" t="s">
        <v>3742</v>
      </c>
      <c r="AF172" t="s">
        <v>74</v>
      </c>
      <c r="AG172">
        <v>24</v>
      </c>
      <c r="AH172">
        <v>2</v>
      </c>
      <c r="AI172">
        <v>2</v>
      </c>
      <c r="AJ172">
        <v>2</v>
      </c>
      <c r="AK172">
        <v>11</v>
      </c>
      <c r="AL172" t="s">
        <v>3743</v>
      </c>
      <c r="AM172" t="s">
        <v>3744</v>
      </c>
      <c r="AN172" t="s">
        <v>3745</v>
      </c>
      <c r="AO172" t="s">
        <v>3746</v>
      </c>
      <c r="AP172" t="s">
        <v>3747</v>
      </c>
      <c r="AQ172" t="s">
        <v>74</v>
      </c>
      <c r="AR172" t="s">
        <v>3730</v>
      </c>
      <c r="AS172" t="s">
        <v>3748</v>
      </c>
      <c r="AT172" t="s">
        <v>1270</v>
      </c>
      <c r="AU172">
        <v>2019</v>
      </c>
      <c r="AV172">
        <v>107</v>
      </c>
      <c r="AW172">
        <v>3</v>
      </c>
      <c r="AX172" t="s">
        <v>74</v>
      </c>
      <c r="AY172" t="s">
        <v>74</v>
      </c>
      <c r="AZ172" t="s">
        <v>74</v>
      </c>
      <c r="BA172" t="s">
        <v>74</v>
      </c>
      <c r="BB172">
        <v>333</v>
      </c>
      <c r="BC172">
        <v>339</v>
      </c>
      <c r="BD172" t="s">
        <v>74</v>
      </c>
      <c r="BE172" t="s">
        <v>3749</v>
      </c>
      <c r="BF172" t="str">
        <f>HYPERLINK("http://dx.doi.org/10.5253/arde.v107i3.a12","http://dx.doi.org/10.5253/arde.v107i3.a12")</f>
        <v>http://dx.doi.org/10.5253/arde.v107i3.a12</v>
      </c>
      <c r="BG172" t="s">
        <v>74</v>
      </c>
      <c r="BH172" t="s">
        <v>74</v>
      </c>
      <c r="BI172">
        <v>7</v>
      </c>
      <c r="BJ172" t="s">
        <v>3568</v>
      </c>
      <c r="BK172" t="s">
        <v>294</v>
      </c>
      <c r="BL172" t="s">
        <v>1219</v>
      </c>
      <c r="BM172" t="s">
        <v>3750</v>
      </c>
      <c r="BN172" t="s">
        <v>74</v>
      </c>
      <c r="BO172" t="s">
        <v>1026</v>
      </c>
      <c r="BP172" t="s">
        <v>74</v>
      </c>
      <c r="BQ172" t="s">
        <v>74</v>
      </c>
      <c r="BR172" t="s">
        <v>108</v>
      </c>
      <c r="BS172" t="s">
        <v>3751</v>
      </c>
      <c r="BT172" t="str">
        <f>HYPERLINK("https%3A%2F%2Fwww.webofscience.com%2Fwos%2Fwoscc%2Ffull-record%2FWOS:000518188800012","View Full Record in Web of Science")</f>
        <v>View Full Record in Web of Science</v>
      </c>
    </row>
    <row r="173" spans="1:72" x14ac:dyDescent="0.15">
      <c r="A173" t="s">
        <v>133</v>
      </c>
      <c r="B173" t="s">
        <v>3752</v>
      </c>
      <c r="C173" t="s">
        <v>74</v>
      </c>
      <c r="D173" t="s">
        <v>74</v>
      </c>
      <c r="E173" t="s">
        <v>74</v>
      </c>
      <c r="F173" t="s">
        <v>3753</v>
      </c>
      <c r="G173" t="s">
        <v>74</v>
      </c>
      <c r="H173" t="s">
        <v>74</v>
      </c>
      <c r="I173" t="s">
        <v>3754</v>
      </c>
      <c r="J173" t="s">
        <v>3755</v>
      </c>
      <c r="K173" t="s">
        <v>74</v>
      </c>
      <c r="L173" t="s">
        <v>74</v>
      </c>
      <c r="M173" t="s">
        <v>80</v>
      </c>
      <c r="N173" t="s">
        <v>138</v>
      </c>
      <c r="O173" t="s">
        <v>74</v>
      </c>
      <c r="P173" t="s">
        <v>74</v>
      </c>
      <c r="Q173" t="s">
        <v>74</v>
      </c>
      <c r="R173" t="s">
        <v>74</v>
      </c>
      <c r="S173" t="s">
        <v>74</v>
      </c>
      <c r="T173" t="s">
        <v>3756</v>
      </c>
      <c r="U173" t="s">
        <v>3757</v>
      </c>
      <c r="V173" t="s">
        <v>3758</v>
      </c>
      <c r="W173" t="s">
        <v>3759</v>
      </c>
      <c r="X173" t="s">
        <v>3760</v>
      </c>
      <c r="Y173" t="s">
        <v>3761</v>
      </c>
      <c r="Z173" t="s">
        <v>3762</v>
      </c>
      <c r="AA173" t="s">
        <v>3763</v>
      </c>
      <c r="AB173" t="s">
        <v>3764</v>
      </c>
      <c r="AC173" t="s">
        <v>3765</v>
      </c>
      <c r="AD173" t="s">
        <v>3766</v>
      </c>
      <c r="AE173" t="s">
        <v>3767</v>
      </c>
      <c r="AF173" t="s">
        <v>74</v>
      </c>
      <c r="AG173">
        <v>42</v>
      </c>
      <c r="AH173">
        <v>32</v>
      </c>
      <c r="AI173">
        <v>34</v>
      </c>
      <c r="AJ173">
        <v>9</v>
      </c>
      <c r="AK173">
        <v>62</v>
      </c>
      <c r="AL173" t="s">
        <v>3768</v>
      </c>
      <c r="AM173" t="s">
        <v>97</v>
      </c>
      <c r="AN173" t="s">
        <v>3769</v>
      </c>
      <c r="AO173" t="s">
        <v>3770</v>
      </c>
      <c r="AP173" t="s">
        <v>74</v>
      </c>
      <c r="AQ173" t="s">
        <v>74</v>
      </c>
      <c r="AR173" t="s">
        <v>3771</v>
      </c>
      <c r="AS173" t="s">
        <v>3772</v>
      </c>
      <c r="AT173" t="s">
        <v>1270</v>
      </c>
      <c r="AU173">
        <v>2019</v>
      </c>
      <c r="AV173">
        <v>14</v>
      </c>
      <c r="AW173">
        <v>12</v>
      </c>
      <c r="AX173" t="s">
        <v>74</v>
      </c>
      <c r="AY173" t="s">
        <v>74</v>
      </c>
      <c r="AZ173" t="s">
        <v>74</v>
      </c>
      <c r="BA173" t="s">
        <v>74</v>
      </c>
      <c r="BB173" t="s">
        <v>74</v>
      </c>
      <c r="BC173" t="s">
        <v>74</v>
      </c>
      <c r="BD173">
        <v>124041</v>
      </c>
      <c r="BE173" t="s">
        <v>3773</v>
      </c>
      <c r="BF173" t="str">
        <f>HYPERLINK("http://dx.doi.org/10.1088/1748-9326/ab4874","http://dx.doi.org/10.1088/1748-9326/ab4874")</f>
        <v>http://dx.doi.org/10.1088/1748-9326/ab4874</v>
      </c>
      <c r="BG173" t="s">
        <v>74</v>
      </c>
      <c r="BH173" t="s">
        <v>74</v>
      </c>
      <c r="BI173">
        <v>10</v>
      </c>
      <c r="BJ173" t="s">
        <v>103</v>
      </c>
      <c r="BK173" t="s">
        <v>294</v>
      </c>
      <c r="BL173" t="s">
        <v>105</v>
      </c>
      <c r="BM173" t="s">
        <v>3774</v>
      </c>
      <c r="BN173" t="s">
        <v>74</v>
      </c>
      <c r="BO173" t="s">
        <v>107</v>
      </c>
      <c r="BP173" t="s">
        <v>74</v>
      </c>
      <c r="BQ173" t="s">
        <v>74</v>
      </c>
      <c r="BR173" t="s">
        <v>108</v>
      </c>
      <c r="BS173" t="s">
        <v>3775</v>
      </c>
      <c r="BT173" t="str">
        <f>HYPERLINK("https%3A%2F%2Fwww.webofscience.com%2Fwos%2Fwoscc%2Ffull-record%2FWOS:000514833200016","View Full Record in Web of Science")</f>
        <v>View Full Record in Web of Science</v>
      </c>
    </row>
    <row r="174" spans="1:72" x14ac:dyDescent="0.15">
      <c r="A174" t="s">
        <v>133</v>
      </c>
      <c r="B174" t="s">
        <v>3776</v>
      </c>
      <c r="C174" t="s">
        <v>74</v>
      </c>
      <c r="D174" t="s">
        <v>74</v>
      </c>
      <c r="E174" t="s">
        <v>74</v>
      </c>
      <c r="F174" t="s">
        <v>3777</v>
      </c>
      <c r="G174" t="s">
        <v>74</v>
      </c>
      <c r="H174" t="s">
        <v>74</v>
      </c>
      <c r="I174" t="s">
        <v>3778</v>
      </c>
      <c r="J174" t="s">
        <v>3398</v>
      </c>
      <c r="K174" t="s">
        <v>74</v>
      </c>
      <c r="L174" t="s">
        <v>74</v>
      </c>
      <c r="M174" t="s">
        <v>80</v>
      </c>
      <c r="N174" t="s">
        <v>138</v>
      </c>
      <c r="O174" t="s">
        <v>74</v>
      </c>
      <c r="P174" t="s">
        <v>74</v>
      </c>
      <c r="Q174" t="s">
        <v>74</v>
      </c>
      <c r="R174" t="s">
        <v>74</v>
      </c>
      <c r="S174" t="s">
        <v>74</v>
      </c>
      <c r="T174" t="s">
        <v>3779</v>
      </c>
      <c r="U174" t="s">
        <v>3780</v>
      </c>
      <c r="V174" t="s">
        <v>3781</v>
      </c>
      <c r="W174" t="s">
        <v>3782</v>
      </c>
      <c r="X174" t="s">
        <v>3783</v>
      </c>
      <c r="Y174" t="s">
        <v>3784</v>
      </c>
      <c r="Z174" t="s">
        <v>3785</v>
      </c>
      <c r="AA174" t="s">
        <v>3786</v>
      </c>
      <c r="AB174" t="s">
        <v>3787</v>
      </c>
      <c r="AC174" t="s">
        <v>3788</v>
      </c>
      <c r="AD174" t="s">
        <v>3789</v>
      </c>
      <c r="AE174" t="s">
        <v>3790</v>
      </c>
      <c r="AF174" t="s">
        <v>74</v>
      </c>
      <c r="AG174">
        <v>49</v>
      </c>
      <c r="AH174">
        <v>50</v>
      </c>
      <c r="AI174">
        <v>52</v>
      </c>
      <c r="AJ174">
        <v>0</v>
      </c>
      <c r="AK174">
        <v>10</v>
      </c>
      <c r="AL174" t="s">
        <v>683</v>
      </c>
      <c r="AM174" t="s">
        <v>684</v>
      </c>
      <c r="AN174" t="s">
        <v>685</v>
      </c>
      <c r="AO174" t="s">
        <v>74</v>
      </c>
      <c r="AP174" t="s">
        <v>3409</v>
      </c>
      <c r="AQ174" t="s">
        <v>74</v>
      </c>
      <c r="AR174" t="s">
        <v>3410</v>
      </c>
      <c r="AS174" t="s">
        <v>3411</v>
      </c>
      <c r="AT174" t="s">
        <v>1270</v>
      </c>
      <c r="AU174">
        <v>2019</v>
      </c>
      <c r="AV174">
        <v>19</v>
      </c>
      <c r="AW174">
        <v>23</v>
      </c>
      <c r="AX174" t="s">
        <v>74</v>
      </c>
      <c r="AY174" t="s">
        <v>74</v>
      </c>
      <c r="AZ174" t="s">
        <v>74</v>
      </c>
      <c r="BA174" t="s">
        <v>74</v>
      </c>
      <c r="BB174" t="s">
        <v>74</v>
      </c>
      <c r="BC174" t="s">
        <v>74</v>
      </c>
      <c r="BD174">
        <v>5219</v>
      </c>
      <c r="BE174" t="s">
        <v>3791</v>
      </c>
      <c r="BF174" t="str">
        <f>HYPERLINK("http://dx.doi.org/10.3390/s19235219","http://dx.doi.org/10.3390/s19235219")</f>
        <v>http://dx.doi.org/10.3390/s19235219</v>
      </c>
      <c r="BG174" t="s">
        <v>74</v>
      </c>
      <c r="BH174" t="s">
        <v>74</v>
      </c>
      <c r="BI174">
        <v>16</v>
      </c>
      <c r="BJ174" t="s">
        <v>3413</v>
      </c>
      <c r="BK174" t="s">
        <v>294</v>
      </c>
      <c r="BL174" t="s">
        <v>3414</v>
      </c>
      <c r="BM174" t="s">
        <v>3792</v>
      </c>
      <c r="BN174">
        <v>31795093</v>
      </c>
      <c r="BO174" t="s">
        <v>693</v>
      </c>
      <c r="BP174" t="s">
        <v>74</v>
      </c>
      <c r="BQ174" t="s">
        <v>74</v>
      </c>
      <c r="BR174" t="s">
        <v>108</v>
      </c>
      <c r="BS174" t="s">
        <v>3793</v>
      </c>
      <c r="BT174" t="str">
        <f>HYPERLINK("https%3A%2F%2Fwww.webofscience.com%2Fwos%2Fwoscc%2Ffull-record%2FWOS:000507606200162","View Full Record in Web of Science")</f>
        <v>View Full Record in Web of Science</v>
      </c>
    </row>
    <row r="175" spans="1:72" x14ac:dyDescent="0.15">
      <c r="A175" t="s">
        <v>133</v>
      </c>
      <c r="B175" t="s">
        <v>3794</v>
      </c>
      <c r="C175" t="s">
        <v>74</v>
      </c>
      <c r="D175" t="s">
        <v>74</v>
      </c>
      <c r="E175" t="s">
        <v>74</v>
      </c>
      <c r="F175" t="s">
        <v>3795</v>
      </c>
      <c r="G175" t="s">
        <v>74</v>
      </c>
      <c r="H175" t="s">
        <v>74</v>
      </c>
      <c r="I175" t="s">
        <v>3796</v>
      </c>
      <c r="J175" t="s">
        <v>566</v>
      </c>
      <c r="K175" t="s">
        <v>74</v>
      </c>
      <c r="L175" t="s">
        <v>74</v>
      </c>
      <c r="M175" t="s">
        <v>80</v>
      </c>
      <c r="N175" t="s">
        <v>930</v>
      </c>
      <c r="O175" t="s">
        <v>74</v>
      </c>
      <c r="P175" t="s">
        <v>74</v>
      </c>
      <c r="Q175" t="s">
        <v>74</v>
      </c>
      <c r="R175" t="s">
        <v>74</v>
      </c>
      <c r="S175" t="s">
        <v>74</v>
      </c>
      <c r="T175" t="s">
        <v>3797</v>
      </c>
      <c r="U175" t="s">
        <v>74</v>
      </c>
      <c r="V175" t="s">
        <v>3798</v>
      </c>
      <c r="W175" t="s">
        <v>3799</v>
      </c>
      <c r="X175" t="s">
        <v>3800</v>
      </c>
      <c r="Y175" t="s">
        <v>3801</v>
      </c>
      <c r="Z175" t="s">
        <v>3802</v>
      </c>
      <c r="AA175" t="s">
        <v>3803</v>
      </c>
      <c r="AB175" t="s">
        <v>3804</v>
      </c>
      <c r="AC175" t="s">
        <v>74</v>
      </c>
      <c r="AD175" t="s">
        <v>74</v>
      </c>
      <c r="AE175" t="s">
        <v>74</v>
      </c>
      <c r="AF175" t="s">
        <v>74</v>
      </c>
      <c r="AG175">
        <v>40</v>
      </c>
      <c r="AH175">
        <v>11</v>
      </c>
      <c r="AI175">
        <v>11</v>
      </c>
      <c r="AJ175">
        <v>2</v>
      </c>
      <c r="AK175">
        <v>9</v>
      </c>
      <c r="AL175" t="s">
        <v>578</v>
      </c>
      <c r="AM175" t="s">
        <v>380</v>
      </c>
      <c r="AN175" t="s">
        <v>579</v>
      </c>
      <c r="AO175" t="s">
        <v>580</v>
      </c>
      <c r="AP175" t="s">
        <v>581</v>
      </c>
      <c r="AQ175" t="s">
        <v>74</v>
      </c>
      <c r="AR175" t="s">
        <v>582</v>
      </c>
      <c r="AS175" t="s">
        <v>583</v>
      </c>
      <c r="AT175" t="s">
        <v>1270</v>
      </c>
      <c r="AU175">
        <v>2019</v>
      </c>
      <c r="AV175">
        <v>76</v>
      </c>
      <c r="AW175">
        <v>7</v>
      </c>
      <c r="AX175" t="s">
        <v>74</v>
      </c>
      <c r="AY175" t="s">
        <v>74</v>
      </c>
      <c r="AZ175" t="s">
        <v>74</v>
      </c>
      <c r="BA175" t="s">
        <v>74</v>
      </c>
      <c r="BB175">
        <v>2082</v>
      </c>
      <c r="BC175">
        <v>2089</v>
      </c>
      <c r="BD175" t="s">
        <v>74</v>
      </c>
      <c r="BE175" t="s">
        <v>3805</v>
      </c>
      <c r="BF175" t="str">
        <f>HYPERLINK("http://dx.doi.org/10.1093/icesjms/fsz088","http://dx.doi.org/10.1093/icesjms/fsz088")</f>
        <v>http://dx.doi.org/10.1093/icesjms/fsz088</v>
      </c>
      <c r="BG175" t="s">
        <v>74</v>
      </c>
      <c r="BH175" t="s">
        <v>74</v>
      </c>
      <c r="BI175">
        <v>8</v>
      </c>
      <c r="BJ175" t="s">
        <v>586</v>
      </c>
      <c r="BK175" t="s">
        <v>360</v>
      </c>
      <c r="BL175" t="s">
        <v>586</v>
      </c>
      <c r="BM175" t="s">
        <v>3806</v>
      </c>
      <c r="BN175" t="s">
        <v>74</v>
      </c>
      <c r="BO175" t="s">
        <v>74</v>
      </c>
      <c r="BP175" t="s">
        <v>74</v>
      </c>
      <c r="BQ175" t="s">
        <v>74</v>
      </c>
      <c r="BR175" t="s">
        <v>108</v>
      </c>
      <c r="BS175" t="s">
        <v>3807</v>
      </c>
      <c r="BT175" t="str">
        <f>HYPERLINK("https%3A%2F%2Fwww.webofscience.com%2Fwos%2Fwoscc%2Ffull-record%2FWOS:000509509500013","View Full Record in Web of Science")</f>
        <v>View Full Record in Web of Science</v>
      </c>
    </row>
    <row r="176" spans="1:72" x14ac:dyDescent="0.15">
      <c r="A176" t="s">
        <v>133</v>
      </c>
      <c r="B176" t="s">
        <v>3808</v>
      </c>
      <c r="C176" t="s">
        <v>74</v>
      </c>
      <c r="D176" t="s">
        <v>74</v>
      </c>
      <c r="E176" t="s">
        <v>74</v>
      </c>
      <c r="F176" t="s">
        <v>3809</v>
      </c>
      <c r="G176" t="s">
        <v>74</v>
      </c>
      <c r="H176" t="s">
        <v>74</v>
      </c>
      <c r="I176" t="s">
        <v>3810</v>
      </c>
      <c r="J176" t="s">
        <v>566</v>
      </c>
      <c r="K176" t="s">
        <v>74</v>
      </c>
      <c r="L176" t="s">
        <v>74</v>
      </c>
      <c r="M176" t="s">
        <v>80</v>
      </c>
      <c r="N176" t="s">
        <v>138</v>
      </c>
      <c r="O176" t="s">
        <v>74</v>
      </c>
      <c r="P176" t="s">
        <v>74</v>
      </c>
      <c r="Q176" t="s">
        <v>74</v>
      </c>
      <c r="R176" t="s">
        <v>74</v>
      </c>
      <c r="S176" t="s">
        <v>74</v>
      </c>
      <c r="T176" t="s">
        <v>3811</v>
      </c>
      <c r="U176" t="s">
        <v>3812</v>
      </c>
      <c r="V176" t="s">
        <v>3813</v>
      </c>
      <c r="W176" t="s">
        <v>3814</v>
      </c>
      <c r="X176" t="s">
        <v>3815</v>
      </c>
      <c r="Y176" t="s">
        <v>3816</v>
      </c>
      <c r="Z176" t="s">
        <v>3817</v>
      </c>
      <c r="AA176" t="s">
        <v>3818</v>
      </c>
      <c r="AB176" t="s">
        <v>3819</v>
      </c>
      <c r="AC176" t="s">
        <v>74</v>
      </c>
      <c r="AD176" t="s">
        <v>74</v>
      </c>
      <c r="AE176" t="s">
        <v>74</v>
      </c>
      <c r="AF176" t="s">
        <v>74</v>
      </c>
      <c r="AG176">
        <v>40</v>
      </c>
      <c r="AH176">
        <v>1</v>
      </c>
      <c r="AI176">
        <v>1</v>
      </c>
      <c r="AJ176">
        <v>0</v>
      </c>
      <c r="AK176">
        <v>7</v>
      </c>
      <c r="AL176" t="s">
        <v>578</v>
      </c>
      <c r="AM176" t="s">
        <v>380</v>
      </c>
      <c r="AN176" t="s">
        <v>579</v>
      </c>
      <c r="AO176" t="s">
        <v>580</v>
      </c>
      <c r="AP176" t="s">
        <v>581</v>
      </c>
      <c r="AQ176" t="s">
        <v>74</v>
      </c>
      <c r="AR176" t="s">
        <v>582</v>
      </c>
      <c r="AS176" t="s">
        <v>583</v>
      </c>
      <c r="AT176" t="s">
        <v>1270</v>
      </c>
      <c r="AU176">
        <v>2019</v>
      </c>
      <c r="AV176">
        <v>76</v>
      </c>
      <c r="AW176">
        <v>7</v>
      </c>
      <c r="AX176" t="s">
        <v>74</v>
      </c>
      <c r="AY176" t="s">
        <v>74</v>
      </c>
      <c r="AZ176" t="s">
        <v>74</v>
      </c>
      <c r="BA176" t="s">
        <v>74</v>
      </c>
      <c r="BB176">
        <v>2318</v>
      </c>
      <c r="BC176">
        <v>2328</v>
      </c>
      <c r="BD176" t="s">
        <v>74</v>
      </c>
      <c r="BE176" t="s">
        <v>3820</v>
      </c>
      <c r="BF176" t="str">
        <f>HYPERLINK("http://dx.doi.org/10.1093/icesjms/fsz087","http://dx.doi.org/10.1093/icesjms/fsz087")</f>
        <v>http://dx.doi.org/10.1093/icesjms/fsz087</v>
      </c>
      <c r="BG176" t="s">
        <v>74</v>
      </c>
      <c r="BH176" t="s">
        <v>74</v>
      </c>
      <c r="BI176">
        <v>11</v>
      </c>
      <c r="BJ176" t="s">
        <v>586</v>
      </c>
      <c r="BK176" t="s">
        <v>294</v>
      </c>
      <c r="BL176" t="s">
        <v>586</v>
      </c>
      <c r="BM176" t="s">
        <v>3806</v>
      </c>
      <c r="BN176" t="s">
        <v>74</v>
      </c>
      <c r="BO176" t="s">
        <v>74</v>
      </c>
      <c r="BP176" t="s">
        <v>74</v>
      </c>
      <c r="BQ176" t="s">
        <v>74</v>
      </c>
      <c r="BR176" t="s">
        <v>108</v>
      </c>
      <c r="BS176" t="s">
        <v>3821</v>
      </c>
      <c r="BT176" t="str">
        <f>HYPERLINK("https%3A%2F%2Fwww.webofscience.com%2Fwos%2Fwoscc%2Ffull-record%2FWOS:000509509500033","View Full Record in Web of Science")</f>
        <v>View Full Record in Web of Science</v>
      </c>
    </row>
    <row r="177" spans="1:72" x14ac:dyDescent="0.15">
      <c r="A177" t="s">
        <v>133</v>
      </c>
      <c r="B177" t="s">
        <v>3822</v>
      </c>
      <c r="C177" t="s">
        <v>74</v>
      </c>
      <c r="D177" t="s">
        <v>74</v>
      </c>
      <c r="E177" t="s">
        <v>74</v>
      </c>
      <c r="F177" t="s">
        <v>3823</v>
      </c>
      <c r="G177" t="s">
        <v>74</v>
      </c>
      <c r="H177" t="s">
        <v>74</v>
      </c>
      <c r="I177" t="s">
        <v>3824</v>
      </c>
      <c r="J177" t="s">
        <v>566</v>
      </c>
      <c r="K177" t="s">
        <v>74</v>
      </c>
      <c r="L177" t="s">
        <v>74</v>
      </c>
      <c r="M177" t="s">
        <v>80</v>
      </c>
      <c r="N177" t="s">
        <v>138</v>
      </c>
      <c r="O177" t="s">
        <v>74</v>
      </c>
      <c r="P177" t="s">
        <v>74</v>
      </c>
      <c r="Q177" t="s">
        <v>74</v>
      </c>
      <c r="R177" t="s">
        <v>74</v>
      </c>
      <c r="S177" t="s">
        <v>74</v>
      </c>
      <c r="T177" t="s">
        <v>3825</v>
      </c>
      <c r="U177" t="s">
        <v>3826</v>
      </c>
      <c r="V177" t="s">
        <v>3827</v>
      </c>
      <c r="W177" t="s">
        <v>3828</v>
      </c>
      <c r="X177" t="s">
        <v>3829</v>
      </c>
      <c r="Y177" t="s">
        <v>3830</v>
      </c>
      <c r="Z177" t="s">
        <v>3831</v>
      </c>
      <c r="AA177" t="s">
        <v>3832</v>
      </c>
      <c r="AB177" t="s">
        <v>3833</v>
      </c>
      <c r="AC177" t="s">
        <v>3834</v>
      </c>
      <c r="AD177" t="s">
        <v>3835</v>
      </c>
      <c r="AE177" t="s">
        <v>3836</v>
      </c>
      <c r="AF177" t="s">
        <v>74</v>
      </c>
      <c r="AG177">
        <v>51</v>
      </c>
      <c r="AH177">
        <v>32</v>
      </c>
      <c r="AI177">
        <v>35</v>
      </c>
      <c r="AJ177">
        <v>2</v>
      </c>
      <c r="AK177">
        <v>24</v>
      </c>
      <c r="AL177" t="s">
        <v>578</v>
      </c>
      <c r="AM177" t="s">
        <v>380</v>
      </c>
      <c r="AN177" t="s">
        <v>579</v>
      </c>
      <c r="AO177" t="s">
        <v>580</v>
      </c>
      <c r="AP177" t="s">
        <v>581</v>
      </c>
      <c r="AQ177" t="s">
        <v>74</v>
      </c>
      <c r="AR177" t="s">
        <v>582</v>
      </c>
      <c r="AS177" t="s">
        <v>583</v>
      </c>
      <c r="AT177" t="s">
        <v>1270</v>
      </c>
      <c r="AU177">
        <v>2019</v>
      </c>
      <c r="AV177">
        <v>76</v>
      </c>
      <c r="AW177">
        <v>7</v>
      </c>
      <c r="AX177" t="s">
        <v>74</v>
      </c>
      <c r="AY177" t="s">
        <v>74</v>
      </c>
      <c r="AZ177" t="s">
        <v>74</v>
      </c>
      <c r="BA177" t="s">
        <v>74</v>
      </c>
      <c r="BB177">
        <v>2459</v>
      </c>
      <c r="BC177">
        <v>2470</v>
      </c>
      <c r="BD177" t="s">
        <v>74</v>
      </c>
      <c r="BE177" t="s">
        <v>3837</v>
      </c>
      <c r="BF177" t="str">
        <f>HYPERLINK("http://dx.doi.org/10.1093/icesjms/fsz124","http://dx.doi.org/10.1093/icesjms/fsz124")</f>
        <v>http://dx.doi.org/10.1093/icesjms/fsz124</v>
      </c>
      <c r="BG177" t="s">
        <v>74</v>
      </c>
      <c r="BH177" t="s">
        <v>74</v>
      </c>
      <c r="BI177">
        <v>12</v>
      </c>
      <c r="BJ177" t="s">
        <v>586</v>
      </c>
      <c r="BK177" t="s">
        <v>294</v>
      </c>
      <c r="BL177" t="s">
        <v>586</v>
      </c>
      <c r="BM177" t="s">
        <v>3806</v>
      </c>
      <c r="BN177" t="s">
        <v>74</v>
      </c>
      <c r="BO177" t="s">
        <v>559</v>
      </c>
      <c r="BP177" t="s">
        <v>74</v>
      </c>
      <c r="BQ177" t="s">
        <v>74</v>
      </c>
      <c r="BR177" t="s">
        <v>108</v>
      </c>
      <c r="BS177" t="s">
        <v>3838</v>
      </c>
      <c r="BT177" t="str">
        <f>HYPERLINK("https%3A%2F%2Fwww.webofscience.com%2Fwos%2Fwoscc%2Ffull-record%2FWOS:000509509500045","View Full Record in Web of Science")</f>
        <v>View Full Record in Web of Science</v>
      </c>
    </row>
    <row r="178" spans="1:72" x14ac:dyDescent="0.15">
      <c r="A178" t="s">
        <v>133</v>
      </c>
      <c r="B178" t="s">
        <v>3839</v>
      </c>
      <c r="C178" t="s">
        <v>74</v>
      </c>
      <c r="D178" t="s">
        <v>74</v>
      </c>
      <c r="E178" t="s">
        <v>74</v>
      </c>
      <c r="F178" t="s">
        <v>3840</v>
      </c>
      <c r="G178" t="s">
        <v>74</v>
      </c>
      <c r="H178" t="s">
        <v>74</v>
      </c>
      <c r="I178" t="s">
        <v>3841</v>
      </c>
      <c r="J178" t="s">
        <v>1553</v>
      </c>
      <c r="K178" t="s">
        <v>74</v>
      </c>
      <c r="L178" t="s">
        <v>74</v>
      </c>
      <c r="M178" t="s">
        <v>80</v>
      </c>
      <c r="N178" t="s">
        <v>138</v>
      </c>
      <c r="O178" t="s">
        <v>74</v>
      </c>
      <c r="P178" t="s">
        <v>74</v>
      </c>
      <c r="Q178" t="s">
        <v>74</v>
      </c>
      <c r="R178" t="s">
        <v>74</v>
      </c>
      <c r="S178" t="s">
        <v>74</v>
      </c>
      <c r="T178" t="s">
        <v>74</v>
      </c>
      <c r="U178" t="s">
        <v>3842</v>
      </c>
      <c r="V178" t="s">
        <v>3843</v>
      </c>
      <c r="W178" t="s">
        <v>3844</v>
      </c>
      <c r="X178" t="s">
        <v>3845</v>
      </c>
      <c r="Y178" t="s">
        <v>3846</v>
      </c>
      <c r="Z178" t="s">
        <v>3847</v>
      </c>
      <c r="AA178" t="s">
        <v>3848</v>
      </c>
      <c r="AB178" t="s">
        <v>74</v>
      </c>
      <c r="AC178" t="s">
        <v>3849</v>
      </c>
      <c r="AD178" t="s">
        <v>3850</v>
      </c>
      <c r="AE178" t="s">
        <v>3851</v>
      </c>
      <c r="AF178" t="s">
        <v>74</v>
      </c>
      <c r="AG178">
        <v>57</v>
      </c>
      <c r="AH178">
        <v>9</v>
      </c>
      <c r="AI178">
        <v>9</v>
      </c>
      <c r="AJ178">
        <v>2</v>
      </c>
      <c r="AK178">
        <v>8</v>
      </c>
      <c r="AL178" t="s">
        <v>1264</v>
      </c>
      <c r="AM178" t="s">
        <v>1265</v>
      </c>
      <c r="AN178" t="s">
        <v>1266</v>
      </c>
      <c r="AO178" t="s">
        <v>1566</v>
      </c>
      <c r="AP178" t="s">
        <v>1567</v>
      </c>
      <c r="AQ178" t="s">
        <v>74</v>
      </c>
      <c r="AR178" t="s">
        <v>1568</v>
      </c>
      <c r="AS178" t="s">
        <v>1569</v>
      </c>
      <c r="AT178" t="s">
        <v>1270</v>
      </c>
      <c r="AU178">
        <v>2019</v>
      </c>
      <c r="AV178">
        <v>124</v>
      </c>
      <c r="AW178">
        <v>12</v>
      </c>
      <c r="AX178" t="s">
        <v>74</v>
      </c>
      <c r="AY178" t="s">
        <v>74</v>
      </c>
      <c r="AZ178" t="s">
        <v>74</v>
      </c>
      <c r="BA178" t="s">
        <v>74</v>
      </c>
      <c r="BB178">
        <v>10230</v>
      </c>
      <c r="BC178">
        <v>10245</v>
      </c>
      <c r="BD178" t="s">
        <v>74</v>
      </c>
      <c r="BE178" t="s">
        <v>3852</v>
      </c>
      <c r="BF178" t="str">
        <f>HYPERLINK("http://dx.doi.org/10.1029/2019JA027044","http://dx.doi.org/10.1029/2019JA027044")</f>
        <v>http://dx.doi.org/10.1029/2019JA027044</v>
      </c>
      <c r="BG178" t="s">
        <v>74</v>
      </c>
      <c r="BH178" t="s">
        <v>74</v>
      </c>
      <c r="BI178">
        <v>16</v>
      </c>
      <c r="BJ178" t="s">
        <v>1571</v>
      </c>
      <c r="BK178" t="s">
        <v>294</v>
      </c>
      <c r="BL178" t="s">
        <v>1571</v>
      </c>
      <c r="BM178" t="s">
        <v>1572</v>
      </c>
      <c r="BN178" t="s">
        <v>74</v>
      </c>
      <c r="BO178" t="s">
        <v>588</v>
      </c>
      <c r="BP178" t="s">
        <v>74</v>
      </c>
      <c r="BQ178" t="s">
        <v>74</v>
      </c>
      <c r="BR178" t="s">
        <v>108</v>
      </c>
      <c r="BS178" t="s">
        <v>3853</v>
      </c>
      <c r="BT178" t="str">
        <f>HYPERLINK("https%3A%2F%2Fwww.webofscience.com%2Fwos%2Fwoscc%2Ffull-record%2FWOS:000509195700032","View Full Record in Web of Science")</f>
        <v>View Full Record in Web of Science</v>
      </c>
    </row>
    <row r="179" spans="1:72" x14ac:dyDescent="0.15">
      <c r="A179" t="s">
        <v>133</v>
      </c>
      <c r="B179" t="s">
        <v>3854</v>
      </c>
      <c r="C179" t="s">
        <v>74</v>
      </c>
      <c r="D179" t="s">
        <v>74</v>
      </c>
      <c r="E179" t="s">
        <v>74</v>
      </c>
      <c r="F179" t="s">
        <v>3855</v>
      </c>
      <c r="G179" t="s">
        <v>74</v>
      </c>
      <c r="H179" t="s">
        <v>74</v>
      </c>
      <c r="I179" t="s">
        <v>3856</v>
      </c>
      <c r="J179" t="s">
        <v>3857</v>
      </c>
      <c r="K179" t="s">
        <v>74</v>
      </c>
      <c r="L179" t="s">
        <v>74</v>
      </c>
      <c r="M179" t="s">
        <v>80</v>
      </c>
      <c r="N179" t="s">
        <v>138</v>
      </c>
      <c r="O179" t="s">
        <v>74</v>
      </c>
      <c r="P179" t="s">
        <v>74</v>
      </c>
      <c r="Q179" t="s">
        <v>74</v>
      </c>
      <c r="R179" t="s">
        <v>74</v>
      </c>
      <c r="S179" t="s">
        <v>74</v>
      </c>
      <c r="T179" t="s">
        <v>3858</v>
      </c>
      <c r="U179" t="s">
        <v>3859</v>
      </c>
      <c r="V179" t="s">
        <v>3860</v>
      </c>
      <c r="W179" t="s">
        <v>3861</v>
      </c>
      <c r="X179" t="s">
        <v>3862</v>
      </c>
      <c r="Y179" t="s">
        <v>3863</v>
      </c>
      <c r="Z179" t="s">
        <v>3864</v>
      </c>
      <c r="AA179" t="s">
        <v>3865</v>
      </c>
      <c r="AB179" t="s">
        <v>3866</v>
      </c>
      <c r="AC179" t="s">
        <v>3867</v>
      </c>
      <c r="AD179" t="s">
        <v>3868</v>
      </c>
      <c r="AE179" t="s">
        <v>3869</v>
      </c>
      <c r="AF179" t="s">
        <v>74</v>
      </c>
      <c r="AG179">
        <v>59</v>
      </c>
      <c r="AH179">
        <v>12</v>
      </c>
      <c r="AI179">
        <v>14</v>
      </c>
      <c r="AJ179">
        <v>0</v>
      </c>
      <c r="AK179">
        <v>1</v>
      </c>
      <c r="AL179" t="s">
        <v>605</v>
      </c>
      <c r="AM179" t="s">
        <v>606</v>
      </c>
      <c r="AN179" t="s">
        <v>629</v>
      </c>
      <c r="AO179" t="s">
        <v>3870</v>
      </c>
      <c r="AP179" t="s">
        <v>3871</v>
      </c>
      <c r="AQ179" t="s">
        <v>74</v>
      </c>
      <c r="AR179" t="s">
        <v>3872</v>
      </c>
      <c r="AS179" t="s">
        <v>3873</v>
      </c>
      <c r="AT179" t="s">
        <v>1270</v>
      </c>
      <c r="AU179">
        <v>2019</v>
      </c>
      <c r="AV179">
        <v>65</v>
      </c>
      <c r="AW179">
        <v>254</v>
      </c>
      <c r="AX179" t="s">
        <v>74</v>
      </c>
      <c r="AY179" t="s">
        <v>74</v>
      </c>
      <c r="AZ179" t="s">
        <v>74</v>
      </c>
      <c r="BA179" t="s">
        <v>74</v>
      </c>
      <c r="BB179">
        <v>912</v>
      </c>
      <c r="BC179">
        <v>925</v>
      </c>
      <c r="BD179" t="s">
        <v>74</v>
      </c>
      <c r="BE179" t="s">
        <v>3874</v>
      </c>
      <c r="BF179" t="str">
        <f>HYPERLINK("http://dx.doi.org/10.1017/jog.2019.64","http://dx.doi.org/10.1017/jog.2019.64")</f>
        <v>http://dx.doi.org/10.1017/jog.2019.64</v>
      </c>
      <c r="BG179" t="s">
        <v>74</v>
      </c>
      <c r="BH179" t="s">
        <v>74</v>
      </c>
      <c r="BI179">
        <v>14</v>
      </c>
      <c r="BJ179" t="s">
        <v>462</v>
      </c>
      <c r="BK179" t="s">
        <v>294</v>
      </c>
      <c r="BL179" t="s">
        <v>463</v>
      </c>
      <c r="BM179" t="s">
        <v>3875</v>
      </c>
      <c r="BN179" t="s">
        <v>74</v>
      </c>
      <c r="BO179" t="s">
        <v>2934</v>
      </c>
      <c r="BP179" t="s">
        <v>74</v>
      </c>
      <c r="BQ179" t="s">
        <v>74</v>
      </c>
      <c r="BR179" t="s">
        <v>108</v>
      </c>
      <c r="BS179" t="s">
        <v>3876</v>
      </c>
      <c r="BT179" t="str">
        <f>HYPERLINK("https%3A%2F%2Fwww.webofscience.com%2Fwos%2Fwoscc%2Ffull-record%2FWOS:000510631500004","View Full Record in Web of Science")</f>
        <v>View Full Record in Web of Science</v>
      </c>
    </row>
    <row r="180" spans="1:72" x14ac:dyDescent="0.15">
      <c r="A180" t="s">
        <v>133</v>
      </c>
      <c r="B180" t="s">
        <v>3877</v>
      </c>
      <c r="C180" t="s">
        <v>74</v>
      </c>
      <c r="D180" t="s">
        <v>74</v>
      </c>
      <c r="E180" t="s">
        <v>74</v>
      </c>
      <c r="F180" t="s">
        <v>3878</v>
      </c>
      <c r="G180" t="s">
        <v>74</v>
      </c>
      <c r="H180" t="s">
        <v>74</v>
      </c>
      <c r="I180" t="s">
        <v>3879</v>
      </c>
      <c r="J180" t="s">
        <v>3857</v>
      </c>
      <c r="K180" t="s">
        <v>74</v>
      </c>
      <c r="L180" t="s">
        <v>74</v>
      </c>
      <c r="M180" t="s">
        <v>80</v>
      </c>
      <c r="N180" t="s">
        <v>138</v>
      </c>
      <c r="O180" t="s">
        <v>74</v>
      </c>
      <c r="P180" t="s">
        <v>74</v>
      </c>
      <c r="Q180" t="s">
        <v>74</v>
      </c>
      <c r="R180" t="s">
        <v>74</v>
      </c>
      <c r="S180" t="s">
        <v>74</v>
      </c>
      <c r="T180" t="s">
        <v>3880</v>
      </c>
      <c r="U180" t="s">
        <v>3881</v>
      </c>
      <c r="V180" t="s">
        <v>3882</v>
      </c>
      <c r="W180" t="s">
        <v>3883</v>
      </c>
      <c r="X180" t="s">
        <v>3884</v>
      </c>
      <c r="Y180" t="s">
        <v>3885</v>
      </c>
      <c r="Z180" t="s">
        <v>3886</v>
      </c>
      <c r="AA180" t="s">
        <v>3887</v>
      </c>
      <c r="AB180" t="s">
        <v>3888</v>
      </c>
      <c r="AC180" t="s">
        <v>3889</v>
      </c>
      <c r="AD180" t="s">
        <v>3890</v>
      </c>
      <c r="AE180" t="s">
        <v>3891</v>
      </c>
      <c r="AF180" t="s">
        <v>74</v>
      </c>
      <c r="AG180">
        <v>52</v>
      </c>
      <c r="AH180">
        <v>8</v>
      </c>
      <c r="AI180">
        <v>9</v>
      </c>
      <c r="AJ180">
        <v>0</v>
      </c>
      <c r="AK180">
        <v>7</v>
      </c>
      <c r="AL180" t="s">
        <v>605</v>
      </c>
      <c r="AM180" t="s">
        <v>606</v>
      </c>
      <c r="AN180" t="s">
        <v>629</v>
      </c>
      <c r="AO180" t="s">
        <v>3870</v>
      </c>
      <c r="AP180" t="s">
        <v>3871</v>
      </c>
      <c r="AQ180" t="s">
        <v>74</v>
      </c>
      <c r="AR180" t="s">
        <v>3872</v>
      </c>
      <c r="AS180" t="s">
        <v>3873</v>
      </c>
      <c r="AT180" t="s">
        <v>1270</v>
      </c>
      <c r="AU180">
        <v>2019</v>
      </c>
      <c r="AV180">
        <v>65</v>
      </c>
      <c r="AW180">
        <v>254</v>
      </c>
      <c r="AX180" t="s">
        <v>74</v>
      </c>
      <c r="AY180" t="s">
        <v>74</v>
      </c>
      <c r="AZ180" t="s">
        <v>74</v>
      </c>
      <c r="BA180" t="s">
        <v>74</v>
      </c>
      <c r="BB180">
        <v>957</v>
      </c>
      <c r="BC180">
        <v>970</v>
      </c>
      <c r="BD180" t="s">
        <v>74</v>
      </c>
      <c r="BE180" t="s">
        <v>3892</v>
      </c>
      <c r="BF180" t="str">
        <f>HYPERLINK("http://dx.doi.org/10.1017/jog.2019.70","http://dx.doi.org/10.1017/jog.2019.70")</f>
        <v>http://dx.doi.org/10.1017/jog.2019.70</v>
      </c>
      <c r="BG180" t="s">
        <v>74</v>
      </c>
      <c r="BH180" t="s">
        <v>74</v>
      </c>
      <c r="BI180">
        <v>14</v>
      </c>
      <c r="BJ180" t="s">
        <v>462</v>
      </c>
      <c r="BK180" t="s">
        <v>294</v>
      </c>
      <c r="BL180" t="s">
        <v>463</v>
      </c>
      <c r="BM180" t="s">
        <v>3875</v>
      </c>
      <c r="BN180" t="s">
        <v>74</v>
      </c>
      <c r="BO180" t="s">
        <v>1354</v>
      </c>
      <c r="BP180" t="s">
        <v>74</v>
      </c>
      <c r="BQ180" t="s">
        <v>74</v>
      </c>
      <c r="BR180" t="s">
        <v>108</v>
      </c>
      <c r="BS180" t="s">
        <v>3893</v>
      </c>
      <c r="BT180" t="str">
        <f>HYPERLINK("https%3A%2F%2Fwww.webofscience.com%2Fwos%2Fwoscc%2Ffull-record%2FWOS:000510631500007","View Full Record in Web of Science")</f>
        <v>View Full Record in Web of Science</v>
      </c>
    </row>
    <row r="181" spans="1:72" x14ac:dyDescent="0.15">
      <c r="A181" t="s">
        <v>133</v>
      </c>
      <c r="B181" t="s">
        <v>3894</v>
      </c>
      <c r="C181" t="s">
        <v>74</v>
      </c>
      <c r="D181" t="s">
        <v>74</v>
      </c>
      <c r="E181" t="s">
        <v>74</v>
      </c>
      <c r="F181" t="s">
        <v>3895</v>
      </c>
      <c r="G181" t="s">
        <v>74</v>
      </c>
      <c r="H181" t="s">
        <v>74</v>
      </c>
      <c r="I181" t="s">
        <v>3896</v>
      </c>
      <c r="J181" t="s">
        <v>3420</v>
      </c>
      <c r="K181" t="s">
        <v>74</v>
      </c>
      <c r="L181" t="s">
        <v>74</v>
      </c>
      <c r="M181" t="s">
        <v>80</v>
      </c>
      <c r="N181" t="s">
        <v>138</v>
      </c>
      <c r="O181" t="s">
        <v>74</v>
      </c>
      <c r="P181" t="s">
        <v>74</v>
      </c>
      <c r="Q181" t="s">
        <v>74</v>
      </c>
      <c r="R181" t="s">
        <v>74</v>
      </c>
      <c r="S181" t="s">
        <v>74</v>
      </c>
      <c r="T181" t="s">
        <v>3897</v>
      </c>
      <c r="U181" t="s">
        <v>3898</v>
      </c>
      <c r="V181" t="s">
        <v>3899</v>
      </c>
      <c r="W181" t="s">
        <v>3900</v>
      </c>
      <c r="X181" t="s">
        <v>3901</v>
      </c>
      <c r="Y181" t="s">
        <v>3902</v>
      </c>
      <c r="Z181" t="s">
        <v>3903</v>
      </c>
      <c r="AA181" t="s">
        <v>3904</v>
      </c>
      <c r="AB181" t="s">
        <v>3905</v>
      </c>
      <c r="AC181" t="s">
        <v>3906</v>
      </c>
      <c r="AD181" t="s">
        <v>3907</v>
      </c>
      <c r="AE181" t="s">
        <v>3908</v>
      </c>
      <c r="AF181" t="s">
        <v>74</v>
      </c>
      <c r="AG181">
        <v>124</v>
      </c>
      <c r="AH181">
        <v>13</v>
      </c>
      <c r="AI181">
        <v>13</v>
      </c>
      <c r="AJ181">
        <v>0</v>
      </c>
      <c r="AK181">
        <v>7</v>
      </c>
      <c r="AL181" t="s">
        <v>683</v>
      </c>
      <c r="AM181" t="s">
        <v>684</v>
      </c>
      <c r="AN181" t="s">
        <v>685</v>
      </c>
      <c r="AO181" t="s">
        <v>74</v>
      </c>
      <c r="AP181" t="s">
        <v>3432</v>
      </c>
      <c r="AQ181" t="s">
        <v>74</v>
      </c>
      <c r="AR181" t="s">
        <v>3433</v>
      </c>
      <c r="AS181" t="s">
        <v>3434</v>
      </c>
      <c r="AT181" t="s">
        <v>3909</v>
      </c>
      <c r="AU181">
        <v>2019</v>
      </c>
      <c r="AV181">
        <v>11</v>
      </c>
      <c r="AW181">
        <v>23</v>
      </c>
      <c r="AX181" t="s">
        <v>74</v>
      </c>
      <c r="AY181" t="s">
        <v>74</v>
      </c>
      <c r="AZ181" t="s">
        <v>74</v>
      </c>
      <c r="BA181" t="s">
        <v>74</v>
      </c>
      <c r="BB181" t="s">
        <v>74</v>
      </c>
      <c r="BC181" t="s">
        <v>74</v>
      </c>
      <c r="BD181">
        <v>2860</v>
      </c>
      <c r="BE181" t="s">
        <v>3910</v>
      </c>
      <c r="BF181" t="str">
        <f>HYPERLINK("http://dx.doi.org/10.3390/rs11232860","http://dx.doi.org/10.3390/rs11232860")</f>
        <v>http://dx.doi.org/10.3390/rs11232860</v>
      </c>
      <c r="BG181" t="s">
        <v>74</v>
      </c>
      <c r="BH181" t="s">
        <v>74</v>
      </c>
      <c r="BI181">
        <v>35</v>
      </c>
      <c r="BJ181" t="s">
        <v>3436</v>
      </c>
      <c r="BK181" t="s">
        <v>294</v>
      </c>
      <c r="BL181" t="s">
        <v>3437</v>
      </c>
      <c r="BM181" t="s">
        <v>3911</v>
      </c>
      <c r="BN181" t="s">
        <v>74</v>
      </c>
      <c r="BO181" t="s">
        <v>1276</v>
      </c>
      <c r="BP181" t="s">
        <v>74</v>
      </c>
      <c r="BQ181" t="s">
        <v>74</v>
      </c>
      <c r="BR181" t="s">
        <v>108</v>
      </c>
      <c r="BS181" t="s">
        <v>3912</v>
      </c>
      <c r="BT181" t="str">
        <f>HYPERLINK("https%3A%2F%2Fwww.webofscience.com%2Fwos%2Fwoscc%2Ffull-record%2FWOS:000508382100141","View Full Record in Web of Science")</f>
        <v>View Full Record in Web of Science</v>
      </c>
    </row>
    <row r="182" spans="1:72" x14ac:dyDescent="0.15">
      <c r="A182" t="s">
        <v>133</v>
      </c>
      <c r="B182" t="s">
        <v>3913</v>
      </c>
      <c r="C182" t="s">
        <v>74</v>
      </c>
      <c r="D182" t="s">
        <v>74</v>
      </c>
      <c r="E182" t="s">
        <v>74</v>
      </c>
      <c r="F182" t="s">
        <v>3914</v>
      </c>
      <c r="G182" t="s">
        <v>74</v>
      </c>
      <c r="H182" t="s">
        <v>74</v>
      </c>
      <c r="I182" t="s">
        <v>3915</v>
      </c>
      <c r="J182" t="s">
        <v>3420</v>
      </c>
      <c r="K182" t="s">
        <v>74</v>
      </c>
      <c r="L182" t="s">
        <v>74</v>
      </c>
      <c r="M182" t="s">
        <v>80</v>
      </c>
      <c r="N182" t="s">
        <v>138</v>
      </c>
      <c r="O182" t="s">
        <v>74</v>
      </c>
      <c r="P182" t="s">
        <v>74</v>
      </c>
      <c r="Q182" t="s">
        <v>74</v>
      </c>
      <c r="R182" t="s">
        <v>74</v>
      </c>
      <c r="S182" t="s">
        <v>74</v>
      </c>
      <c r="T182" t="s">
        <v>3916</v>
      </c>
      <c r="U182" t="s">
        <v>3917</v>
      </c>
      <c r="V182" t="s">
        <v>3918</v>
      </c>
      <c r="W182" t="s">
        <v>3919</v>
      </c>
      <c r="X182" t="s">
        <v>3920</v>
      </c>
      <c r="Y182" t="s">
        <v>3921</v>
      </c>
      <c r="Z182" t="s">
        <v>3922</v>
      </c>
      <c r="AA182" t="s">
        <v>74</v>
      </c>
      <c r="AB182" t="s">
        <v>74</v>
      </c>
      <c r="AC182" t="s">
        <v>3923</v>
      </c>
      <c r="AD182" t="s">
        <v>3924</v>
      </c>
      <c r="AE182" t="s">
        <v>3925</v>
      </c>
      <c r="AF182" t="s">
        <v>74</v>
      </c>
      <c r="AG182">
        <v>42</v>
      </c>
      <c r="AH182">
        <v>14</v>
      </c>
      <c r="AI182">
        <v>17</v>
      </c>
      <c r="AJ182">
        <v>0</v>
      </c>
      <c r="AK182">
        <v>8</v>
      </c>
      <c r="AL182" t="s">
        <v>683</v>
      </c>
      <c r="AM182" t="s">
        <v>684</v>
      </c>
      <c r="AN182" t="s">
        <v>685</v>
      </c>
      <c r="AO182" t="s">
        <v>74</v>
      </c>
      <c r="AP182" t="s">
        <v>3432</v>
      </c>
      <c r="AQ182" t="s">
        <v>74</v>
      </c>
      <c r="AR182" t="s">
        <v>3433</v>
      </c>
      <c r="AS182" t="s">
        <v>3434</v>
      </c>
      <c r="AT182" t="s">
        <v>3909</v>
      </c>
      <c r="AU182">
        <v>2019</v>
      </c>
      <c r="AV182">
        <v>11</v>
      </c>
      <c r="AW182">
        <v>23</v>
      </c>
      <c r="AX182" t="s">
        <v>74</v>
      </c>
      <c r="AY182" t="s">
        <v>74</v>
      </c>
      <c r="AZ182" t="s">
        <v>74</v>
      </c>
      <c r="BA182" t="s">
        <v>74</v>
      </c>
      <c r="BB182" t="s">
        <v>74</v>
      </c>
      <c r="BC182" t="s">
        <v>74</v>
      </c>
      <c r="BD182">
        <v>2805</v>
      </c>
      <c r="BE182" t="s">
        <v>3926</v>
      </c>
      <c r="BF182" t="str">
        <f>HYPERLINK("http://dx.doi.org/10.3390/rs11232805","http://dx.doi.org/10.3390/rs11232805")</f>
        <v>http://dx.doi.org/10.3390/rs11232805</v>
      </c>
      <c r="BG182" t="s">
        <v>74</v>
      </c>
      <c r="BH182" t="s">
        <v>74</v>
      </c>
      <c r="BI182">
        <v>24</v>
      </c>
      <c r="BJ182" t="s">
        <v>3436</v>
      </c>
      <c r="BK182" t="s">
        <v>294</v>
      </c>
      <c r="BL182" t="s">
        <v>3437</v>
      </c>
      <c r="BM182" t="s">
        <v>3911</v>
      </c>
      <c r="BN182" t="s">
        <v>74</v>
      </c>
      <c r="BO182" t="s">
        <v>107</v>
      </c>
      <c r="BP182" t="s">
        <v>74</v>
      </c>
      <c r="BQ182" t="s">
        <v>74</v>
      </c>
      <c r="BR182" t="s">
        <v>108</v>
      </c>
      <c r="BS182" t="s">
        <v>3927</v>
      </c>
      <c r="BT182" t="str">
        <f>HYPERLINK("https%3A%2F%2Fwww.webofscience.com%2Fwos%2Fwoscc%2Ffull-record%2FWOS:000508382100086","View Full Record in Web of Science")</f>
        <v>View Full Record in Web of Science</v>
      </c>
    </row>
    <row r="183" spans="1:72" x14ac:dyDescent="0.15">
      <c r="A183" t="s">
        <v>133</v>
      </c>
      <c r="B183" t="s">
        <v>3928</v>
      </c>
      <c r="C183" t="s">
        <v>74</v>
      </c>
      <c r="D183" t="s">
        <v>74</v>
      </c>
      <c r="E183" t="s">
        <v>74</v>
      </c>
      <c r="F183" t="s">
        <v>3929</v>
      </c>
      <c r="G183" t="s">
        <v>74</v>
      </c>
      <c r="H183" t="s">
        <v>74</v>
      </c>
      <c r="I183" t="s">
        <v>3930</v>
      </c>
      <c r="J183" t="s">
        <v>3931</v>
      </c>
      <c r="K183" t="s">
        <v>74</v>
      </c>
      <c r="L183" t="s">
        <v>74</v>
      </c>
      <c r="M183" t="s">
        <v>80</v>
      </c>
      <c r="N183" t="s">
        <v>930</v>
      </c>
      <c r="O183" t="s">
        <v>74</v>
      </c>
      <c r="P183" t="s">
        <v>74</v>
      </c>
      <c r="Q183" t="s">
        <v>74</v>
      </c>
      <c r="R183" t="s">
        <v>74</v>
      </c>
      <c r="S183" t="s">
        <v>74</v>
      </c>
      <c r="T183" t="s">
        <v>3932</v>
      </c>
      <c r="U183" t="s">
        <v>3933</v>
      </c>
      <c r="V183" t="s">
        <v>3934</v>
      </c>
      <c r="W183" t="s">
        <v>3935</v>
      </c>
      <c r="X183" t="s">
        <v>3936</v>
      </c>
      <c r="Y183" t="s">
        <v>3937</v>
      </c>
      <c r="Z183" t="s">
        <v>3938</v>
      </c>
      <c r="AA183" t="s">
        <v>3939</v>
      </c>
      <c r="AB183" t="s">
        <v>3940</v>
      </c>
      <c r="AC183" t="s">
        <v>3941</v>
      </c>
      <c r="AD183" t="s">
        <v>3210</v>
      </c>
      <c r="AE183" t="s">
        <v>74</v>
      </c>
      <c r="AF183" t="s">
        <v>74</v>
      </c>
      <c r="AG183">
        <v>125</v>
      </c>
      <c r="AH183">
        <v>12</v>
      </c>
      <c r="AI183">
        <v>13</v>
      </c>
      <c r="AJ183">
        <v>1</v>
      </c>
      <c r="AK183">
        <v>13</v>
      </c>
      <c r="AL183" t="s">
        <v>1264</v>
      </c>
      <c r="AM183" t="s">
        <v>1265</v>
      </c>
      <c r="AN183" t="s">
        <v>1266</v>
      </c>
      <c r="AO183" t="s">
        <v>3942</v>
      </c>
      <c r="AP183" t="s">
        <v>3943</v>
      </c>
      <c r="AQ183" t="s">
        <v>74</v>
      </c>
      <c r="AR183" t="s">
        <v>3944</v>
      </c>
      <c r="AS183" t="s">
        <v>3945</v>
      </c>
      <c r="AT183" t="s">
        <v>1270</v>
      </c>
      <c r="AU183">
        <v>2019</v>
      </c>
      <c r="AV183">
        <v>57</v>
      </c>
      <c r="AW183">
        <v>4</v>
      </c>
      <c r="AX183" t="s">
        <v>74</v>
      </c>
      <c r="AY183" t="s">
        <v>74</v>
      </c>
      <c r="AZ183" t="s">
        <v>74</v>
      </c>
      <c r="BA183" t="s">
        <v>74</v>
      </c>
      <c r="BB183">
        <v>1197</v>
      </c>
      <c r="BC183">
        <v>1223</v>
      </c>
      <c r="BD183" t="s">
        <v>74</v>
      </c>
      <c r="BE183" t="s">
        <v>3946</v>
      </c>
      <c r="BF183" t="str">
        <f>HYPERLINK("http://dx.doi.org/10.1029/2019RG000651","http://dx.doi.org/10.1029/2019RG000651")</f>
        <v>http://dx.doi.org/10.1029/2019RG000651</v>
      </c>
      <c r="BG183" t="s">
        <v>74</v>
      </c>
      <c r="BH183" t="s">
        <v>74</v>
      </c>
      <c r="BI183">
        <v>27</v>
      </c>
      <c r="BJ183" t="s">
        <v>1067</v>
      </c>
      <c r="BK183" t="s">
        <v>294</v>
      </c>
      <c r="BL183" t="s">
        <v>1067</v>
      </c>
      <c r="BM183" t="s">
        <v>3947</v>
      </c>
      <c r="BN183" t="s">
        <v>74</v>
      </c>
      <c r="BO183" t="s">
        <v>3948</v>
      </c>
      <c r="BP183" t="s">
        <v>74</v>
      </c>
      <c r="BQ183" t="s">
        <v>74</v>
      </c>
      <c r="BR183" t="s">
        <v>108</v>
      </c>
      <c r="BS183" t="s">
        <v>3949</v>
      </c>
      <c r="BT183" t="str">
        <f>HYPERLINK("https%3A%2F%2Fwww.webofscience.com%2Fwos%2Fwoscc%2Ffull-record%2FWOS:000509077900003","View Full Record in Web of Science")</f>
        <v>View Full Record in Web of Science</v>
      </c>
    </row>
    <row r="184" spans="1:72" x14ac:dyDescent="0.15">
      <c r="A184" t="s">
        <v>133</v>
      </c>
      <c r="B184" t="s">
        <v>3950</v>
      </c>
      <c r="C184" t="s">
        <v>74</v>
      </c>
      <c r="D184" t="s">
        <v>74</v>
      </c>
      <c r="E184" t="s">
        <v>74</v>
      </c>
      <c r="F184" t="s">
        <v>3951</v>
      </c>
      <c r="G184" t="s">
        <v>74</v>
      </c>
      <c r="H184" t="s">
        <v>74</v>
      </c>
      <c r="I184" t="s">
        <v>3952</v>
      </c>
      <c r="J184" t="s">
        <v>3953</v>
      </c>
      <c r="K184" t="s">
        <v>74</v>
      </c>
      <c r="L184" t="s">
        <v>74</v>
      </c>
      <c r="M184" t="s">
        <v>80</v>
      </c>
      <c r="N184" t="s">
        <v>138</v>
      </c>
      <c r="O184" t="s">
        <v>74</v>
      </c>
      <c r="P184" t="s">
        <v>74</v>
      </c>
      <c r="Q184" t="s">
        <v>74</v>
      </c>
      <c r="R184" t="s">
        <v>74</v>
      </c>
      <c r="S184" t="s">
        <v>74</v>
      </c>
      <c r="T184" t="s">
        <v>74</v>
      </c>
      <c r="U184" t="s">
        <v>3954</v>
      </c>
      <c r="V184" t="s">
        <v>3955</v>
      </c>
      <c r="W184" t="s">
        <v>3956</v>
      </c>
      <c r="X184" t="s">
        <v>3957</v>
      </c>
      <c r="Y184" t="s">
        <v>3958</v>
      </c>
      <c r="Z184" t="s">
        <v>3959</v>
      </c>
      <c r="AA184" t="s">
        <v>3960</v>
      </c>
      <c r="AB184" t="s">
        <v>3961</v>
      </c>
      <c r="AC184" t="s">
        <v>3962</v>
      </c>
      <c r="AD184" t="s">
        <v>3963</v>
      </c>
      <c r="AE184" t="s">
        <v>3964</v>
      </c>
      <c r="AF184" t="s">
        <v>74</v>
      </c>
      <c r="AG184">
        <v>201</v>
      </c>
      <c r="AH184">
        <v>1</v>
      </c>
      <c r="AI184">
        <v>3</v>
      </c>
      <c r="AJ184">
        <v>0</v>
      </c>
      <c r="AK184">
        <v>1</v>
      </c>
      <c r="AL184" t="s">
        <v>3965</v>
      </c>
      <c r="AM184" t="s">
        <v>3966</v>
      </c>
      <c r="AN184" t="s">
        <v>3967</v>
      </c>
      <c r="AO184" t="s">
        <v>3968</v>
      </c>
      <c r="AP184" t="s">
        <v>3969</v>
      </c>
      <c r="AQ184" t="s">
        <v>74</v>
      </c>
      <c r="AR184" t="s">
        <v>3970</v>
      </c>
      <c r="AS184" t="s">
        <v>3971</v>
      </c>
      <c r="AT184" t="s">
        <v>3909</v>
      </c>
      <c r="AU184">
        <v>2019</v>
      </c>
      <c r="AV184">
        <v>60</v>
      </c>
      <c r="AW184">
        <v>6</v>
      </c>
      <c r="AX184" t="s">
        <v>74</v>
      </c>
      <c r="AY184" t="s">
        <v>74</v>
      </c>
      <c r="AZ184" t="s">
        <v>74</v>
      </c>
      <c r="BA184" t="s">
        <v>74</v>
      </c>
      <c r="BB184">
        <v>741</v>
      </c>
      <c r="BC184">
        <v>773</v>
      </c>
      <c r="BD184" t="s">
        <v>74</v>
      </c>
      <c r="BE184" t="s">
        <v>3972</v>
      </c>
      <c r="BF184" t="str">
        <f>HYPERLINK("http://dx.doi.org/10.1086/704685","http://dx.doi.org/10.1086/704685")</f>
        <v>http://dx.doi.org/10.1086/704685</v>
      </c>
      <c r="BG184" t="s">
        <v>74</v>
      </c>
      <c r="BH184" t="s">
        <v>74</v>
      </c>
      <c r="BI184">
        <v>33</v>
      </c>
      <c r="BJ184" t="s">
        <v>3973</v>
      </c>
      <c r="BK184" t="s">
        <v>717</v>
      </c>
      <c r="BL184" t="s">
        <v>3973</v>
      </c>
      <c r="BM184" t="s">
        <v>3974</v>
      </c>
      <c r="BN184" t="s">
        <v>74</v>
      </c>
      <c r="BO184" t="s">
        <v>1482</v>
      </c>
      <c r="BP184" t="s">
        <v>74</v>
      </c>
      <c r="BQ184" t="s">
        <v>74</v>
      </c>
      <c r="BR184" t="s">
        <v>108</v>
      </c>
      <c r="BS184" t="s">
        <v>3975</v>
      </c>
      <c r="BT184" t="str">
        <f>HYPERLINK("https%3A%2F%2Fwww.webofscience.com%2Fwos%2Fwoscc%2Ffull-record%2FWOS:000507295300002","View Full Record in Web of Science")</f>
        <v>View Full Record in Web of Science</v>
      </c>
    </row>
    <row r="185" spans="1:72" x14ac:dyDescent="0.15">
      <c r="A185" t="s">
        <v>133</v>
      </c>
      <c r="B185" t="s">
        <v>3976</v>
      </c>
      <c r="C185" t="s">
        <v>74</v>
      </c>
      <c r="D185" t="s">
        <v>74</v>
      </c>
      <c r="E185" t="s">
        <v>74</v>
      </c>
      <c r="F185" t="s">
        <v>3977</v>
      </c>
      <c r="G185" t="s">
        <v>74</v>
      </c>
      <c r="H185" t="s">
        <v>74</v>
      </c>
      <c r="I185" t="s">
        <v>3978</v>
      </c>
      <c r="J185" t="s">
        <v>1438</v>
      </c>
      <c r="K185" t="s">
        <v>74</v>
      </c>
      <c r="L185" t="s">
        <v>74</v>
      </c>
      <c r="M185" t="s">
        <v>80</v>
      </c>
      <c r="N185" t="s">
        <v>138</v>
      </c>
      <c r="O185" t="s">
        <v>74</v>
      </c>
      <c r="P185" t="s">
        <v>74</v>
      </c>
      <c r="Q185" t="s">
        <v>74</v>
      </c>
      <c r="R185" t="s">
        <v>74</v>
      </c>
      <c r="S185" t="s">
        <v>74</v>
      </c>
      <c r="T185" t="s">
        <v>74</v>
      </c>
      <c r="U185" t="s">
        <v>3979</v>
      </c>
      <c r="V185" t="s">
        <v>3980</v>
      </c>
      <c r="W185" t="s">
        <v>3981</v>
      </c>
      <c r="X185" t="s">
        <v>3982</v>
      </c>
      <c r="Y185" t="s">
        <v>3983</v>
      </c>
      <c r="Z185" t="s">
        <v>3984</v>
      </c>
      <c r="AA185" t="s">
        <v>3985</v>
      </c>
      <c r="AB185" t="s">
        <v>3986</v>
      </c>
      <c r="AC185" t="s">
        <v>74</v>
      </c>
      <c r="AD185" t="s">
        <v>74</v>
      </c>
      <c r="AE185" t="s">
        <v>74</v>
      </c>
      <c r="AF185" t="s">
        <v>74</v>
      </c>
      <c r="AG185">
        <v>86</v>
      </c>
      <c r="AH185">
        <v>5</v>
      </c>
      <c r="AI185">
        <v>5</v>
      </c>
      <c r="AJ185">
        <v>2</v>
      </c>
      <c r="AK185">
        <v>9</v>
      </c>
      <c r="AL185" t="s">
        <v>1264</v>
      </c>
      <c r="AM185" t="s">
        <v>1265</v>
      </c>
      <c r="AN185" t="s">
        <v>1266</v>
      </c>
      <c r="AO185" t="s">
        <v>1450</v>
      </c>
      <c r="AP185" t="s">
        <v>1451</v>
      </c>
      <c r="AQ185" t="s">
        <v>74</v>
      </c>
      <c r="AR185" t="s">
        <v>1452</v>
      </c>
      <c r="AS185" t="s">
        <v>1453</v>
      </c>
      <c r="AT185" t="s">
        <v>1270</v>
      </c>
      <c r="AU185">
        <v>2019</v>
      </c>
      <c r="AV185">
        <v>34</v>
      </c>
      <c r="AW185">
        <v>12</v>
      </c>
      <c r="AX185" t="s">
        <v>74</v>
      </c>
      <c r="AY185" t="s">
        <v>74</v>
      </c>
      <c r="AZ185" t="s">
        <v>74</v>
      </c>
      <c r="BA185" t="s">
        <v>74</v>
      </c>
      <c r="BB185">
        <v>2031</v>
      </c>
      <c r="BC185">
        <v>2046</v>
      </c>
      <c r="BD185" t="s">
        <v>74</v>
      </c>
      <c r="BE185" t="s">
        <v>3987</v>
      </c>
      <c r="BF185" t="str">
        <f>HYPERLINK("http://dx.doi.org/10.1029/2019PA003599","http://dx.doi.org/10.1029/2019PA003599")</f>
        <v>http://dx.doi.org/10.1029/2019PA003599</v>
      </c>
      <c r="BG185" t="s">
        <v>74</v>
      </c>
      <c r="BH185" t="s">
        <v>74</v>
      </c>
      <c r="BI185">
        <v>16</v>
      </c>
      <c r="BJ185" t="s">
        <v>1455</v>
      </c>
      <c r="BK185" t="s">
        <v>294</v>
      </c>
      <c r="BL185" t="s">
        <v>1456</v>
      </c>
      <c r="BM185" t="s">
        <v>1457</v>
      </c>
      <c r="BN185" t="s">
        <v>74</v>
      </c>
      <c r="BO185" t="s">
        <v>1740</v>
      </c>
      <c r="BP185" t="s">
        <v>74</v>
      </c>
      <c r="BQ185" t="s">
        <v>74</v>
      </c>
      <c r="BR185" t="s">
        <v>108</v>
      </c>
      <c r="BS185" t="s">
        <v>3988</v>
      </c>
      <c r="BT185" t="str">
        <f>HYPERLINK("https%3A%2F%2Fwww.webofscience.com%2Fwos%2Fwoscc%2Ffull-record%2FWOS:000508572200010","View Full Record in Web of Science")</f>
        <v>View Full Record in Web of Science</v>
      </c>
    </row>
    <row r="186" spans="1:72" x14ac:dyDescent="0.15">
      <c r="A186" t="s">
        <v>133</v>
      </c>
      <c r="B186" t="s">
        <v>3989</v>
      </c>
      <c r="C186" t="s">
        <v>74</v>
      </c>
      <c r="D186" t="s">
        <v>74</v>
      </c>
      <c r="E186" t="s">
        <v>74</v>
      </c>
      <c r="F186" t="s">
        <v>3990</v>
      </c>
      <c r="G186" t="s">
        <v>74</v>
      </c>
      <c r="H186" t="s">
        <v>74</v>
      </c>
      <c r="I186" t="s">
        <v>3991</v>
      </c>
      <c r="J186" t="s">
        <v>3992</v>
      </c>
      <c r="K186" t="s">
        <v>74</v>
      </c>
      <c r="L186" t="s">
        <v>74</v>
      </c>
      <c r="M186" t="s">
        <v>80</v>
      </c>
      <c r="N186" t="s">
        <v>1996</v>
      </c>
      <c r="O186" t="s">
        <v>3993</v>
      </c>
      <c r="P186" t="s">
        <v>3994</v>
      </c>
      <c r="Q186" t="s">
        <v>3995</v>
      </c>
      <c r="R186" t="s">
        <v>74</v>
      </c>
      <c r="S186" t="s">
        <v>74</v>
      </c>
      <c r="T186" t="s">
        <v>3996</v>
      </c>
      <c r="U186" t="s">
        <v>3997</v>
      </c>
      <c r="V186" t="s">
        <v>3998</v>
      </c>
      <c r="W186" t="s">
        <v>3999</v>
      </c>
      <c r="X186" t="s">
        <v>4000</v>
      </c>
      <c r="Y186" t="s">
        <v>4001</v>
      </c>
      <c r="Z186" t="s">
        <v>4002</v>
      </c>
      <c r="AA186" t="s">
        <v>74</v>
      </c>
      <c r="AB186" t="s">
        <v>4003</v>
      </c>
      <c r="AC186" t="s">
        <v>74</v>
      </c>
      <c r="AD186" t="s">
        <v>74</v>
      </c>
      <c r="AE186" t="s">
        <v>74</v>
      </c>
      <c r="AF186" t="s">
        <v>74</v>
      </c>
      <c r="AG186">
        <v>46</v>
      </c>
      <c r="AH186">
        <v>5</v>
      </c>
      <c r="AI186">
        <v>10</v>
      </c>
      <c r="AJ186">
        <v>3</v>
      </c>
      <c r="AK186">
        <v>16</v>
      </c>
      <c r="AL186" t="s">
        <v>429</v>
      </c>
      <c r="AM186" t="s">
        <v>430</v>
      </c>
      <c r="AN186" t="s">
        <v>431</v>
      </c>
      <c r="AO186" t="s">
        <v>4004</v>
      </c>
      <c r="AP186" t="s">
        <v>4005</v>
      </c>
      <c r="AQ186" t="s">
        <v>74</v>
      </c>
      <c r="AR186" t="s">
        <v>4006</v>
      </c>
      <c r="AS186" t="s">
        <v>4007</v>
      </c>
      <c r="AT186" t="s">
        <v>1270</v>
      </c>
      <c r="AU186">
        <v>2019</v>
      </c>
      <c r="AV186">
        <v>34</v>
      </c>
      <c r="AW186">
        <v>168</v>
      </c>
      <c r="AX186" t="s">
        <v>74</v>
      </c>
      <c r="AY186" t="s">
        <v>74</v>
      </c>
      <c r="AZ186" t="s">
        <v>555</v>
      </c>
      <c r="BA186" t="s">
        <v>74</v>
      </c>
      <c r="BB186">
        <v>346</v>
      </c>
      <c r="BC186">
        <v>364</v>
      </c>
      <c r="BD186" t="s">
        <v>74</v>
      </c>
      <c r="BE186" t="s">
        <v>4008</v>
      </c>
      <c r="BF186" t="str">
        <f>HYPERLINK("http://dx.doi.org/10.1111/phor.12298","http://dx.doi.org/10.1111/phor.12298")</f>
        <v>http://dx.doi.org/10.1111/phor.12298</v>
      </c>
      <c r="BG186" t="s">
        <v>74</v>
      </c>
      <c r="BH186" t="s">
        <v>74</v>
      </c>
      <c r="BI186">
        <v>19</v>
      </c>
      <c r="BJ186" t="s">
        <v>4009</v>
      </c>
      <c r="BK186" t="s">
        <v>2020</v>
      </c>
      <c r="BL186" t="s">
        <v>4010</v>
      </c>
      <c r="BM186" t="s">
        <v>4011</v>
      </c>
      <c r="BN186" t="s">
        <v>74</v>
      </c>
      <c r="BO186" t="s">
        <v>559</v>
      </c>
      <c r="BP186" t="s">
        <v>74</v>
      </c>
      <c r="BQ186" t="s">
        <v>74</v>
      </c>
      <c r="BR186" t="s">
        <v>108</v>
      </c>
      <c r="BS186" t="s">
        <v>4012</v>
      </c>
      <c r="BT186" t="str">
        <f>HYPERLINK("https%3A%2F%2Fwww.webofscience.com%2Fwos%2Fwoscc%2Ffull-record%2FWOS:000508607800002","View Full Record in Web of Science")</f>
        <v>View Full Record in Web of Science</v>
      </c>
    </row>
    <row r="187" spans="1:72" x14ac:dyDescent="0.15">
      <c r="A187" t="s">
        <v>133</v>
      </c>
      <c r="B187" t="s">
        <v>4013</v>
      </c>
      <c r="C187" t="s">
        <v>74</v>
      </c>
      <c r="D187" t="s">
        <v>74</v>
      </c>
      <c r="E187" t="s">
        <v>74</v>
      </c>
      <c r="F187" t="s">
        <v>4014</v>
      </c>
      <c r="G187" t="s">
        <v>74</v>
      </c>
      <c r="H187" t="s">
        <v>74</v>
      </c>
      <c r="I187" t="s">
        <v>4015</v>
      </c>
      <c r="J187" t="s">
        <v>4016</v>
      </c>
      <c r="K187" t="s">
        <v>74</v>
      </c>
      <c r="L187" t="s">
        <v>74</v>
      </c>
      <c r="M187" t="s">
        <v>80</v>
      </c>
      <c r="N187" t="s">
        <v>138</v>
      </c>
      <c r="O187" t="s">
        <v>74</v>
      </c>
      <c r="P187" t="s">
        <v>74</v>
      </c>
      <c r="Q187" t="s">
        <v>74</v>
      </c>
      <c r="R187" t="s">
        <v>74</v>
      </c>
      <c r="S187" t="s">
        <v>74</v>
      </c>
      <c r="T187" t="s">
        <v>4017</v>
      </c>
      <c r="U187" t="s">
        <v>4018</v>
      </c>
      <c r="V187" t="s">
        <v>4019</v>
      </c>
      <c r="W187" t="s">
        <v>4020</v>
      </c>
      <c r="X187" t="s">
        <v>4021</v>
      </c>
      <c r="Y187" t="s">
        <v>4022</v>
      </c>
      <c r="Z187" t="s">
        <v>4023</v>
      </c>
      <c r="AA187" t="s">
        <v>4024</v>
      </c>
      <c r="AB187" t="s">
        <v>4025</v>
      </c>
      <c r="AC187" t="s">
        <v>4026</v>
      </c>
      <c r="AD187" t="s">
        <v>3210</v>
      </c>
      <c r="AE187" t="s">
        <v>74</v>
      </c>
      <c r="AF187" t="s">
        <v>74</v>
      </c>
      <c r="AG187">
        <v>34</v>
      </c>
      <c r="AH187">
        <v>11</v>
      </c>
      <c r="AI187">
        <v>12</v>
      </c>
      <c r="AJ187">
        <v>1</v>
      </c>
      <c r="AK187">
        <v>9</v>
      </c>
      <c r="AL187" t="s">
        <v>1264</v>
      </c>
      <c r="AM187" t="s">
        <v>1265</v>
      </c>
      <c r="AN187" t="s">
        <v>1266</v>
      </c>
      <c r="AO187" t="s">
        <v>74</v>
      </c>
      <c r="AP187" t="s">
        <v>4027</v>
      </c>
      <c r="AQ187" t="s">
        <v>74</v>
      </c>
      <c r="AR187" t="s">
        <v>4028</v>
      </c>
      <c r="AS187" t="s">
        <v>4029</v>
      </c>
      <c r="AT187" t="s">
        <v>1270</v>
      </c>
      <c r="AU187">
        <v>2019</v>
      </c>
      <c r="AV187">
        <v>17</v>
      </c>
      <c r="AW187">
        <v>12</v>
      </c>
      <c r="AX187" t="s">
        <v>74</v>
      </c>
      <c r="AY187" t="s">
        <v>74</v>
      </c>
      <c r="AZ187" t="s">
        <v>74</v>
      </c>
      <c r="BA187" t="s">
        <v>74</v>
      </c>
      <c r="BB187">
        <v>1783</v>
      </c>
      <c r="BC187">
        <v>1799</v>
      </c>
      <c r="BD187" t="s">
        <v>74</v>
      </c>
      <c r="BE187" t="s">
        <v>4030</v>
      </c>
      <c r="BF187" t="str">
        <f>HYPERLINK("http://dx.doi.org/10.1029/2019SW002297","http://dx.doi.org/10.1029/2019SW002297")</f>
        <v>http://dx.doi.org/10.1029/2019SW002297</v>
      </c>
      <c r="BG187" t="s">
        <v>74</v>
      </c>
      <c r="BH187" t="s">
        <v>74</v>
      </c>
      <c r="BI187">
        <v>17</v>
      </c>
      <c r="BJ187" t="s">
        <v>4031</v>
      </c>
      <c r="BK187" t="s">
        <v>294</v>
      </c>
      <c r="BL187" t="s">
        <v>4031</v>
      </c>
      <c r="BM187" t="s">
        <v>4032</v>
      </c>
      <c r="BN187" t="s">
        <v>74</v>
      </c>
      <c r="BO187" t="s">
        <v>1092</v>
      </c>
      <c r="BP187" t="s">
        <v>74</v>
      </c>
      <c r="BQ187" t="s">
        <v>74</v>
      </c>
      <c r="BR187" t="s">
        <v>108</v>
      </c>
      <c r="BS187" t="s">
        <v>4033</v>
      </c>
      <c r="BT187" t="str">
        <f>HYPERLINK("https%3A%2F%2Fwww.webofscience.com%2Fwos%2Fwoscc%2Ffull-record%2FWOS:000508826600011","View Full Record in Web of Science")</f>
        <v>View Full Record in Web of Science</v>
      </c>
    </row>
    <row r="188" spans="1:72" x14ac:dyDescent="0.15">
      <c r="A188" t="s">
        <v>133</v>
      </c>
      <c r="B188" t="s">
        <v>4034</v>
      </c>
      <c r="C188" t="s">
        <v>74</v>
      </c>
      <c r="D188" t="s">
        <v>74</v>
      </c>
      <c r="E188" t="s">
        <v>74</v>
      </c>
      <c r="F188" t="s">
        <v>4035</v>
      </c>
      <c r="G188" t="s">
        <v>74</v>
      </c>
      <c r="H188" t="s">
        <v>74</v>
      </c>
      <c r="I188" t="s">
        <v>4036</v>
      </c>
      <c r="J188" t="s">
        <v>4037</v>
      </c>
      <c r="K188" t="s">
        <v>74</v>
      </c>
      <c r="L188" t="s">
        <v>74</v>
      </c>
      <c r="M188" t="s">
        <v>80</v>
      </c>
      <c r="N188" t="s">
        <v>138</v>
      </c>
      <c r="O188" t="s">
        <v>74</v>
      </c>
      <c r="P188" t="s">
        <v>74</v>
      </c>
      <c r="Q188" t="s">
        <v>74</v>
      </c>
      <c r="R188" t="s">
        <v>74</v>
      </c>
      <c r="S188" t="s">
        <v>74</v>
      </c>
      <c r="T188" t="s">
        <v>4038</v>
      </c>
      <c r="U188" t="s">
        <v>4039</v>
      </c>
      <c r="V188" t="s">
        <v>4040</v>
      </c>
      <c r="W188" t="s">
        <v>4041</v>
      </c>
      <c r="X188" t="s">
        <v>4042</v>
      </c>
      <c r="Y188" t="s">
        <v>4043</v>
      </c>
      <c r="Z188" t="s">
        <v>4044</v>
      </c>
      <c r="AA188" t="s">
        <v>4045</v>
      </c>
      <c r="AB188" t="s">
        <v>4046</v>
      </c>
      <c r="AC188" t="s">
        <v>4047</v>
      </c>
      <c r="AD188" t="s">
        <v>4048</v>
      </c>
      <c r="AE188" t="s">
        <v>4049</v>
      </c>
      <c r="AF188" t="s">
        <v>74</v>
      </c>
      <c r="AG188">
        <v>32</v>
      </c>
      <c r="AH188">
        <v>18</v>
      </c>
      <c r="AI188">
        <v>19</v>
      </c>
      <c r="AJ188">
        <v>0</v>
      </c>
      <c r="AK188">
        <v>6</v>
      </c>
      <c r="AL188" t="s">
        <v>4050</v>
      </c>
      <c r="AM188" t="s">
        <v>4051</v>
      </c>
      <c r="AN188" t="s">
        <v>4052</v>
      </c>
      <c r="AO188" t="s">
        <v>4053</v>
      </c>
      <c r="AP188" t="s">
        <v>4054</v>
      </c>
      <c r="AQ188" t="s">
        <v>74</v>
      </c>
      <c r="AR188" t="s">
        <v>4055</v>
      </c>
      <c r="AS188" t="s">
        <v>4056</v>
      </c>
      <c r="AT188" t="s">
        <v>1270</v>
      </c>
      <c r="AU188">
        <v>2019</v>
      </c>
      <c r="AV188">
        <v>114</v>
      </c>
      <c r="AW188">
        <v>6</v>
      </c>
      <c r="AX188" t="s">
        <v>74</v>
      </c>
      <c r="AY188" t="s">
        <v>74</v>
      </c>
      <c r="AZ188" t="s">
        <v>74</v>
      </c>
      <c r="BA188" t="s">
        <v>74</v>
      </c>
      <c r="BB188">
        <v>267</v>
      </c>
      <c r="BC188">
        <v>279</v>
      </c>
      <c r="BD188" t="s">
        <v>74</v>
      </c>
      <c r="BE188" t="s">
        <v>4057</v>
      </c>
      <c r="BF188" t="str">
        <f>HYPERLINK("http://dx.doi.org/10.2465/jmps.190801","http://dx.doi.org/10.2465/jmps.190801")</f>
        <v>http://dx.doi.org/10.2465/jmps.190801</v>
      </c>
      <c r="BG188" t="s">
        <v>74</v>
      </c>
      <c r="BH188" t="s">
        <v>74</v>
      </c>
      <c r="BI188">
        <v>13</v>
      </c>
      <c r="BJ188" t="s">
        <v>4058</v>
      </c>
      <c r="BK188" t="s">
        <v>294</v>
      </c>
      <c r="BL188" t="s">
        <v>4058</v>
      </c>
      <c r="BM188" t="s">
        <v>4059</v>
      </c>
      <c r="BN188" t="s">
        <v>74</v>
      </c>
      <c r="BO188" t="s">
        <v>107</v>
      </c>
      <c r="BP188" t="s">
        <v>74</v>
      </c>
      <c r="BQ188" t="s">
        <v>74</v>
      </c>
      <c r="BR188" t="s">
        <v>108</v>
      </c>
      <c r="BS188" t="s">
        <v>4060</v>
      </c>
      <c r="BT188" t="str">
        <f>HYPERLINK("https%3A%2F%2Fwww.webofscience.com%2Fwos%2Fwoscc%2Ffull-record%2FWOS:000508455600001","View Full Record in Web of Science")</f>
        <v>View Full Record in Web of Science</v>
      </c>
    </row>
    <row r="189" spans="1:72" x14ac:dyDescent="0.15">
      <c r="A189" t="s">
        <v>133</v>
      </c>
      <c r="B189" t="s">
        <v>4061</v>
      </c>
      <c r="C189" t="s">
        <v>74</v>
      </c>
      <c r="D189" t="s">
        <v>74</v>
      </c>
      <c r="E189" t="s">
        <v>74</v>
      </c>
      <c r="F189" t="s">
        <v>4062</v>
      </c>
      <c r="G189" t="s">
        <v>74</v>
      </c>
      <c r="H189" t="s">
        <v>74</v>
      </c>
      <c r="I189" t="s">
        <v>4063</v>
      </c>
      <c r="J189" t="s">
        <v>4064</v>
      </c>
      <c r="K189" t="s">
        <v>74</v>
      </c>
      <c r="L189" t="s">
        <v>74</v>
      </c>
      <c r="M189" t="s">
        <v>80</v>
      </c>
      <c r="N189" t="s">
        <v>138</v>
      </c>
      <c r="O189" t="s">
        <v>74</v>
      </c>
      <c r="P189" t="s">
        <v>74</v>
      </c>
      <c r="Q189" t="s">
        <v>74</v>
      </c>
      <c r="R189" t="s">
        <v>74</v>
      </c>
      <c r="S189" t="s">
        <v>74</v>
      </c>
      <c r="T189" t="s">
        <v>4065</v>
      </c>
      <c r="U189" t="s">
        <v>4066</v>
      </c>
      <c r="V189" t="s">
        <v>4067</v>
      </c>
      <c r="W189" t="s">
        <v>4068</v>
      </c>
      <c r="X189" t="s">
        <v>4069</v>
      </c>
      <c r="Y189" t="s">
        <v>4070</v>
      </c>
      <c r="Z189" t="s">
        <v>4071</v>
      </c>
      <c r="AA189" t="s">
        <v>4072</v>
      </c>
      <c r="AB189" t="s">
        <v>4073</v>
      </c>
      <c r="AC189" t="s">
        <v>4074</v>
      </c>
      <c r="AD189" t="s">
        <v>4075</v>
      </c>
      <c r="AE189" t="s">
        <v>4076</v>
      </c>
      <c r="AF189" t="s">
        <v>74</v>
      </c>
      <c r="AG189">
        <v>46</v>
      </c>
      <c r="AH189">
        <v>2</v>
      </c>
      <c r="AI189">
        <v>2</v>
      </c>
      <c r="AJ189">
        <v>0</v>
      </c>
      <c r="AK189">
        <v>3</v>
      </c>
      <c r="AL189" t="s">
        <v>683</v>
      </c>
      <c r="AM189" t="s">
        <v>684</v>
      </c>
      <c r="AN189" t="s">
        <v>685</v>
      </c>
      <c r="AO189" t="s">
        <v>74</v>
      </c>
      <c r="AP189" t="s">
        <v>4077</v>
      </c>
      <c r="AQ189" t="s">
        <v>74</v>
      </c>
      <c r="AR189" t="s">
        <v>4078</v>
      </c>
      <c r="AS189" t="s">
        <v>4079</v>
      </c>
      <c r="AT189" t="s">
        <v>1270</v>
      </c>
      <c r="AU189">
        <v>2019</v>
      </c>
      <c r="AV189">
        <v>10</v>
      </c>
      <c r="AW189">
        <v>12</v>
      </c>
      <c r="AX189" t="s">
        <v>74</v>
      </c>
      <c r="AY189" t="s">
        <v>74</v>
      </c>
      <c r="AZ189" t="s">
        <v>74</v>
      </c>
      <c r="BA189" t="s">
        <v>74</v>
      </c>
      <c r="BB189" t="s">
        <v>74</v>
      </c>
      <c r="BC189" t="s">
        <v>74</v>
      </c>
      <c r="BD189">
        <v>744</v>
      </c>
      <c r="BE189" t="s">
        <v>4080</v>
      </c>
      <c r="BF189" t="str">
        <f>HYPERLINK("http://dx.doi.org/10.3390/atmos10120744","http://dx.doi.org/10.3390/atmos10120744")</f>
        <v>http://dx.doi.org/10.3390/atmos10120744</v>
      </c>
      <c r="BG189" t="s">
        <v>74</v>
      </c>
      <c r="BH189" t="s">
        <v>74</v>
      </c>
      <c r="BI189">
        <v>17</v>
      </c>
      <c r="BJ189" t="s">
        <v>103</v>
      </c>
      <c r="BK189" t="s">
        <v>294</v>
      </c>
      <c r="BL189" t="s">
        <v>105</v>
      </c>
      <c r="BM189" t="s">
        <v>4081</v>
      </c>
      <c r="BN189" t="s">
        <v>74</v>
      </c>
      <c r="BO189" t="s">
        <v>2934</v>
      </c>
      <c r="BP189" t="s">
        <v>74</v>
      </c>
      <c r="BQ189" t="s">
        <v>74</v>
      </c>
      <c r="BR189" t="s">
        <v>108</v>
      </c>
      <c r="BS189" t="s">
        <v>4082</v>
      </c>
      <c r="BT189" t="str">
        <f>HYPERLINK("https%3A%2F%2Fwww.webofscience.com%2Fwos%2Fwoscc%2Ffull-record%2FWOS:000507369200018","View Full Record in Web of Science")</f>
        <v>View Full Record in Web of Science</v>
      </c>
    </row>
    <row r="190" spans="1:72" x14ac:dyDescent="0.15">
      <c r="A190" t="s">
        <v>133</v>
      </c>
      <c r="B190" t="s">
        <v>4083</v>
      </c>
      <c r="C190" t="s">
        <v>74</v>
      </c>
      <c r="D190" t="s">
        <v>74</v>
      </c>
      <c r="E190" t="s">
        <v>74</v>
      </c>
      <c r="F190" t="s">
        <v>4084</v>
      </c>
      <c r="G190" t="s">
        <v>74</v>
      </c>
      <c r="H190" t="s">
        <v>74</v>
      </c>
      <c r="I190" t="s">
        <v>4085</v>
      </c>
      <c r="J190" t="s">
        <v>4086</v>
      </c>
      <c r="K190" t="s">
        <v>74</v>
      </c>
      <c r="L190" t="s">
        <v>74</v>
      </c>
      <c r="M190" t="s">
        <v>80</v>
      </c>
      <c r="N190" t="s">
        <v>138</v>
      </c>
      <c r="O190" t="s">
        <v>74</v>
      </c>
      <c r="P190" t="s">
        <v>74</v>
      </c>
      <c r="Q190" t="s">
        <v>74</v>
      </c>
      <c r="R190" t="s">
        <v>74</v>
      </c>
      <c r="S190" t="s">
        <v>74</v>
      </c>
      <c r="T190" t="s">
        <v>4087</v>
      </c>
      <c r="U190" t="s">
        <v>4088</v>
      </c>
      <c r="V190" t="s">
        <v>4089</v>
      </c>
      <c r="W190" t="s">
        <v>4090</v>
      </c>
      <c r="X190" t="s">
        <v>3325</v>
      </c>
      <c r="Y190" t="s">
        <v>4091</v>
      </c>
      <c r="Z190" t="s">
        <v>3327</v>
      </c>
      <c r="AA190" t="s">
        <v>4092</v>
      </c>
      <c r="AB190" t="s">
        <v>4093</v>
      </c>
      <c r="AC190" t="s">
        <v>4094</v>
      </c>
      <c r="AD190" t="s">
        <v>4094</v>
      </c>
      <c r="AE190" t="s">
        <v>4095</v>
      </c>
      <c r="AF190" t="s">
        <v>74</v>
      </c>
      <c r="AG190">
        <v>99</v>
      </c>
      <c r="AH190">
        <v>44</v>
      </c>
      <c r="AI190">
        <v>46</v>
      </c>
      <c r="AJ190">
        <v>7</v>
      </c>
      <c r="AK190">
        <v>36</v>
      </c>
      <c r="AL190" t="s">
        <v>1964</v>
      </c>
      <c r="AM190" t="s">
        <v>4096</v>
      </c>
      <c r="AN190" t="s">
        <v>4097</v>
      </c>
      <c r="AO190" t="s">
        <v>4098</v>
      </c>
      <c r="AP190" t="s">
        <v>4099</v>
      </c>
      <c r="AQ190" t="s">
        <v>74</v>
      </c>
      <c r="AR190" t="s">
        <v>4100</v>
      </c>
      <c r="AS190" t="s">
        <v>4101</v>
      </c>
      <c r="AT190" t="s">
        <v>1270</v>
      </c>
      <c r="AU190">
        <v>2019</v>
      </c>
      <c r="AV190">
        <v>31</v>
      </c>
      <c r="AW190">
        <v>6</v>
      </c>
      <c r="AX190" t="s">
        <v>74</v>
      </c>
      <c r="AY190" t="s">
        <v>74</v>
      </c>
      <c r="AZ190" t="s">
        <v>74</v>
      </c>
      <c r="BA190" t="s">
        <v>74</v>
      </c>
      <c r="BB190">
        <v>4021</v>
      </c>
      <c r="BC190">
        <v>4035</v>
      </c>
      <c r="BD190" t="s">
        <v>74</v>
      </c>
      <c r="BE190" t="s">
        <v>4102</v>
      </c>
      <c r="BF190" t="str">
        <f>HYPERLINK("http://dx.doi.org/10.1007/s10811-019-01902-w","http://dx.doi.org/10.1007/s10811-019-01902-w")</f>
        <v>http://dx.doi.org/10.1007/s10811-019-01902-w</v>
      </c>
      <c r="BG190" t="s">
        <v>74</v>
      </c>
      <c r="BH190" t="s">
        <v>74</v>
      </c>
      <c r="BI190">
        <v>15</v>
      </c>
      <c r="BJ190" t="s">
        <v>4103</v>
      </c>
      <c r="BK190" t="s">
        <v>294</v>
      </c>
      <c r="BL190" t="s">
        <v>4103</v>
      </c>
      <c r="BM190" t="s">
        <v>4104</v>
      </c>
      <c r="BN190" t="s">
        <v>74</v>
      </c>
      <c r="BO190" t="s">
        <v>74</v>
      </c>
      <c r="BP190" t="s">
        <v>74</v>
      </c>
      <c r="BQ190" t="s">
        <v>74</v>
      </c>
      <c r="BR190" t="s">
        <v>108</v>
      </c>
      <c r="BS190" t="s">
        <v>4105</v>
      </c>
      <c r="BT190" t="str">
        <f>HYPERLINK("https%3A%2F%2Fwww.webofscience.com%2Fwos%2Fwoscc%2Ffull-record%2FWOS:000507643300002","View Full Record in Web of Science")</f>
        <v>View Full Record in Web of Science</v>
      </c>
    </row>
    <row r="191" spans="1:72" x14ac:dyDescent="0.15">
      <c r="A191" t="s">
        <v>133</v>
      </c>
      <c r="B191" t="s">
        <v>4106</v>
      </c>
      <c r="C191" t="s">
        <v>74</v>
      </c>
      <c r="D191" t="s">
        <v>74</v>
      </c>
      <c r="E191" t="s">
        <v>74</v>
      </c>
      <c r="F191" t="s">
        <v>4107</v>
      </c>
      <c r="G191" t="s">
        <v>74</v>
      </c>
      <c r="H191" t="s">
        <v>74</v>
      </c>
      <c r="I191" t="s">
        <v>4108</v>
      </c>
      <c r="J191" t="s">
        <v>4109</v>
      </c>
      <c r="K191" t="s">
        <v>74</v>
      </c>
      <c r="L191" t="s">
        <v>74</v>
      </c>
      <c r="M191" t="s">
        <v>80</v>
      </c>
      <c r="N191" t="s">
        <v>138</v>
      </c>
      <c r="O191" t="s">
        <v>74</v>
      </c>
      <c r="P191" t="s">
        <v>74</v>
      </c>
      <c r="Q191" t="s">
        <v>74</v>
      </c>
      <c r="R191" t="s">
        <v>74</v>
      </c>
      <c r="S191" t="s">
        <v>74</v>
      </c>
      <c r="T191" t="s">
        <v>4110</v>
      </c>
      <c r="U191" t="s">
        <v>4111</v>
      </c>
      <c r="V191" t="s">
        <v>4112</v>
      </c>
      <c r="W191" t="s">
        <v>4113</v>
      </c>
      <c r="X191" t="s">
        <v>4114</v>
      </c>
      <c r="Y191" t="s">
        <v>4115</v>
      </c>
      <c r="Z191" t="s">
        <v>4116</v>
      </c>
      <c r="AA191" t="s">
        <v>4117</v>
      </c>
      <c r="AB191" t="s">
        <v>4118</v>
      </c>
      <c r="AC191" t="s">
        <v>4119</v>
      </c>
      <c r="AD191" t="s">
        <v>4120</v>
      </c>
      <c r="AE191" t="s">
        <v>4121</v>
      </c>
      <c r="AF191" t="s">
        <v>74</v>
      </c>
      <c r="AG191">
        <v>55</v>
      </c>
      <c r="AH191">
        <v>22</v>
      </c>
      <c r="AI191">
        <v>25</v>
      </c>
      <c r="AJ191">
        <v>4</v>
      </c>
      <c r="AK191">
        <v>22</v>
      </c>
      <c r="AL191" t="s">
        <v>683</v>
      </c>
      <c r="AM191" t="s">
        <v>684</v>
      </c>
      <c r="AN191" t="s">
        <v>685</v>
      </c>
      <c r="AO191" t="s">
        <v>74</v>
      </c>
      <c r="AP191" t="s">
        <v>4122</v>
      </c>
      <c r="AQ191" t="s">
        <v>74</v>
      </c>
      <c r="AR191" t="s">
        <v>4109</v>
      </c>
      <c r="AS191" t="s">
        <v>4123</v>
      </c>
      <c r="AT191" t="s">
        <v>1270</v>
      </c>
      <c r="AU191">
        <v>2019</v>
      </c>
      <c r="AV191">
        <v>7</v>
      </c>
      <c r="AW191">
        <v>12</v>
      </c>
      <c r="AX191" t="s">
        <v>74</v>
      </c>
      <c r="AY191" t="s">
        <v>74</v>
      </c>
      <c r="AZ191" t="s">
        <v>74</v>
      </c>
      <c r="BA191" t="s">
        <v>74</v>
      </c>
      <c r="BB191" t="s">
        <v>74</v>
      </c>
      <c r="BC191" t="s">
        <v>74</v>
      </c>
      <c r="BD191">
        <v>632</v>
      </c>
      <c r="BE191" t="s">
        <v>4124</v>
      </c>
      <c r="BF191" t="str">
        <f>HYPERLINK("http://dx.doi.org/10.3390/microorganisms7120632","http://dx.doi.org/10.3390/microorganisms7120632")</f>
        <v>http://dx.doi.org/10.3390/microorganisms7120632</v>
      </c>
      <c r="BG191" t="s">
        <v>74</v>
      </c>
      <c r="BH191" t="s">
        <v>74</v>
      </c>
      <c r="BI191">
        <v>17</v>
      </c>
      <c r="BJ191" t="s">
        <v>1713</v>
      </c>
      <c r="BK191" t="s">
        <v>294</v>
      </c>
      <c r="BL191" t="s">
        <v>1713</v>
      </c>
      <c r="BM191" t="s">
        <v>4125</v>
      </c>
      <c r="BN191">
        <v>31801240</v>
      </c>
      <c r="BO191" t="s">
        <v>693</v>
      </c>
      <c r="BP191" t="s">
        <v>74</v>
      </c>
      <c r="BQ191" t="s">
        <v>74</v>
      </c>
      <c r="BR191" t="s">
        <v>108</v>
      </c>
      <c r="BS191" t="s">
        <v>4126</v>
      </c>
      <c r="BT191" t="str">
        <f>HYPERLINK("https%3A%2F%2Fwww.webofscience.com%2Fwos%2Fwoscc%2Ffull-record%2FWOS:000506646400050","View Full Record in Web of Science")</f>
        <v>View Full Record in Web of Science</v>
      </c>
    </row>
    <row r="192" spans="1:72" x14ac:dyDescent="0.15">
      <c r="A192" t="s">
        <v>133</v>
      </c>
      <c r="B192" t="s">
        <v>4127</v>
      </c>
      <c r="C192" t="s">
        <v>74</v>
      </c>
      <c r="D192" t="s">
        <v>74</v>
      </c>
      <c r="E192" t="s">
        <v>74</v>
      </c>
      <c r="F192" t="s">
        <v>4128</v>
      </c>
      <c r="G192" t="s">
        <v>74</v>
      </c>
      <c r="H192" t="s">
        <v>74</v>
      </c>
      <c r="I192" t="s">
        <v>4129</v>
      </c>
      <c r="J192" t="s">
        <v>828</v>
      </c>
      <c r="K192" t="s">
        <v>74</v>
      </c>
      <c r="L192" t="s">
        <v>74</v>
      </c>
      <c r="M192" t="s">
        <v>80</v>
      </c>
      <c r="N192" t="s">
        <v>138</v>
      </c>
      <c r="O192" t="s">
        <v>74</v>
      </c>
      <c r="P192" t="s">
        <v>74</v>
      </c>
      <c r="Q192" t="s">
        <v>74</v>
      </c>
      <c r="R192" t="s">
        <v>74</v>
      </c>
      <c r="S192" t="s">
        <v>74</v>
      </c>
      <c r="T192" t="s">
        <v>74</v>
      </c>
      <c r="U192" t="s">
        <v>4130</v>
      </c>
      <c r="V192" t="s">
        <v>4131</v>
      </c>
      <c r="W192" t="s">
        <v>4132</v>
      </c>
      <c r="X192" t="s">
        <v>4133</v>
      </c>
      <c r="Y192" t="s">
        <v>4134</v>
      </c>
      <c r="Z192" t="s">
        <v>4135</v>
      </c>
      <c r="AA192" t="s">
        <v>4136</v>
      </c>
      <c r="AB192" t="s">
        <v>4137</v>
      </c>
      <c r="AC192" t="s">
        <v>4138</v>
      </c>
      <c r="AD192" t="s">
        <v>4139</v>
      </c>
      <c r="AE192" t="s">
        <v>4140</v>
      </c>
      <c r="AF192" t="s">
        <v>74</v>
      </c>
      <c r="AG192">
        <v>60</v>
      </c>
      <c r="AH192">
        <v>32</v>
      </c>
      <c r="AI192">
        <v>34</v>
      </c>
      <c r="AJ192">
        <v>1</v>
      </c>
      <c r="AK192">
        <v>29</v>
      </c>
      <c r="AL192" t="s">
        <v>2038</v>
      </c>
      <c r="AM192" t="s">
        <v>1965</v>
      </c>
      <c r="AN192" t="s">
        <v>4141</v>
      </c>
      <c r="AO192" t="s">
        <v>843</v>
      </c>
      <c r="AP192" t="s">
        <v>844</v>
      </c>
      <c r="AQ192" t="s">
        <v>74</v>
      </c>
      <c r="AR192" t="s">
        <v>845</v>
      </c>
      <c r="AS192" t="s">
        <v>846</v>
      </c>
      <c r="AT192" t="s">
        <v>1270</v>
      </c>
      <c r="AU192">
        <v>2019</v>
      </c>
      <c r="AV192">
        <v>12</v>
      </c>
      <c r="AW192">
        <v>12</v>
      </c>
      <c r="AX192" t="s">
        <v>74</v>
      </c>
      <c r="AY192" t="s">
        <v>74</v>
      </c>
      <c r="AZ192" t="s">
        <v>74</v>
      </c>
      <c r="BA192" t="s">
        <v>74</v>
      </c>
      <c r="BB192">
        <v>1001</v>
      </c>
      <c r="BC192" t="s">
        <v>847</v>
      </c>
      <c r="BD192" t="s">
        <v>74</v>
      </c>
      <c r="BE192" t="s">
        <v>4142</v>
      </c>
      <c r="BF192" t="str">
        <f>HYPERLINK("http://dx.doi.org/10.1038/s41561-019-0466-8","http://dx.doi.org/10.1038/s41561-019-0466-8")</f>
        <v>http://dx.doi.org/10.1038/s41561-019-0466-8</v>
      </c>
      <c r="BG192" t="s">
        <v>74</v>
      </c>
      <c r="BH192" t="s">
        <v>74</v>
      </c>
      <c r="BI192">
        <v>7</v>
      </c>
      <c r="BJ192" t="s">
        <v>849</v>
      </c>
      <c r="BK192" t="s">
        <v>294</v>
      </c>
      <c r="BL192" t="s">
        <v>850</v>
      </c>
      <c r="BM192" t="s">
        <v>4143</v>
      </c>
      <c r="BN192" t="s">
        <v>74</v>
      </c>
      <c r="BO192" t="s">
        <v>638</v>
      </c>
      <c r="BP192" t="s">
        <v>74</v>
      </c>
      <c r="BQ192" t="s">
        <v>74</v>
      </c>
      <c r="BR192" t="s">
        <v>108</v>
      </c>
      <c r="BS192" t="s">
        <v>4144</v>
      </c>
      <c r="BT192" t="str">
        <f>HYPERLINK("https%3A%2F%2Fwww.webofscience.com%2Fwos%2Fwoscc%2Ffull-record%2FWOS:000499653700010","View Full Record in Web of Science")</f>
        <v>View Full Record in Web of Science</v>
      </c>
    </row>
    <row r="193" spans="1:72" x14ac:dyDescent="0.15">
      <c r="A193" t="s">
        <v>133</v>
      </c>
      <c r="B193" t="s">
        <v>4145</v>
      </c>
      <c r="C193" t="s">
        <v>74</v>
      </c>
      <c r="D193" t="s">
        <v>74</v>
      </c>
      <c r="E193" t="s">
        <v>74</v>
      </c>
      <c r="F193" t="s">
        <v>4146</v>
      </c>
      <c r="G193" t="s">
        <v>74</v>
      </c>
      <c r="H193" t="s">
        <v>74</v>
      </c>
      <c r="I193" t="s">
        <v>4147</v>
      </c>
      <c r="J193" t="s">
        <v>4148</v>
      </c>
      <c r="K193" t="s">
        <v>74</v>
      </c>
      <c r="L193" t="s">
        <v>74</v>
      </c>
      <c r="M193" t="s">
        <v>80</v>
      </c>
      <c r="N193" t="s">
        <v>138</v>
      </c>
      <c r="O193" t="s">
        <v>74</v>
      </c>
      <c r="P193" t="s">
        <v>74</v>
      </c>
      <c r="Q193" t="s">
        <v>74</v>
      </c>
      <c r="R193" t="s">
        <v>74</v>
      </c>
      <c r="S193" t="s">
        <v>74</v>
      </c>
      <c r="T193" t="s">
        <v>4149</v>
      </c>
      <c r="U193" t="s">
        <v>4150</v>
      </c>
      <c r="V193" t="s">
        <v>4151</v>
      </c>
      <c r="W193" t="s">
        <v>4152</v>
      </c>
      <c r="X193" t="s">
        <v>4153</v>
      </c>
      <c r="Y193" t="s">
        <v>4154</v>
      </c>
      <c r="Z193" t="s">
        <v>4155</v>
      </c>
      <c r="AA193" t="s">
        <v>4156</v>
      </c>
      <c r="AB193" t="s">
        <v>4157</v>
      </c>
      <c r="AC193" t="s">
        <v>4158</v>
      </c>
      <c r="AD193" t="s">
        <v>4159</v>
      </c>
      <c r="AE193" t="s">
        <v>4160</v>
      </c>
      <c r="AF193" t="s">
        <v>74</v>
      </c>
      <c r="AG193">
        <v>53</v>
      </c>
      <c r="AH193">
        <v>17</v>
      </c>
      <c r="AI193">
        <v>17</v>
      </c>
      <c r="AJ193">
        <v>2</v>
      </c>
      <c r="AK193">
        <v>4</v>
      </c>
      <c r="AL193" t="s">
        <v>683</v>
      </c>
      <c r="AM193" t="s">
        <v>684</v>
      </c>
      <c r="AN193" t="s">
        <v>685</v>
      </c>
      <c r="AO193" t="s">
        <v>74</v>
      </c>
      <c r="AP193" t="s">
        <v>4161</v>
      </c>
      <c r="AQ193" t="s">
        <v>74</v>
      </c>
      <c r="AR193" t="s">
        <v>4148</v>
      </c>
      <c r="AS193" t="s">
        <v>4162</v>
      </c>
      <c r="AT193" t="s">
        <v>1270</v>
      </c>
      <c r="AU193">
        <v>2019</v>
      </c>
      <c r="AV193">
        <v>11</v>
      </c>
      <c r="AW193">
        <v>12</v>
      </c>
      <c r="AX193" t="s">
        <v>74</v>
      </c>
      <c r="AY193" t="s">
        <v>74</v>
      </c>
      <c r="AZ193" t="s">
        <v>74</v>
      </c>
      <c r="BA193" t="s">
        <v>74</v>
      </c>
      <c r="BB193" t="s">
        <v>74</v>
      </c>
      <c r="BC193" t="s">
        <v>74</v>
      </c>
      <c r="BD193">
        <v>1088</v>
      </c>
      <c r="BE193" t="s">
        <v>4163</v>
      </c>
      <c r="BF193" t="str">
        <f>HYPERLINK("http://dx.doi.org/10.3390/v11121088","http://dx.doi.org/10.3390/v11121088")</f>
        <v>http://dx.doi.org/10.3390/v11121088</v>
      </c>
      <c r="BG193" t="s">
        <v>74</v>
      </c>
      <c r="BH193" t="s">
        <v>74</v>
      </c>
      <c r="BI193">
        <v>10</v>
      </c>
      <c r="BJ193" t="s">
        <v>4164</v>
      </c>
      <c r="BK193" t="s">
        <v>294</v>
      </c>
      <c r="BL193" t="s">
        <v>4164</v>
      </c>
      <c r="BM193" t="s">
        <v>4165</v>
      </c>
      <c r="BN193">
        <v>31766719</v>
      </c>
      <c r="BO193" t="s">
        <v>693</v>
      </c>
      <c r="BP193" t="s">
        <v>74</v>
      </c>
      <c r="BQ193" t="s">
        <v>74</v>
      </c>
      <c r="BR193" t="s">
        <v>108</v>
      </c>
      <c r="BS193" t="s">
        <v>4166</v>
      </c>
      <c r="BT193" t="str">
        <f>HYPERLINK("https%3A%2F%2Fwww.webofscience.com%2Fwos%2Fwoscc%2Ffull-record%2FWOS:000506894800040","View Full Record in Web of Science")</f>
        <v>View Full Record in Web of Science</v>
      </c>
    </row>
    <row r="194" spans="1:72" x14ac:dyDescent="0.15">
      <c r="A194" t="s">
        <v>133</v>
      </c>
      <c r="B194" t="s">
        <v>4167</v>
      </c>
      <c r="C194" t="s">
        <v>74</v>
      </c>
      <c r="D194" t="s">
        <v>74</v>
      </c>
      <c r="E194" t="s">
        <v>74</v>
      </c>
      <c r="F194" t="s">
        <v>4168</v>
      </c>
      <c r="G194" t="s">
        <v>74</v>
      </c>
      <c r="H194" t="s">
        <v>74</v>
      </c>
      <c r="I194" t="s">
        <v>4169</v>
      </c>
      <c r="J194" t="s">
        <v>4170</v>
      </c>
      <c r="K194" t="s">
        <v>74</v>
      </c>
      <c r="L194" t="s">
        <v>74</v>
      </c>
      <c r="M194" t="s">
        <v>80</v>
      </c>
      <c r="N194" t="s">
        <v>138</v>
      </c>
      <c r="O194" t="s">
        <v>74</v>
      </c>
      <c r="P194" t="s">
        <v>74</v>
      </c>
      <c r="Q194" t="s">
        <v>74</v>
      </c>
      <c r="R194" t="s">
        <v>74</v>
      </c>
      <c r="S194" t="s">
        <v>74</v>
      </c>
      <c r="T194" t="s">
        <v>4171</v>
      </c>
      <c r="U194" t="s">
        <v>4172</v>
      </c>
      <c r="V194" t="s">
        <v>4173</v>
      </c>
      <c r="W194" t="s">
        <v>4174</v>
      </c>
      <c r="X194" t="s">
        <v>4175</v>
      </c>
      <c r="Y194" t="s">
        <v>4176</v>
      </c>
      <c r="Z194" t="s">
        <v>4177</v>
      </c>
      <c r="AA194" t="s">
        <v>4178</v>
      </c>
      <c r="AB194" t="s">
        <v>4179</v>
      </c>
      <c r="AC194" t="s">
        <v>4180</v>
      </c>
      <c r="AD194" t="s">
        <v>4181</v>
      </c>
      <c r="AE194" t="s">
        <v>4182</v>
      </c>
      <c r="AF194" t="s">
        <v>74</v>
      </c>
      <c r="AG194">
        <v>84</v>
      </c>
      <c r="AH194">
        <v>17</v>
      </c>
      <c r="AI194">
        <v>18</v>
      </c>
      <c r="AJ194">
        <v>2</v>
      </c>
      <c r="AK194">
        <v>12</v>
      </c>
      <c r="AL194" t="s">
        <v>379</v>
      </c>
      <c r="AM194" t="s">
        <v>380</v>
      </c>
      <c r="AN194" t="s">
        <v>381</v>
      </c>
      <c r="AO194" t="s">
        <v>4183</v>
      </c>
      <c r="AP194" t="s">
        <v>4184</v>
      </c>
      <c r="AQ194" t="s">
        <v>74</v>
      </c>
      <c r="AR194" t="s">
        <v>4185</v>
      </c>
      <c r="AS194" t="s">
        <v>4186</v>
      </c>
      <c r="AT194" t="s">
        <v>1270</v>
      </c>
      <c r="AU194">
        <v>2019</v>
      </c>
      <c r="AV194">
        <v>154</v>
      </c>
      <c r="AW194" t="s">
        <v>74</v>
      </c>
      <c r="AX194" t="s">
        <v>74</v>
      </c>
      <c r="AY194" t="s">
        <v>74</v>
      </c>
      <c r="AZ194" t="s">
        <v>74</v>
      </c>
      <c r="BA194" t="s">
        <v>74</v>
      </c>
      <c r="BB194" t="s">
        <v>74</v>
      </c>
      <c r="BC194" t="s">
        <v>74</v>
      </c>
      <c r="BD194">
        <v>103135</v>
      </c>
      <c r="BE194" t="s">
        <v>4187</v>
      </c>
      <c r="BF194" t="str">
        <f>HYPERLINK("http://dx.doi.org/10.1016/j.dsr.2019.103135","http://dx.doi.org/10.1016/j.dsr.2019.103135")</f>
        <v>http://dx.doi.org/10.1016/j.dsr.2019.103135</v>
      </c>
      <c r="BG194" t="s">
        <v>74</v>
      </c>
      <c r="BH194" t="s">
        <v>74</v>
      </c>
      <c r="BI194">
        <v>14</v>
      </c>
      <c r="BJ194" t="s">
        <v>1945</v>
      </c>
      <c r="BK194" t="s">
        <v>294</v>
      </c>
      <c r="BL194" t="s">
        <v>1945</v>
      </c>
      <c r="BM194" t="s">
        <v>4188</v>
      </c>
      <c r="BN194" t="s">
        <v>74</v>
      </c>
      <c r="BO194" t="s">
        <v>559</v>
      </c>
      <c r="BP194" t="s">
        <v>74</v>
      </c>
      <c r="BQ194" t="s">
        <v>74</v>
      </c>
      <c r="BR194" t="s">
        <v>108</v>
      </c>
      <c r="BS194" t="s">
        <v>4189</v>
      </c>
      <c r="BT194" t="str">
        <f>HYPERLINK("https%3A%2F%2Fwww.webofscience.com%2Fwos%2Fwoscc%2Ffull-record%2FWOS:000506714600005","View Full Record in Web of Science")</f>
        <v>View Full Record in Web of Science</v>
      </c>
    </row>
    <row r="195" spans="1:72" x14ac:dyDescent="0.15">
      <c r="A195" t="s">
        <v>133</v>
      </c>
      <c r="B195" t="s">
        <v>4190</v>
      </c>
      <c r="C195" t="s">
        <v>74</v>
      </c>
      <c r="D195" t="s">
        <v>74</v>
      </c>
      <c r="E195" t="s">
        <v>74</v>
      </c>
      <c r="F195" t="s">
        <v>4191</v>
      </c>
      <c r="G195" t="s">
        <v>74</v>
      </c>
      <c r="H195" t="s">
        <v>74</v>
      </c>
      <c r="I195" t="s">
        <v>4192</v>
      </c>
      <c r="J195" t="s">
        <v>4193</v>
      </c>
      <c r="K195" t="s">
        <v>74</v>
      </c>
      <c r="L195" t="s">
        <v>74</v>
      </c>
      <c r="M195" t="s">
        <v>80</v>
      </c>
      <c r="N195" t="s">
        <v>138</v>
      </c>
      <c r="O195" t="s">
        <v>74</v>
      </c>
      <c r="P195" t="s">
        <v>74</v>
      </c>
      <c r="Q195" t="s">
        <v>74</v>
      </c>
      <c r="R195" t="s">
        <v>74</v>
      </c>
      <c r="S195" t="s">
        <v>74</v>
      </c>
      <c r="T195" t="s">
        <v>4194</v>
      </c>
      <c r="U195" t="s">
        <v>4195</v>
      </c>
      <c r="V195" t="s">
        <v>4196</v>
      </c>
      <c r="W195" t="s">
        <v>4197</v>
      </c>
      <c r="X195" t="s">
        <v>4198</v>
      </c>
      <c r="Y195" t="s">
        <v>4199</v>
      </c>
      <c r="Z195" t="s">
        <v>74</v>
      </c>
      <c r="AA195" t="s">
        <v>4200</v>
      </c>
      <c r="AB195" t="s">
        <v>4201</v>
      </c>
      <c r="AC195" t="s">
        <v>4202</v>
      </c>
      <c r="AD195" t="s">
        <v>4203</v>
      </c>
      <c r="AE195" t="s">
        <v>4204</v>
      </c>
      <c r="AF195" t="s">
        <v>74</v>
      </c>
      <c r="AG195">
        <v>35</v>
      </c>
      <c r="AH195">
        <v>11</v>
      </c>
      <c r="AI195">
        <v>12</v>
      </c>
      <c r="AJ195">
        <v>3</v>
      </c>
      <c r="AK195">
        <v>29</v>
      </c>
      <c r="AL195" t="s">
        <v>4205</v>
      </c>
      <c r="AM195" t="s">
        <v>4206</v>
      </c>
      <c r="AN195" t="s">
        <v>4207</v>
      </c>
      <c r="AO195" t="s">
        <v>4208</v>
      </c>
      <c r="AP195" t="s">
        <v>74</v>
      </c>
      <c r="AQ195" t="s">
        <v>74</v>
      </c>
      <c r="AR195" t="s">
        <v>4209</v>
      </c>
      <c r="AS195" t="s">
        <v>4210</v>
      </c>
      <c r="AT195" t="s">
        <v>1270</v>
      </c>
      <c r="AU195">
        <v>2019</v>
      </c>
      <c r="AV195">
        <v>24</v>
      </c>
      <c r="AW195">
        <v>4</v>
      </c>
      <c r="AX195" t="s">
        <v>74</v>
      </c>
      <c r="AY195" t="s">
        <v>74</v>
      </c>
      <c r="AZ195" t="s">
        <v>74</v>
      </c>
      <c r="BA195" t="s">
        <v>74</v>
      </c>
      <c r="BB195" t="s">
        <v>74</v>
      </c>
      <c r="BC195" t="s">
        <v>74</v>
      </c>
      <c r="BD195">
        <v>6</v>
      </c>
      <c r="BE195" t="s">
        <v>4211</v>
      </c>
      <c r="BF195" t="str">
        <f>HYPERLINK("http://dx.doi.org/10.5751/ES-11209-240406","http://dx.doi.org/10.5751/ES-11209-240406")</f>
        <v>http://dx.doi.org/10.5751/ES-11209-240406</v>
      </c>
      <c r="BG195" t="s">
        <v>74</v>
      </c>
      <c r="BH195" t="s">
        <v>74</v>
      </c>
      <c r="BI195">
        <v>14</v>
      </c>
      <c r="BJ195" t="s">
        <v>4212</v>
      </c>
      <c r="BK195" t="s">
        <v>360</v>
      </c>
      <c r="BL195" t="s">
        <v>388</v>
      </c>
      <c r="BM195" t="s">
        <v>4213</v>
      </c>
      <c r="BN195" t="s">
        <v>74</v>
      </c>
      <c r="BO195" t="s">
        <v>74</v>
      </c>
      <c r="BP195" t="s">
        <v>74</v>
      </c>
      <c r="BQ195" t="s">
        <v>74</v>
      </c>
      <c r="BR195" t="s">
        <v>108</v>
      </c>
      <c r="BS195" t="s">
        <v>4214</v>
      </c>
      <c r="BT195" t="str">
        <f>HYPERLINK("https%3A%2F%2Fwww.webofscience.com%2Fwos%2Fwoscc%2Ffull-record%2FWOS:000506574000024","View Full Record in Web of Science")</f>
        <v>View Full Record in Web of Science</v>
      </c>
    </row>
    <row r="196" spans="1:72" x14ac:dyDescent="0.15">
      <c r="A196" t="s">
        <v>133</v>
      </c>
      <c r="B196" t="s">
        <v>4215</v>
      </c>
      <c r="C196" t="s">
        <v>74</v>
      </c>
      <c r="D196" t="s">
        <v>74</v>
      </c>
      <c r="E196" t="s">
        <v>74</v>
      </c>
      <c r="F196" t="s">
        <v>4216</v>
      </c>
      <c r="G196" t="s">
        <v>74</v>
      </c>
      <c r="H196" t="s">
        <v>74</v>
      </c>
      <c r="I196" t="s">
        <v>4217</v>
      </c>
      <c r="J196" t="s">
        <v>4218</v>
      </c>
      <c r="K196" t="s">
        <v>74</v>
      </c>
      <c r="L196" t="s">
        <v>74</v>
      </c>
      <c r="M196" t="s">
        <v>80</v>
      </c>
      <c r="N196" t="s">
        <v>138</v>
      </c>
      <c r="O196" t="s">
        <v>74</v>
      </c>
      <c r="P196" t="s">
        <v>74</v>
      </c>
      <c r="Q196" t="s">
        <v>74</v>
      </c>
      <c r="R196" t="s">
        <v>74</v>
      </c>
      <c r="S196" t="s">
        <v>74</v>
      </c>
      <c r="T196" t="s">
        <v>4219</v>
      </c>
      <c r="U196" t="s">
        <v>4220</v>
      </c>
      <c r="V196" t="s">
        <v>4221</v>
      </c>
      <c r="W196" t="s">
        <v>4222</v>
      </c>
      <c r="X196" t="s">
        <v>4223</v>
      </c>
      <c r="Y196" t="s">
        <v>4224</v>
      </c>
      <c r="Z196" t="s">
        <v>4225</v>
      </c>
      <c r="AA196" t="s">
        <v>4226</v>
      </c>
      <c r="AB196" t="s">
        <v>4227</v>
      </c>
      <c r="AC196" t="s">
        <v>4228</v>
      </c>
      <c r="AD196" t="s">
        <v>4229</v>
      </c>
      <c r="AE196" t="s">
        <v>4230</v>
      </c>
      <c r="AF196" t="s">
        <v>74</v>
      </c>
      <c r="AG196">
        <v>54</v>
      </c>
      <c r="AH196">
        <v>1</v>
      </c>
      <c r="AI196">
        <v>1</v>
      </c>
      <c r="AJ196">
        <v>0</v>
      </c>
      <c r="AK196">
        <v>1</v>
      </c>
      <c r="AL196" t="s">
        <v>683</v>
      </c>
      <c r="AM196" t="s">
        <v>684</v>
      </c>
      <c r="AN196" t="s">
        <v>685</v>
      </c>
      <c r="AO196" t="s">
        <v>74</v>
      </c>
      <c r="AP196" t="s">
        <v>4231</v>
      </c>
      <c r="AQ196" t="s">
        <v>74</v>
      </c>
      <c r="AR196" t="s">
        <v>4218</v>
      </c>
      <c r="AS196" t="s">
        <v>4232</v>
      </c>
      <c r="AT196" t="s">
        <v>1270</v>
      </c>
      <c r="AU196">
        <v>2019</v>
      </c>
      <c r="AV196">
        <v>8</v>
      </c>
      <c r="AW196">
        <v>4</v>
      </c>
      <c r="AX196" t="s">
        <v>74</v>
      </c>
      <c r="AY196" t="s">
        <v>74</v>
      </c>
      <c r="AZ196" t="s">
        <v>74</v>
      </c>
      <c r="BA196" t="s">
        <v>74</v>
      </c>
      <c r="BB196" t="s">
        <v>74</v>
      </c>
      <c r="BC196" t="s">
        <v>74</v>
      </c>
      <c r="BD196">
        <v>244</v>
      </c>
      <c r="BE196" t="s">
        <v>4233</v>
      </c>
      <c r="BF196" t="str">
        <f>HYPERLINK("http://dx.doi.org/10.3390/pathogens8040244","http://dx.doi.org/10.3390/pathogens8040244")</f>
        <v>http://dx.doi.org/10.3390/pathogens8040244</v>
      </c>
      <c r="BG196" t="s">
        <v>74</v>
      </c>
      <c r="BH196" t="s">
        <v>74</v>
      </c>
      <c r="BI196">
        <v>18</v>
      </c>
      <c r="BJ196" t="s">
        <v>1713</v>
      </c>
      <c r="BK196" t="s">
        <v>294</v>
      </c>
      <c r="BL196" t="s">
        <v>1713</v>
      </c>
      <c r="BM196" t="s">
        <v>4234</v>
      </c>
      <c r="BN196">
        <v>31752364</v>
      </c>
      <c r="BO196" t="s">
        <v>693</v>
      </c>
      <c r="BP196" t="s">
        <v>74</v>
      </c>
      <c r="BQ196" t="s">
        <v>74</v>
      </c>
      <c r="BR196" t="s">
        <v>108</v>
      </c>
      <c r="BS196" t="s">
        <v>4235</v>
      </c>
      <c r="BT196" t="str">
        <f>HYPERLINK("https%3A%2F%2Fwww.webofscience.com%2Fwos%2Fwoscc%2Ffull-record%2FWOS:000506652300087","View Full Record in Web of Science")</f>
        <v>View Full Record in Web of Science</v>
      </c>
    </row>
    <row r="197" spans="1:72" x14ac:dyDescent="0.15">
      <c r="A197" t="s">
        <v>133</v>
      </c>
      <c r="B197" t="s">
        <v>4236</v>
      </c>
      <c r="C197" t="s">
        <v>74</v>
      </c>
      <c r="D197" t="s">
        <v>74</v>
      </c>
      <c r="E197" t="s">
        <v>74</v>
      </c>
      <c r="F197" t="s">
        <v>4237</v>
      </c>
      <c r="G197" t="s">
        <v>74</v>
      </c>
      <c r="H197" t="s">
        <v>74</v>
      </c>
      <c r="I197" t="s">
        <v>4238</v>
      </c>
      <c r="J197" t="s">
        <v>4239</v>
      </c>
      <c r="K197" t="s">
        <v>74</v>
      </c>
      <c r="L197" t="s">
        <v>74</v>
      </c>
      <c r="M197" t="s">
        <v>80</v>
      </c>
      <c r="N197" t="s">
        <v>930</v>
      </c>
      <c r="O197" t="s">
        <v>74</v>
      </c>
      <c r="P197" t="s">
        <v>74</v>
      </c>
      <c r="Q197" t="s">
        <v>74</v>
      </c>
      <c r="R197" t="s">
        <v>74</v>
      </c>
      <c r="S197" t="s">
        <v>74</v>
      </c>
      <c r="T197" t="s">
        <v>4240</v>
      </c>
      <c r="U197" t="s">
        <v>4241</v>
      </c>
      <c r="V197" t="s">
        <v>4242</v>
      </c>
      <c r="W197" t="s">
        <v>4243</v>
      </c>
      <c r="X197" t="s">
        <v>4244</v>
      </c>
      <c r="Y197" t="s">
        <v>4245</v>
      </c>
      <c r="Z197" t="s">
        <v>4246</v>
      </c>
      <c r="AA197" t="s">
        <v>4247</v>
      </c>
      <c r="AB197" t="s">
        <v>4248</v>
      </c>
      <c r="AC197" t="s">
        <v>4249</v>
      </c>
      <c r="AD197" t="s">
        <v>4250</v>
      </c>
      <c r="AE197" t="s">
        <v>4251</v>
      </c>
      <c r="AF197" t="s">
        <v>74</v>
      </c>
      <c r="AG197">
        <v>211</v>
      </c>
      <c r="AH197">
        <v>35</v>
      </c>
      <c r="AI197">
        <v>37</v>
      </c>
      <c r="AJ197">
        <v>2</v>
      </c>
      <c r="AK197">
        <v>31</v>
      </c>
      <c r="AL197" t="s">
        <v>683</v>
      </c>
      <c r="AM197" t="s">
        <v>684</v>
      </c>
      <c r="AN197" t="s">
        <v>685</v>
      </c>
      <c r="AO197" t="s">
        <v>74</v>
      </c>
      <c r="AP197" t="s">
        <v>4252</v>
      </c>
      <c r="AQ197" t="s">
        <v>74</v>
      </c>
      <c r="AR197" t="s">
        <v>4239</v>
      </c>
      <c r="AS197" t="s">
        <v>4253</v>
      </c>
      <c r="AT197" t="s">
        <v>1270</v>
      </c>
      <c r="AU197">
        <v>2019</v>
      </c>
      <c r="AV197">
        <v>9</v>
      </c>
      <c r="AW197">
        <v>12</v>
      </c>
      <c r="AX197" t="s">
        <v>74</v>
      </c>
      <c r="AY197" t="s">
        <v>74</v>
      </c>
      <c r="AZ197" t="s">
        <v>74</v>
      </c>
      <c r="BA197" t="s">
        <v>74</v>
      </c>
      <c r="BB197" t="s">
        <v>74</v>
      </c>
      <c r="BC197" t="s">
        <v>74</v>
      </c>
      <c r="BD197">
        <v>506</v>
      </c>
      <c r="BE197" t="s">
        <v>4254</v>
      </c>
      <c r="BF197" t="str">
        <f>HYPERLINK("http://dx.doi.org/10.3390/geosciences9120506","http://dx.doi.org/10.3390/geosciences9120506")</f>
        <v>http://dx.doi.org/10.3390/geosciences9120506</v>
      </c>
      <c r="BG197" t="s">
        <v>74</v>
      </c>
      <c r="BH197" t="s">
        <v>74</v>
      </c>
      <c r="BI197">
        <v>33</v>
      </c>
      <c r="BJ197" t="s">
        <v>849</v>
      </c>
      <c r="BK197" t="s">
        <v>160</v>
      </c>
      <c r="BL197" t="s">
        <v>850</v>
      </c>
      <c r="BM197" t="s">
        <v>4255</v>
      </c>
      <c r="BN197" t="s">
        <v>74</v>
      </c>
      <c r="BO197" t="s">
        <v>976</v>
      </c>
      <c r="BP197" t="s">
        <v>74</v>
      </c>
      <c r="BQ197" t="s">
        <v>74</v>
      </c>
      <c r="BR197" t="s">
        <v>108</v>
      </c>
      <c r="BS197" t="s">
        <v>4256</v>
      </c>
      <c r="BT197" t="str">
        <f>HYPERLINK("https%3A%2F%2Fwww.webofscience.com%2Fwos%2Fwoscc%2Ffull-record%2FWOS:000506643300001","View Full Record in Web of Science")</f>
        <v>View Full Record in Web of Science</v>
      </c>
    </row>
    <row r="198" spans="1:72" x14ac:dyDescent="0.15">
      <c r="A198" t="s">
        <v>133</v>
      </c>
      <c r="B198" t="s">
        <v>4257</v>
      </c>
      <c r="C198" t="s">
        <v>74</v>
      </c>
      <c r="D198" t="s">
        <v>74</v>
      </c>
      <c r="E198" t="s">
        <v>74</v>
      </c>
      <c r="F198" t="s">
        <v>4258</v>
      </c>
      <c r="G198" t="s">
        <v>74</v>
      </c>
      <c r="H198" t="s">
        <v>74</v>
      </c>
      <c r="I198" t="s">
        <v>4259</v>
      </c>
      <c r="J198" t="s">
        <v>4260</v>
      </c>
      <c r="K198" t="s">
        <v>74</v>
      </c>
      <c r="L198" t="s">
        <v>74</v>
      </c>
      <c r="M198" t="s">
        <v>80</v>
      </c>
      <c r="N198" t="s">
        <v>138</v>
      </c>
      <c r="O198" t="s">
        <v>74</v>
      </c>
      <c r="P198" t="s">
        <v>74</v>
      </c>
      <c r="Q198" t="s">
        <v>74</v>
      </c>
      <c r="R198" t="s">
        <v>74</v>
      </c>
      <c r="S198" t="s">
        <v>74</v>
      </c>
      <c r="T198" t="s">
        <v>4261</v>
      </c>
      <c r="U198" t="s">
        <v>4262</v>
      </c>
      <c r="V198" t="s">
        <v>4263</v>
      </c>
      <c r="W198" t="s">
        <v>4264</v>
      </c>
      <c r="X198" t="s">
        <v>4265</v>
      </c>
      <c r="Y198" t="s">
        <v>4266</v>
      </c>
      <c r="Z198" t="s">
        <v>4267</v>
      </c>
      <c r="AA198" t="s">
        <v>4268</v>
      </c>
      <c r="AB198" t="s">
        <v>4269</v>
      </c>
      <c r="AC198" t="s">
        <v>4270</v>
      </c>
      <c r="AD198" t="s">
        <v>4271</v>
      </c>
      <c r="AE198" t="s">
        <v>4272</v>
      </c>
      <c r="AF198" t="s">
        <v>74</v>
      </c>
      <c r="AG198">
        <v>39</v>
      </c>
      <c r="AH198">
        <v>19</v>
      </c>
      <c r="AI198">
        <v>20</v>
      </c>
      <c r="AJ198">
        <v>3</v>
      </c>
      <c r="AK198">
        <v>18</v>
      </c>
      <c r="AL198" t="s">
        <v>4273</v>
      </c>
      <c r="AM198" t="s">
        <v>4274</v>
      </c>
      <c r="AN198" t="s">
        <v>4275</v>
      </c>
      <c r="AO198" t="s">
        <v>4276</v>
      </c>
      <c r="AP198" t="s">
        <v>4277</v>
      </c>
      <c r="AQ198" t="s">
        <v>74</v>
      </c>
      <c r="AR198" t="s">
        <v>4278</v>
      </c>
      <c r="AS198" t="s">
        <v>4279</v>
      </c>
      <c r="AT198" t="s">
        <v>1270</v>
      </c>
      <c r="AU198">
        <v>2019</v>
      </c>
      <c r="AV198">
        <v>57</v>
      </c>
      <c r="AW198">
        <v>12</v>
      </c>
      <c r="AX198" t="s">
        <v>74</v>
      </c>
      <c r="AY198" t="s">
        <v>74</v>
      </c>
      <c r="AZ198" t="s">
        <v>74</v>
      </c>
      <c r="BA198" t="s">
        <v>74</v>
      </c>
      <c r="BB198">
        <v>9633</v>
      </c>
      <c r="BC198">
        <v>9642</v>
      </c>
      <c r="BD198" t="s">
        <v>74</v>
      </c>
      <c r="BE198" t="s">
        <v>4280</v>
      </c>
      <c r="BF198" t="str">
        <f>HYPERLINK("http://dx.doi.org/10.1109/TGRS.2019.2928232","http://dx.doi.org/10.1109/TGRS.2019.2928232")</f>
        <v>http://dx.doi.org/10.1109/TGRS.2019.2928232</v>
      </c>
      <c r="BG198" t="s">
        <v>74</v>
      </c>
      <c r="BH198" t="s">
        <v>74</v>
      </c>
      <c r="BI198">
        <v>10</v>
      </c>
      <c r="BJ198" t="s">
        <v>4281</v>
      </c>
      <c r="BK198" t="s">
        <v>294</v>
      </c>
      <c r="BL198" t="s">
        <v>4282</v>
      </c>
      <c r="BM198" t="s">
        <v>4283</v>
      </c>
      <c r="BN198" t="s">
        <v>74</v>
      </c>
      <c r="BO198" t="s">
        <v>638</v>
      </c>
      <c r="BP198" t="s">
        <v>74</v>
      </c>
      <c r="BQ198" t="s">
        <v>74</v>
      </c>
      <c r="BR198" t="s">
        <v>108</v>
      </c>
      <c r="BS198" t="s">
        <v>4284</v>
      </c>
      <c r="BT198" t="str">
        <f>HYPERLINK("https%3A%2F%2Fwww.webofscience.com%2Fwos%2Fwoscc%2Ffull-record%2FWOS:000505701800011","View Full Record in Web of Science")</f>
        <v>View Full Record in Web of Science</v>
      </c>
    </row>
    <row r="199" spans="1:72" x14ac:dyDescent="0.15">
      <c r="A199" t="s">
        <v>133</v>
      </c>
      <c r="B199" t="s">
        <v>4285</v>
      </c>
      <c r="C199" t="s">
        <v>74</v>
      </c>
      <c r="D199" t="s">
        <v>74</v>
      </c>
      <c r="E199" t="s">
        <v>74</v>
      </c>
      <c r="F199" t="s">
        <v>4286</v>
      </c>
      <c r="G199" t="s">
        <v>74</v>
      </c>
      <c r="H199" t="s">
        <v>74</v>
      </c>
      <c r="I199" t="s">
        <v>4287</v>
      </c>
      <c r="J199" t="s">
        <v>4288</v>
      </c>
      <c r="K199" t="s">
        <v>74</v>
      </c>
      <c r="L199" t="s">
        <v>74</v>
      </c>
      <c r="M199" t="s">
        <v>80</v>
      </c>
      <c r="N199" t="s">
        <v>138</v>
      </c>
      <c r="O199" t="s">
        <v>74</v>
      </c>
      <c r="P199" t="s">
        <v>74</v>
      </c>
      <c r="Q199" t="s">
        <v>74</v>
      </c>
      <c r="R199" t="s">
        <v>74</v>
      </c>
      <c r="S199" t="s">
        <v>74</v>
      </c>
      <c r="T199" t="s">
        <v>4289</v>
      </c>
      <c r="U199" t="s">
        <v>4290</v>
      </c>
      <c r="V199" t="s">
        <v>4291</v>
      </c>
      <c r="W199" t="s">
        <v>4292</v>
      </c>
      <c r="X199" t="s">
        <v>3800</v>
      </c>
      <c r="Y199" t="s">
        <v>4293</v>
      </c>
      <c r="Z199" t="s">
        <v>4294</v>
      </c>
      <c r="AA199" t="s">
        <v>4295</v>
      </c>
      <c r="AB199" t="s">
        <v>4296</v>
      </c>
      <c r="AC199" t="s">
        <v>4297</v>
      </c>
      <c r="AD199" t="s">
        <v>4298</v>
      </c>
      <c r="AE199" t="s">
        <v>4299</v>
      </c>
      <c r="AF199" t="s">
        <v>74</v>
      </c>
      <c r="AG199">
        <v>41</v>
      </c>
      <c r="AH199">
        <v>2</v>
      </c>
      <c r="AI199">
        <v>2</v>
      </c>
      <c r="AJ199">
        <v>0</v>
      </c>
      <c r="AK199">
        <v>11</v>
      </c>
      <c r="AL199" t="s">
        <v>4300</v>
      </c>
      <c r="AM199" t="s">
        <v>4301</v>
      </c>
      <c r="AN199" t="s">
        <v>4302</v>
      </c>
      <c r="AO199" t="s">
        <v>4303</v>
      </c>
      <c r="AP199" t="s">
        <v>74</v>
      </c>
      <c r="AQ199" t="s">
        <v>74</v>
      </c>
      <c r="AR199" t="s">
        <v>4304</v>
      </c>
      <c r="AS199" t="s">
        <v>4305</v>
      </c>
      <c r="AT199" t="s">
        <v>1270</v>
      </c>
      <c r="AU199">
        <v>2019</v>
      </c>
      <c r="AV199">
        <v>21</v>
      </c>
      <c r="AW199">
        <v>4</v>
      </c>
      <c r="AX199" t="s">
        <v>74</v>
      </c>
      <c r="AY199" t="s">
        <v>74</v>
      </c>
      <c r="AZ199" t="s">
        <v>74</v>
      </c>
      <c r="BA199" t="s">
        <v>74</v>
      </c>
      <c r="BB199">
        <v>449</v>
      </c>
      <c r="BC199">
        <v>454</v>
      </c>
      <c r="BD199" t="s">
        <v>74</v>
      </c>
      <c r="BE199" t="s">
        <v>4306</v>
      </c>
      <c r="BF199" t="str">
        <f>HYPERLINK("http://dx.doi.org/10.30955/gnj.002638","http://dx.doi.org/10.30955/gnj.002638")</f>
        <v>http://dx.doi.org/10.30955/gnj.002638</v>
      </c>
      <c r="BG199" t="s">
        <v>74</v>
      </c>
      <c r="BH199" t="s">
        <v>74</v>
      </c>
      <c r="BI199">
        <v>6</v>
      </c>
      <c r="BJ199" t="s">
        <v>387</v>
      </c>
      <c r="BK199" t="s">
        <v>294</v>
      </c>
      <c r="BL199" t="s">
        <v>388</v>
      </c>
      <c r="BM199" t="s">
        <v>4307</v>
      </c>
      <c r="BN199" t="s">
        <v>74</v>
      </c>
      <c r="BO199" t="s">
        <v>588</v>
      </c>
      <c r="BP199" t="s">
        <v>74</v>
      </c>
      <c r="BQ199" t="s">
        <v>74</v>
      </c>
      <c r="BR199" t="s">
        <v>108</v>
      </c>
      <c r="BS199" t="s">
        <v>4308</v>
      </c>
      <c r="BT199" t="str">
        <f>HYPERLINK("https%3A%2F%2Fwww.webofscience.com%2Fwos%2Fwoscc%2Ffull-record%2FWOS:000506145600004","View Full Record in Web of Science")</f>
        <v>View Full Record in Web of Science</v>
      </c>
    </row>
    <row r="200" spans="1:72" x14ac:dyDescent="0.15">
      <c r="A200" t="s">
        <v>133</v>
      </c>
      <c r="B200" t="s">
        <v>4309</v>
      </c>
      <c r="C200" t="s">
        <v>74</v>
      </c>
      <c r="D200" t="s">
        <v>74</v>
      </c>
      <c r="E200" t="s">
        <v>74</v>
      </c>
      <c r="F200" t="s">
        <v>4310</v>
      </c>
      <c r="G200" t="s">
        <v>74</v>
      </c>
      <c r="H200" t="s">
        <v>74</v>
      </c>
      <c r="I200" t="s">
        <v>4311</v>
      </c>
      <c r="J200" t="s">
        <v>4312</v>
      </c>
      <c r="K200" t="s">
        <v>74</v>
      </c>
      <c r="L200" t="s">
        <v>74</v>
      </c>
      <c r="M200" t="s">
        <v>80</v>
      </c>
      <c r="N200" t="s">
        <v>138</v>
      </c>
      <c r="O200" t="s">
        <v>74</v>
      </c>
      <c r="P200" t="s">
        <v>74</v>
      </c>
      <c r="Q200" t="s">
        <v>74</v>
      </c>
      <c r="R200" t="s">
        <v>74</v>
      </c>
      <c r="S200" t="s">
        <v>74</v>
      </c>
      <c r="T200" t="s">
        <v>74</v>
      </c>
      <c r="U200" t="s">
        <v>74</v>
      </c>
      <c r="V200" t="s">
        <v>4313</v>
      </c>
      <c r="W200" t="s">
        <v>4314</v>
      </c>
      <c r="X200" t="s">
        <v>4315</v>
      </c>
      <c r="Y200" t="s">
        <v>4316</v>
      </c>
      <c r="Z200" t="s">
        <v>4317</v>
      </c>
      <c r="AA200" t="s">
        <v>74</v>
      </c>
      <c r="AB200" t="s">
        <v>74</v>
      </c>
      <c r="AC200" t="s">
        <v>74</v>
      </c>
      <c r="AD200" t="s">
        <v>74</v>
      </c>
      <c r="AE200" t="s">
        <v>74</v>
      </c>
      <c r="AF200" t="s">
        <v>74</v>
      </c>
      <c r="AG200">
        <v>90</v>
      </c>
      <c r="AH200">
        <v>0</v>
      </c>
      <c r="AI200">
        <v>2</v>
      </c>
      <c r="AJ200">
        <v>4</v>
      </c>
      <c r="AK200">
        <v>20</v>
      </c>
      <c r="AL200" t="s">
        <v>4318</v>
      </c>
      <c r="AM200" t="s">
        <v>1238</v>
      </c>
      <c r="AN200" t="s">
        <v>4319</v>
      </c>
      <c r="AO200" t="s">
        <v>4320</v>
      </c>
      <c r="AP200" t="s">
        <v>74</v>
      </c>
      <c r="AQ200" t="s">
        <v>74</v>
      </c>
      <c r="AR200" t="s">
        <v>4321</v>
      </c>
      <c r="AS200" t="s">
        <v>4322</v>
      </c>
      <c r="AT200" t="s">
        <v>1270</v>
      </c>
      <c r="AU200">
        <v>2019</v>
      </c>
      <c r="AV200">
        <v>71</v>
      </c>
      <c r="AW200">
        <v>1</v>
      </c>
      <c r="AX200" t="s">
        <v>74</v>
      </c>
      <c r="AY200" t="s">
        <v>74</v>
      </c>
      <c r="AZ200" t="s">
        <v>74</v>
      </c>
      <c r="BA200" t="s">
        <v>74</v>
      </c>
      <c r="BB200">
        <v>229</v>
      </c>
      <c r="BC200">
        <v>260</v>
      </c>
      <c r="BD200" t="s">
        <v>74</v>
      </c>
      <c r="BE200" t="s">
        <v>74</v>
      </c>
      <c r="BF200" t="s">
        <v>74</v>
      </c>
      <c r="BG200" t="s">
        <v>74</v>
      </c>
      <c r="BH200" t="s">
        <v>74</v>
      </c>
      <c r="BI200">
        <v>32</v>
      </c>
      <c r="BJ200" t="s">
        <v>4323</v>
      </c>
      <c r="BK200" t="s">
        <v>717</v>
      </c>
      <c r="BL200" t="s">
        <v>4324</v>
      </c>
      <c r="BM200" t="s">
        <v>4325</v>
      </c>
      <c r="BN200" t="s">
        <v>74</v>
      </c>
      <c r="BO200" t="s">
        <v>74</v>
      </c>
      <c r="BP200" t="s">
        <v>74</v>
      </c>
      <c r="BQ200" t="s">
        <v>74</v>
      </c>
      <c r="BR200" t="s">
        <v>108</v>
      </c>
      <c r="BS200" t="s">
        <v>4326</v>
      </c>
      <c r="BT200" t="str">
        <f>HYPERLINK("https%3A%2F%2Fwww.webofscience.com%2Fwos%2Fwoscc%2Ffull-record%2FWOS:000505237500005","View Full Record in Web of Science")</f>
        <v>View Full Record in Web of Science</v>
      </c>
    </row>
    <row r="201" spans="1:72" x14ac:dyDescent="0.15">
      <c r="A201" t="s">
        <v>133</v>
      </c>
      <c r="B201" t="s">
        <v>4327</v>
      </c>
      <c r="C201" t="s">
        <v>74</v>
      </c>
      <c r="D201" t="s">
        <v>74</v>
      </c>
      <c r="E201" t="s">
        <v>74</v>
      </c>
      <c r="F201" t="s">
        <v>4328</v>
      </c>
      <c r="G201" t="s">
        <v>74</v>
      </c>
      <c r="H201" t="s">
        <v>74</v>
      </c>
      <c r="I201" t="s">
        <v>4329</v>
      </c>
      <c r="J201" t="s">
        <v>4330</v>
      </c>
      <c r="K201" t="s">
        <v>74</v>
      </c>
      <c r="L201" t="s">
        <v>74</v>
      </c>
      <c r="M201" t="s">
        <v>80</v>
      </c>
      <c r="N201" t="s">
        <v>138</v>
      </c>
      <c r="O201" t="s">
        <v>74</v>
      </c>
      <c r="P201" t="s">
        <v>74</v>
      </c>
      <c r="Q201" t="s">
        <v>74</v>
      </c>
      <c r="R201" t="s">
        <v>74</v>
      </c>
      <c r="S201" t="s">
        <v>74</v>
      </c>
      <c r="T201" t="s">
        <v>4331</v>
      </c>
      <c r="U201" t="s">
        <v>4332</v>
      </c>
      <c r="V201" t="s">
        <v>4333</v>
      </c>
      <c r="W201" t="s">
        <v>4334</v>
      </c>
      <c r="X201" t="s">
        <v>4335</v>
      </c>
      <c r="Y201" t="s">
        <v>4336</v>
      </c>
      <c r="Z201" t="s">
        <v>4337</v>
      </c>
      <c r="AA201" t="s">
        <v>4338</v>
      </c>
      <c r="AB201" t="s">
        <v>4339</v>
      </c>
      <c r="AC201" t="s">
        <v>4340</v>
      </c>
      <c r="AD201" t="s">
        <v>4341</v>
      </c>
      <c r="AE201" t="s">
        <v>4342</v>
      </c>
      <c r="AF201" t="s">
        <v>74</v>
      </c>
      <c r="AG201">
        <v>103</v>
      </c>
      <c r="AH201">
        <v>7</v>
      </c>
      <c r="AI201">
        <v>7</v>
      </c>
      <c r="AJ201">
        <v>0</v>
      </c>
      <c r="AK201">
        <v>22</v>
      </c>
      <c r="AL201" t="s">
        <v>429</v>
      </c>
      <c r="AM201" t="s">
        <v>430</v>
      </c>
      <c r="AN201" t="s">
        <v>431</v>
      </c>
      <c r="AO201" t="s">
        <v>4343</v>
      </c>
      <c r="AP201" t="s">
        <v>4344</v>
      </c>
      <c r="AQ201" t="s">
        <v>74</v>
      </c>
      <c r="AR201" t="s">
        <v>4345</v>
      </c>
      <c r="AS201" t="s">
        <v>4346</v>
      </c>
      <c r="AT201" t="s">
        <v>1270</v>
      </c>
      <c r="AU201">
        <v>2019</v>
      </c>
      <c r="AV201">
        <v>50</v>
      </c>
      <c r="AW201">
        <v>12</v>
      </c>
      <c r="AX201" t="s">
        <v>74</v>
      </c>
      <c r="AY201" t="s">
        <v>74</v>
      </c>
      <c r="AZ201" t="s">
        <v>74</v>
      </c>
      <c r="BA201" t="s">
        <v>74</v>
      </c>
      <c r="BB201" t="s">
        <v>74</v>
      </c>
      <c r="BC201" t="s">
        <v>74</v>
      </c>
      <c r="BD201" t="s">
        <v>4347</v>
      </c>
      <c r="BE201" t="s">
        <v>4348</v>
      </c>
      <c r="BF201" t="str">
        <f>HYPERLINK("http://dx.doi.org/10.1111/jav.02270","http://dx.doi.org/10.1111/jav.02270")</f>
        <v>http://dx.doi.org/10.1111/jav.02270</v>
      </c>
      <c r="BG201" t="s">
        <v>74</v>
      </c>
      <c r="BH201" t="s">
        <v>74</v>
      </c>
      <c r="BI201">
        <v>12</v>
      </c>
      <c r="BJ201" t="s">
        <v>3568</v>
      </c>
      <c r="BK201" t="s">
        <v>360</v>
      </c>
      <c r="BL201" t="s">
        <v>1219</v>
      </c>
      <c r="BM201" t="s">
        <v>4349</v>
      </c>
      <c r="BN201" t="s">
        <v>74</v>
      </c>
      <c r="BO201" t="s">
        <v>666</v>
      </c>
      <c r="BP201" t="s">
        <v>74</v>
      </c>
      <c r="BQ201" t="s">
        <v>74</v>
      </c>
      <c r="BR201" t="s">
        <v>108</v>
      </c>
      <c r="BS201" t="s">
        <v>4350</v>
      </c>
      <c r="BT201" t="str">
        <f>HYPERLINK("https%3A%2F%2Fwww.webofscience.com%2Fwos%2Fwoscc%2Ffull-record%2FWOS:000505535700007","View Full Record in Web of Science")</f>
        <v>View Full Record in Web of Science</v>
      </c>
    </row>
    <row r="202" spans="1:72" x14ac:dyDescent="0.15">
      <c r="A202" t="s">
        <v>133</v>
      </c>
      <c r="B202" t="s">
        <v>4351</v>
      </c>
      <c r="C202" t="s">
        <v>74</v>
      </c>
      <c r="D202" t="s">
        <v>74</v>
      </c>
      <c r="E202" t="s">
        <v>74</v>
      </c>
      <c r="F202" t="s">
        <v>4352</v>
      </c>
      <c r="G202" t="s">
        <v>74</v>
      </c>
      <c r="H202" t="s">
        <v>74</v>
      </c>
      <c r="I202" t="s">
        <v>4353</v>
      </c>
      <c r="J202" t="s">
        <v>4354</v>
      </c>
      <c r="K202" t="s">
        <v>74</v>
      </c>
      <c r="L202" t="s">
        <v>74</v>
      </c>
      <c r="M202" t="s">
        <v>4355</v>
      </c>
      <c r="N202" t="s">
        <v>138</v>
      </c>
      <c r="O202" t="s">
        <v>74</v>
      </c>
      <c r="P202" t="s">
        <v>74</v>
      </c>
      <c r="Q202" t="s">
        <v>74</v>
      </c>
      <c r="R202" t="s">
        <v>74</v>
      </c>
      <c r="S202" t="s">
        <v>74</v>
      </c>
      <c r="T202" t="s">
        <v>4356</v>
      </c>
      <c r="U202" t="s">
        <v>4357</v>
      </c>
      <c r="V202" t="s">
        <v>4358</v>
      </c>
      <c r="W202" t="s">
        <v>4359</v>
      </c>
      <c r="X202" t="s">
        <v>4360</v>
      </c>
      <c r="Y202" t="s">
        <v>4361</v>
      </c>
      <c r="Z202" t="s">
        <v>4362</v>
      </c>
      <c r="AA202" t="s">
        <v>4363</v>
      </c>
      <c r="AB202" t="s">
        <v>4364</v>
      </c>
      <c r="AC202" t="s">
        <v>74</v>
      </c>
      <c r="AD202" t="s">
        <v>74</v>
      </c>
      <c r="AE202" t="s">
        <v>74</v>
      </c>
      <c r="AF202" t="s">
        <v>74</v>
      </c>
      <c r="AG202">
        <v>19</v>
      </c>
      <c r="AH202">
        <v>2</v>
      </c>
      <c r="AI202">
        <v>2</v>
      </c>
      <c r="AJ202">
        <v>0</v>
      </c>
      <c r="AK202">
        <v>2</v>
      </c>
      <c r="AL202" t="s">
        <v>4365</v>
      </c>
      <c r="AM202" t="s">
        <v>1706</v>
      </c>
      <c r="AN202" t="s">
        <v>4366</v>
      </c>
      <c r="AO202" t="s">
        <v>4367</v>
      </c>
      <c r="AP202" t="s">
        <v>4368</v>
      </c>
      <c r="AQ202" t="s">
        <v>74</v>
      </c>
      <c r="AR202" t="s">
        <v>4369</v>
      </c>
      <c r="AS202" t="s">
        <v>4370</v>
      </c>
      <c r="AT202" t="s">
        <v>1270</v>
      </c>
      <c r="AU202">
        <v>2019</v>
      </c>
      <c r="AV202">
        <v>35</v>
      </c>
      <c r="AW202">
        <v>6</v>
      </c>
      <c r="AX202" t="s">
        <v>74</v>
      </c>
      <c r="AY202" t="s">
        <v>74</v>
      </c>
      <c r="AZ202" t="s">
        <v>74</v>
      </c>
      <c r="BA202" t="s">
        <v>74</v>
      </c>
      <c r="BB202">
        <v>933</v>
      </c>
      <c r="BC202">
        <v>944</v>
      </c>
      <c r="BD202" t="s">
        <v>74</v>
      </c>
      <c r="BE202" t="s">
        <v>4371</v>
      </c>
      <c r="BF202" t="str">
        <f>HYPERLINK("http://dx.doi.org/10.7780/kjrs.2019.35.6.1.5","http://dx.doi.org/10.7780/kjrs.2019.35.6.1.5")</f>
        <v>http://dx.doi.org/10.7780/kjrs.2019.35.6.1.5</v>
      </c>
      <c r="BG202" t="s">
        <v>74</v>
      </c>
      <c r="BH202" t="s">
        <v>74</v>
      </c>
      <c r="BI202">
        <v>12</v>
      </c>
      <c r="BJ202" t="s">
        <v>4372</v>
      </c>
      <c r="BK202" t="s">
        <v>160</v>
      </c>
      <c r="BL202" t="s">
        <v>4372</v>
      </c>
      <c r="BM202" t="s">
        <v>4373</v>
      </c>
      <c r="BN202" t="s">
        <v>74</v>
      </c>
      <c r="BO202" t="s">
        <v>74</v>
      </c>
      <c r="BP202" t="s">
        <v>74</v>
      </c>
      <c r="BQ202" t="s">
        <v>74</v>
      </c>
      <c r="BR202" t="s">
        <v>108</v>
      </c>
      <c r="BS202" t="s">
        <v>4374</v>
      </c>
      <c r="BT202" t="str">
        <f>HYPERLINK("https%3A%2F%2Fwww.webofscience.com%2Fwos%2Fwoscc%2Ffull-record%2FWOS:000505154000005","View Full Record in Web of Science")</f>
        <v>View Full Record in Web of Science</v>
      </c>
    </row>
    <row r="203" spans="1:72" x14ac:dyDescent="0.15">
      <c r="A203" t="s">
        <v>133</v>
      </c>
      <c r="B203" t="s">
        <v>4375</v>
      </c>
      <c r="C203" t="s">
        <v>74</v>
      </c>
      <c r="D203" t="s">
        <v>74</v>
      </c>
      <c r="E203" t="s">
        <v>74</v>
      </c>
      <c r="F203" t="s">
        <v>4376</v>
      </c>
      <c r="G203" t="s">
        <v>74</v>
      </c>
      <c r="H203" t="s">
        <v>74</v>
      </c>
      <c r="I203" t="s">
        <v>4377</v>
      </c>
      <c r="J203" t="s">
        <v>4378</v>
      </c>
      <c r="K203" t="s">
        <v>74</v>
      </c>
      <c r="L203" t="s">
        <v>74</v>
      </c>
      <c r="M203" t="s">
        <v>80</v>
      </c>
      <c r="N203" t="s">
        <v>138</v>
      </c>
      <c r="O203" t="s">
        <v>74</v>
      </c>
      <c r="P203" t="s">
        <v>74</v>
      </c>
      <c r="Q203" t="s">
        <v>74</v>
      </c>
      <c r="R203" t="s">
        <v>74</v>
      </c>
      <c r="S203" t="s">
        <v>74</v>
      </c>
      <c r="T203" t="s">
        <v>74</v>
      </c>
      <c r="U203" t="s">
        <v>4379</v>
      </c>
      <c r="V203" t="s">
        <v>4380</v>
      </c>
      <c r="W203" t="s">
        <v>4381</v>
      </c>
      <c r="X203" t="s">
        <v>4382</v>
      </c>
      <c r="Y203" t="s">
        <v>4383</v>
      </c>
      <c r="Z203" t="s">
        <v>4384</v>
      </c>
      <c r="AA203" t="s">
        <v>4385</v>
      </c>
      <c r="AB203" t="s">
        <v>4386</v>
      </c>
      <c r="AC203" t="s">
        <v>4387</v>
      </c>
      <c r="AD203" t="s">
        <v>4388</v>
      </c>
      <c r="AE203" t="s">
        <v>4389</v>
      </c>
      <c r="AF203" t="s">
        <v>74</v>
      </c>
      <c r="AG203">
        <v>111</v>
      </c>
      <c r="AH203">
        <v>69</v>
      </c>
      <c r="AI203">
        <v>75</v>
      </c>
      <c r="AJ203">
        <v>2</v>
      </c>
      <c r="AK203">
        <v>17</v>
      </c>
      <c r="AL203" t="s">
        <v>284</v>
      </c>
      <c r="AM203" t="s">
        <v>285</v>
      </c>
      <c r="AN203" t="s">
        <v>286</v>
      </c>
      <c r="AO203" t="s">
        <v>4390</v>
      </c>
      <c r="AP203" t="s">
        <v>4391</v>
      </c>
      <c r="AQ203" t="s">
        <v>74</v>
      </c>
      <c r="AR203" t="s">
        <v>4392</v>
      </c>
      <c r="AS203" t="s">
        <v>4393</v>
      </c>
      <c r="AT203" t="s">
        <v>3909</v>
      </c>
      <c r="AU203">
        <v>2019</v>
      </c>
      <c r="AV203">
        <v>535</v>
      </c>
      <c r="AW203" t="s">
        <v>74</v>
      </c>
      <c r="AX203" t="s">
        <v>74</v>
      </c>
      <c r="AY203" t="s">
        <v>74</v>
      </c>
      <c r="AZ203" t="s">
        <v>74</v>
      </c>
      <c r="BA203" t="s">
        <v>74</v>
      </c>
      <c r="BB203" t="s">
        <v>74</v>
      </c>
      <c r="BC203" t="s">
        <v>74</v>
      </c>
      <c r="BD203">
        <v>109346</v>
      </c>
      <c r="BE203" t="s">
        <v>4394</v>
      </c>
      <c r="BF203" t="str">
        <f>HYPERLINK("http://dx.doi.org/10.1016/j.palaeo.2019.109346","http://dx.doi.org/10.1016/j.palaeo.2019.109346")</f>
        <v>http://dx.doi.org/10.1016/j.palaeo.2019.109346</v>
      </c>
      <c r="BG203" t="s">
        <v>74</v>
      </c>
      <c r="BH203" t="s">
        <v>74</v>
      </c>
      <c r="BI203">
        <v>17</v>
      </c>
      <c r="BJ203" t="s">
        <v>4395</v>
      </c>
      <c r="BK203" t="s">
        <v>294</v>
      </c>
      <c r="BL203" t="s">
        <v>4396</v>
      </c>
      <c r="BM203" t="s">
        <v>4397</v>
      </c>
      <c r="BN203" t="s">
        <v>74</v>
      </c>
      <c r="BO203" t="s">
        <v>4398</v>
      </c>
      <c r="BP203" t="s">
        <v>74</v>
      </c>
      <c r="BQ203" t="s">
        <v>74</v>
      </c>
      <c r="BR203" t="s">
        <v>108</v>
      </c>
      <c r="BS203" t="s">
        <v>4399</v>
      </c>
      <c r="BT203" t="str">
        <f>HYPERLINK("https%3A%2F%2Fwww.webofscience.com%2Fwos%2Fwoscc%2Ffull-record%2FWOS:000504786400001","View Full Record in Web of Science")</f>
        <v>View Full Record in Web of Science</v>
      </c>
    </row>
    <row r="204" spans="1:72" x14ac:dyDescent="0.15">
      <c r="A204" t="s">
        <v>133</v>
      </c>
      <c r="B204" t="s">
        <v>4400</v>
      </c>
      <c r="C204" t="s">
        <v>74</v>
      </c>
      <c r="D204" t="s">
        <v>74</v>
      </c>
      <c r="E204" t="s">
        <v>74</v>
      </c>
      <c r="F204" t="s">
        <v>4401</v>
      </c>
      <c r="G204" t="s">
        <v>74</v>
      </c>
      <c r="H204" t="s">
        <v>74</v>
      </c>
      <c r="I204" t="s">
        <v>4402</v>
      </c>
      <c r="J204" t="s">
        <v>884</v>
      </c>
      <c r="K204" t="s">
        <v>74</v>
      </c>
      <c r="L204" t="s">
        <v>74</v>
      </c>
      <c r="M204" t="s">
        <v>80</v>
      </c>
      <c r="N204" t="s">
        <v>138</v>
      </c>
      <c r="O204" t="s">
        <v>74</v>
      </c>
      <c r="P204" t="s">
        <v>74</v>
      </c>
      <c r="Q204" t="s">
        <v>74</v>
      </c>
      <c r="R204" t="s">
        <v>74</v>
      </c>
      <c r="S204" t="s">
        <v>74</v>
      </c>
      <c r="T204" t="s">
        <v>4403</v>
      </c>
      <c r="U204" t="s">
        <v>4404</v>
      </c>
      <c r="V204" t="s">
        <v>4405</v>
      </c>
      <c r="W204" t="s">
        <v>4406</v>
      </c>
      <c r="X204" t="s">
        <v>4407</v>
      </c>
      <c r="Y204" t="s">
        <v>4408</v>
      </c>
      <c r="Z204" t="s">
        <v>4409</v>
      </c>
      <c r="AA204" t="s">
        <v>74</v>
      </c>
      <c r="AB204" t="s">
        <v>4410</v>
      </c>
      <c r="AC204" t="s">
        <v>4411</v>
      </c>
      <c r="AD204" t="s">
        <v>4412</v>
      </c>
      <c r="AE204" t="s">
        <v>4413</v>
      </c>
      <c r="AF204" t="s">
        <v>74</v>
      </c>
      <c r="AG204">
        <v>53</v>
      </c>
      <c r="AH204">
        <v>8</v>
      </c>
      <c r="AI204">
        <v>9</v>
      </c>
      <c r="AJ204">
        <v>0</v>
      </c>
      <c r="AK204">
        <v>17</v>
      </c>
      <c r="AL204" t="s">
        <v>578</v>
      </c>
      <c r="AM204" t="s">
        <v>380</v>
      </c>
      <c r="AN204" t="s">
        <v>579</v>
      </c>
      <c r="AO204" t="s">
        <v>896</v>
      </c>
      <c r="AP204" t="s">
        <v>897</v>
      </c>
      <c r="AQ204" t="s">
        <v>74</v>
      </c>
      <c r="AR204" t="s">
        <v>898</v>
      </c>
      <c r="AS204" t="s">
        <v>899</v>
      </c>
      <c r="AT204" t="s">
        <v>1270</v>
      </c>
      <c r="AU204">
        <v>2019</v>
      </c>
      <c r="AV204">
        <v>60</v>
      </c>
      <c r="AW204">
        <v>12</v>
      </c>
      <c r="AX204" t="s">
        <v>74</v>
      </c>
      <c r="AY204" t="s">
        <v>74</v>
      </c>
      <c r="AZ204" t="s">
        <v>555</v>
      </c>
      <c r="BA204" t="s">
        <v>74</v>
      </c>
      <c r="BB204">
        <v>2744</v>
      </c>
      <c r="BC204">
        <v>2757</v>
      </c>
      <c r="BD204" t="s">
        <v>74</v>
      </c>
      <c r="BE204" t="s">
        <v>4414</v>
      </c>
      <c r="BF204" t="str">
        <f>HYPERLINK("http://dx.doi.org/10.1093/pcp/pcz162","http://dx.doi.org/10.1093/pcp/pcz162")</f>
        <v>http://dx.doi.org/10.1093/pcp/pcz162</v>
      </c>
      <c r="BG204" t="s">
        <v>74</v>
      </c>
      <c r="BH204" t="s">
        <v>74</v>
      </c>
      <c r="BI204">
        <v>14</v>
      </c>
      <c r="BJ204" t="s">
        <v>901</v>
      </c>
      <c r="BK204" t="s">
        <v>294</v>
      </c>
      <c r="BL204" t="s">
        <v>901</v>
      </c>
      <c r="BM204" t="s">
        <v>4415</v>
      </c>
      <c r="BN204">
        <v>31418793</v>
      </c>
      <c r="BO204" t="s">
        <v>74</v>
      </c>
      <c r="BP204" t="s">
        <v>74</v>
      </c>
      <c r="BQ204" t="s">
        <v>74</v>
      </c>
      <c r="BR204" t="s">
        <v>108</v>
      </c>
      <c r="BS204" t="s">
        <v>4416</v>
      </c>
      <c r="BT204" t="str">
        <f>HYPERLINK("https%3A%2F%2Fwww.webofscience.com%2Fwos%2Fwoscc%2Ffull-record%2FWOS:000504924100014","View Full Record in Web of Science")</f>
        <v>View Full Record in Web of Science</v>
      </c>
    </row>
    <row r="205" spans="1:72" x14ac:dyDescent="0.15">
      <c r="A205" t="s">
        <v>133</v>
      </c>
      <c r="B205" t="s">
        <v>4417</v>
      </c>
      <c r="C205" t="s">
        <v>74</v>
      </c>
      <c r="D205" t="s">
        <v>74</v>
      </c>
      <c r="E205" t="s">
        <v>74</v>
      </c>
      <c r="F205" t="s">
        <v>4418</v>
      </c>
      <c r="G205" t="s">
        <v>74</v>
      </c>
      <c r="H205" t="s">
        <v>74</v>
      </c>
      <c r="I205" t="s">
        <v>4419</v>
      </c>
      <c r="J205" t="s">
        <v>4420</v>
      </c>
      <c r="K205" t="s">
        <v>74</v>
      </c>
      <c r="L205" t="s">
        <v>74</v>
      </c>
      <c r="M205" t="s">
        <v>80</v>
      </c>
      <c r="N205" t="s">
        <v>138</v>
      </c>
      <c r="O205" t="s">
        <v>74</v>
      </c>
      <c r="P205" t="s">
        <v>74</v>
      </c>
      <c r="Q205" t="s">
        <v>74</v>
      </c>
      <c r="R205" t="s">
        <v>74</v>
      </c>
      <c r="S205" t="s">
        <v>74</v>
      </c>
      <c r="T205" t="s">
        <v>4421</v>
      </c>
      <c r="U205" t="s">
        <v>4422</v>
      </c>
      <c r="V205" t="s">
        <v>4423</v>
      </c>
      <c r="W205" t="s">
        <v>4424</v>
      </c>
      <c r="X205" t="s">
        <v>4425</v>
      </c>
      <c r="Y205" t="s">
        <v>4426</v>
      </c>
      <c r="Z205" t="s">
        <v>4427</v>
      </c>
      <c r="AA205" t="s">
        <v>4428</v>
      </c>
      <c r="AB205" t="s">
        <v>4429</v>
      </c>
      <c r="AC205" t="s">
        <v>4430</v>
      </c>
      <c r="AD205" t="s">
        <v>4431</v>
      </c>
      <c r="AE205" t="s">
        <v>4432</v>
      </c>
      <c r="AF205" t="s">
        <v>74</v>
      </c>
      <c r="AG205">
        <v>26</v>
      </c>
      <c r="AH205">
        <v>2</v>
      </c>
      <c r="AI205">
        <v>2</v>
      </c>
      <c r="AJ205">
        <v>2</v>
      </c>
      <c r="AK205">
        <v>16</v>
      </c>
      <c r="AL205" t="s">
        <v>4433</v>
      </c>
      <c r="AM205" t="s">
        <v>4434</v>
      </c>
      <c r="AN205" t="s">
        <v>4435</v>
      </c>
      <c r="AO205" t="s">
        <v>4436</v>
      </c>
      <c r="AP205" t="s">
        <v>74</v>
      </c>
      <c r="AQ205" t="s">
        <v>74</v>
      </c>
      <c r="AR205" t="s">
        <v>4437</v>
      </c>
      <c r="AS205" t="s">
        <v>4438</v>
      </c>
      <c r="AT205" t="s">
        <v>1270</v>
      </c>
      <c r="AU205">
        <v>2019</v>
      </c>
      <c r="AV205">
        <v>49</v>
      </c>
      <c r="AW205">
        <v>4</v>
      </c>
      <c r="AX205" t="s">
        <v>74</v>
      </c>
      <c r="AY205" t="s">
        <v>74</v>
      </c>
      <c r="AZ205" t="s">
        <v>74</v>
      </c>
      <c r="BA205" t="s">
        <v>74</v>
      </c>
      <c r="BB205">
        <v>403</v>
      </c>
      <c r="BC205">
        <v>424</v>
      </c>
      <c r="BD205" t="s">
        <v>74</v>
      </c>
      <c r="BE205" t="s">
        <v>4439</v>
      </c>
      <c r="BF205" t="str">
        <f>HYPERLINK("http://dx.doi.org/10.2478/congeo-2019-0021","http://dx.doi.org/10.2478/congeo-2019-0021")</f>
        <v>http://dx.doi.org/10.2478/congeo-2019-0021</v>
      </c>
      <c r="BG205" t="s">
        <v>74</v>
      </c>
      <c r="BH205" t="s">
        <v>74</v>
      </c>
      <c r="BI205">
        <v>22</v>
      </c>
      <c r="BJ205" t="s">
        <v>1067</v>
      </c>
      <c r="BK205" t="s">
        <v>160</v>
      </c>
      <c r="BL205" t="s">
        <v>1067</v>
      </c>
      <c r="BM205" t="s">
        <v>4440</v>
      </c>
      <c r="BN205" t="s">
        <v>74</v>
      </c>
      <c r="BO205" t="s">
        <v>1276</v>
      </c>
      <c r="BP205" t="s">
        <v>74</v>
      </c>
      <c r="BQ205" t="s">
        <v>74</v>
      </c>
      <c r="BR205" t="s">
        <v>108</v>
      </c>
      <c r="BS205" t="s">
        <v>4441</v>
      </c>
      <c r="BT205" t="str">
        <f>HYPERLINK("https%3A%2F%2Fwww.webofscience.com%2Fwos%2Fwoscc%2Ffull-record%2FWOS:000504040100002","View Full Record in Web of Science")</f>
        <v>View Full Record in Web of Science</v>
      </c>
    </row>
    <row r="206" spans="1:72" x14ac:dyDescent="0.15">
      <c r="A206" t="s">
        <v>133</v>
      </c>
      <c r="B206" t="s">
        <v>4442</v>
      </c>
      <c r="C206" t="s">
        <v>74</v>
      </c>
      <c r="D206" t="s">
        <v>74</v>
      </c>
      <c r="E206" t="s">
        <v>74</v>
      </c>
      <c r="F206" t="s">
        <v>4443</v>
      </c>
      <c r="G206" t="s">
        <v>74</v>
      </c>
      <c r="H206" t="s">
        <v>74</v>
      </c>
      <c r="I206" t="s">
        <v>4444</v>
      </c>
      <c r="J206" t="s">
        <v>4445</v>
      </c>
      <c r="K206" t="s">
        <v>74</v>
      </c>
      <c r="L206" t="s">
        <v>74</v>
      </c>
      <c r="M206" t="s">
        <v>80</v>
      </c>
      <c r="N206" t="s">
        <v>1996</v>
      </c>
      <c r="O206" t="s">
        <v>4446</v>
      </c>
      <c r="P206" t="s">
        <v>4447</v>
      </c>
      <c r="Q206" t="s">
        <v>4448</v>
      </c>
      <c r="R206" t="s">
        <v>74</v>
      </c>
      <c r="S206" t="s">
        <v>74</v>
      </c>
      <c r="T206" t="s">
        <v>4449</v>
      </c>
      <c r="U206" t="s">
        <v>4450</v>
      </c>
      <c r="V206" t="s">
        <v>4451</v>
      </c>
      <c r="W206" t="s">
        <v>4452</v>
      </c>
      <c r="X206" t="s">
        <v>4453</v>
      </c>
      <c r="Y206" t="s">
        <v>4454</v>
      </c>
      <c r="Z206" t="s">
        <v>4455</v>
      </c>
      <c r="AA206" t="s">
        <v>4456</v>
      </c>
      <c r="AB206" t="s">
        <v>4457</v>
      </c>
      <c r="AC206" t="s">
        <v>4458</v>
      </c>
      <c r="AD206" t="s">
        <v>4459</v>
      </c>
      <c r="AE206" t="s">
        <v>4460</v>
      </c>
      <c r="AF206" t="s">
        <v>74</v>
      </c>
      <c r="AG206">
        <v>53</v>
      </c>
      <c r="AH206">
        <v>5</v>
      </c>
      <c r="AI206">
        <v>5</v>
      </c>
      <c r="AJ206">
        <v>0</v>
      </c>
      <c r="AK206">
        <v>11</v>
      </c>
      <c r="AL206" t="s">
        <v>4461</v>
      </c>
      <c r="AM206" t="s">
        <v>4462</v>
      </c>
      <c r="AN206" t="s">
        <v>4463</v>
      </c>
      <c r="AO206" t="s">
        <v>4464</v>
      </c>
      <c r="AP206" t="s">
        <v>4465</v>
      </c>
      <c r="AQ206" t="s">
        <v>74</v>
      </c>
      <c r="AR206" t="s">
        <v>4445</v>
      </c>
      <c r="AS206" t="s">
        <v>4466</v>
      </c>
      <c r="AT206" t="s">
        <v>1270</v>
      </c>
      <c r="AU206">
        <v>2019</v>
      </c>
      <c r="AV206">
        <v>61</v>
      </c>
      <c r="AW206">
        <v>6</v>
      </c>
      <c r="AX206">
        <v>2</v>
      </c>
      <c r="AY206" t="s">
        <v>74</v>
      </c>
      <c r="AZ206" t="s">
        <v>74</v>
      </c>
      <c r="BA206" t="s">
        <v>74</v>
      </c>
      <c r="BB206">
        <v>1685</v>
      </c>
      <c r="BC206">
        <v>1696</v>
      </c>
      <c r="BD206" t="s">
        <v>74</v>
      </c>
      <c r="BE206" t="s">
        <v>4467</v>
      </c>
      <c r="BF206" t="str">
        <f>HYPERLINK("http://dx.doi.org/10.1017/RDC.2019.122","http://dx.doi.org/10.1017/RDC.2019.122")</f>
        <v>http://dx.doi.org/10.1017/RDC.2019.122</v>
      </c>
      <c r="BG206" t="s">
        <v>74</v>
      </c>
      <c r="BH206" t="s">
        <v>74</v>
      </c>
      <c r="BI206">
        <v>12</v>
      </c>
      <c r="BJ206" t="s">
        <v>1067</v>
      </c>
      <c r="BK206" t="s">
        <v>2020</v>
      </c>
      <c r="BL206" t="s">
        <v>1067</v>
      </c>
      <c r="BM206" t="s">
        <v>4468</v>
      </c>
      <c r="BN206" t="s">
        <v>74</v>
      </c>
      <c r="BO206" t="s">
        <v>74</v>
      </c>
      <c r="BP206" t="s">
        <v>74</v>
      </c>
      <c r="BQ206" t="s">
        <v>74</v>
      </c>
      <c r="BR206" t="s">
        <v>108</v>
      </c>
      <c r="BS206" t="s">
        <v>4469</v>
      </c>
      <c r="BT206" t="str">
        <f>HYPERLINK("https%3A%2F%2Fwww.webofscience.com%2Fwos%2Fwoscc%2Ffull-record%2FWOS:000504752800007","View Full Record in Web of Science")</f>
        <v>View Full Record in Web of Science</v>
      </c>
    </row>
    <row r="207" spans="1:72" x14ac:dyDescent="0.15">
      <c r="A207" t="s">
        <v>133</v>
      </c>
      <c r="B207" t="s">
        <v>4470</v>
      </c>
      <c r="C207" t="s">
        <v>74</v>
      </c>
      <c r="D207" t="s">
        <v>74</v>
      </c>
      <c r="E207" t="s">
        <v>74</v>
      </c>
      <c r="F207" t="s">
        <v>4471</v>
      </c>
      <c r="G207" t="s">
        <v>74</v>
      </c>
      <c r="H207" t="s">
        <v>74</v>
      </c>
      <c r="I207" t="s">
        <v>4472</v>
      </c>
      <c r="J207" t="s">
        <v>4473</v>
      </c>
      <c r="K207" t="s">
        <v>74</v>
      </c>
      <c r="L207" t="s">
        <v>74</v>
      </c>
      <c r="M207" t="s">
        <v>80</v>
      </c>
      <c r="N207" t="s">
        <v>138</v>
      </c>
      <c r="O207" t="s">
        <v>74</v>
      </c>
      <c r="P207" t="s">
        <v>74</v>
      </c>
      <c r="Q207" t="s">
        <v>74</v>
      </c>
      <c r="R207" t="s">
        <v>74</v>
      </c>
      <c r="S207" t="s">
        <v>74</v>
      </c>
      <c r="T207" t="s">
        <v>4474</v>
      </c>
      <c r="U207" t="s">
        <v>4475</v>
      </c>
      <c r="V207" t="s">
        <v>4476</v>
      </c>
      <c r="W207" t="s">
        <v>4477</v>
      </c>
      <c r="X207" t="s">
        <v>4478</v>
      </c>
      <c r="Y207" t="s">
        <v>4479</v>
      </c>
      <c r="Z207" t="s">
        <v>4480</v>
      </c>
      <c r="AA207" t="s">
        <v>4481</v>
      </c>
      <c r="AB207" t="s">
        <v>4482</v>
      </c>
      <c r="AC207" t="s">
        <v>4483</v>
      </c>
      <c r="AD207" t="s">
        <v>4484</v>
      </c>
      <c r="AE207" t="s">
        <v>4485</v>
      </c>
      <c r="AF207" t="s">
        <v>74</v>
      </c>
      <c r="AG207">
        <v>79</v>
      </c>
      <c r="AH207">
        <v>6</v>
      </c>
      <c r="AI207">
        <v>6</v>
      </c>
      <c r="AJ207">
        <v>1</v>
      </c>
      <c r="AK207">
        <v>8</v>
      </c>
      <c r="AL207" t="s">
        <v>4486</v>
      </c>
      <c r="AM207" t="s">
        <v>4487</v>
      </c>
      <c r="AN207" t="s">
        <v>4488</v>
      </c>
      <c r="AO207" t="s">
        <v>4489</v>
      </c>
      <c r="AP207" t="s">
        <v>4490</v>
      </c>
      <c r="AQ207" t="s">
        <v>74</v>
      </c>
      <c r="AR207" t="s">
        <v>4491</v>
      </c>
      <c r="AS207" t="s">
        <v>4492</v>
      </c>
      <c r="AT207" t="s">
        <v>1270</v>
      </c>
      <c r="AU207">
        <v>2019</v>
      </c>
      <c r="AV207">
        <v>18</v>
      </c>
      <c r="AW207">
        <v>8</v>
      </c>
      <c r="AX207" t="s">
        <v>74</v>
      </c>
      <c r="AY207" t="s">
        <v>74</v>
      </c>
      <c r="AZ207" t="s">
        <v>74</v>
      </c>
      <c r="BA207" t="s">
        <v>74</v>
      </c>
      <c r="BB207">
        <v>925</v>
      </c>
      <c r="BC207">
        <v>947</v>
      </c>
      <c r="BD207" t="s">
        <v>74</v>
      </c>
      <c r="BE207" t="s">
        <v>4493</v>
      </c>
      <c r="BF207" t="str">
        <f>HYPERLINK("http://dx.doi.org/10.1016/j.crpv.2019.10.003","http://dx.doi.org/10.1016/j.crpv.2019.10.003")</f>
        <v>http://dx.doi.org/10.1016/j.crpv.2019.10.003</v>
      </c>
      <c r="BG207" t="s">
        <v>74</v>
      </c>
      <c r="BH207" t="s">
        <v>74</v>
      </c>
      <c r="BI207">
        <v>23</v>
      </c>
      <c r="BJ207" t="s">
        <v>3501</v>
      </c>
      <c r="BK207" t="s">
        <v>294</v>
      </c>
      <c r="BL207" t="s">
        <v>3501</v>
      </c>
      <c r="BM207" t="s">
        <v>4494</v>
      </c>
      <c r="BN207" t="s">
        <v>74</v>
      </c>
      <c r="BO207" t="s">
        <v>588</v>
      </c>
      <c r="BP207" t="s">
        <v>74</v>
      </c>
      <c r="BQ207" t="s">
        <v>74</v>
      </c>
      <c r="BR207" t="s">
        <v>108</v>
      </c>
      <c r="BS207" t="s">
        <v>4495</v>
      </c>
      <c r="BT207" t="str">
        <f>HYPERLINK("https%3A%2F%2Fwww.webofscience.com%2Fwos%2Fwoscc%2Ffull-record%2FWOS:000502553800003","View Full Record in Web of Science")</f>
        <v>View Full Record in Web of Science</v>
      </c>
    </row>
    <row r="208" spans="1:72" x14ac:dyDescent="0.15">
      <c r="A208" t="s">
        <v>133</v>
      </c>
      <c r="B208" t="s">
        <v>4496</v>
      </c>
      <c r="C208" t="s">
        <v>74</v>
      </c>
      <c r="D208" t="s">
        <v>74</v>
      </c>
      <c r="E208" t="s">
        <v>74</v>
      </c>
      <c r="F208" t="s">
        <v>4497</v>
      </c>
      <c r="G208" t="s">
        <v>74</v>
      </c>
      <c r="H208" t="s">
        <v>74</v>
      </c>
      <c r="I208" t="s">
        <v>4498</v>
      </c>
      <c r="J208" t="s">
        <v>1693</v>
      </c>
      <c r="K208" t="s">
        <v>74</v>
      </c>
      <c r="L208" t="s">
        <v>74</v>
      </c>
      <c r="M208" t="s">
        <v>80</v>
      </c>
      <c r="N208" t="s">
        <v>138</v>
      </c>
      <c r="O208" t="s">
        <v>74</v>
      </c>
      <c r="P208" t="s">
        <v>74</v>
      </c>
      <c r="Q208" t="s">
        <v>74</v>
      </c>
      <c r="R208" t="s">
        <v>74</v>
      </c>
      <c r="S208" t="s">
        <v>74</v>
      </c>
      <c r="T208" t="s">
        <v>4499</v>
      </c>
      <c r="U208" t="s">
        <v>4500</v>
      </c>
      <c r="V208" t="s">
        <v>4501</v>
      </c>
      <c r="W208" t="s">
        <v>4502</v>
      </c>
      <c r="X208" t="s">
        <v>4503</v>
      </c>
      <c r="Y208" t="s">
        <v>4504</v>
      </c>
      <c r="Z208" t="s">
        <v>4505</v>
      </c>
      <c r="AA208" t="s">
        <v>4506</v>
      </c>
      <c r="AB208" t="s">
        <v>4507</v>
      </c>
      <c r="AC208" t="s">
        <v>4508</v>
      </c>
      <c r="AD208" t="s">
        <v>4509</v>
      </c>
      <c r="AE208" t="s">
        <v>4510</v>
      </c>
      <c r="AF208" t="s">
        <v>74</v>
      </c>
      <c r="AG208">
        <v>60</v>
      </c>
      <c r="AH208">
        <v>7</v>
      </c>
      <c r="AI208">
        <v>7</v>
      </c>
      <c r="AJ208">
        <v>10</v>
      </c>
      <c r="AK208">
        <v>61</v>
      </c>
      <c r="AL208" t="s">
        <v>1705</v>
      </c>
      <c r="AM208" t="s">
        <v>1706</v>
      </c>
      <c r="AN208" t="s">
        <v>1707</v>
      </c>
      <c r="AO208" t="s">
        <v>1708</v>
      </c>
      <c r="AP208" t="s">
        <v>1709</v>
      </c>
      <c r="AQ208" t="s">
        <v>74</v>
      </c>
      <c r="AR208" t="s">
        <v>1710</v>
      </c>
      <c r="AS208" t="s">
        <v>1711</v>
      </c>
      <c r="AT208" t="s">
        <v>1270</v>
      </c>
      <c r="AU208">
        <v>2019</v>
      </c>
      <c r="AV208">
        <v>57</v>
      </c>
      <c r="AW208">
        <v>12</v>
      </c>
      <c r="AX208" t="s">
        <v>74</v>
      </c>
      <c r="AY208" t="s">
        <v>74</v>
      </c>
      <c r="AZ208" t="s">
        <v>74</v>
      </c>
      <c r="BA208" t="s">
        <v>74</v>
      </c>
      <c r="BB208">
        <v>1095</v>
      </c>
      <c r="BC208">
        <v>1104</v>
      </c>
      <c r="BD208" t="s">
        <v>74</v>
      </c>
      <c r="BE208" t="s">
        <v>4511</v>
      </c>
      <c r="BF208" t="str">
        <f>HYPERLINK("http://dx.doi.org/10.1007/s12275-019-9366-2","http://dx.doi.org/10.1007/s12275-019-9366-2")</f>
        <v>http://dx.doi.org/10.1007/s12275-019-9366-2</v>
      </c>
      <c r="BG208" t="s">
        <v>74</v>
      </c>
      <c r="BH208" t="s">
        <v>74</v>
      </c>
      <c r="BI208">
        <v>10</v>
      </c>
      <c r="BJ208" t="s">
        <v>1713</v>
      </c>
      <c r="BK208" t="s">
        <v>294</v>
      </c>
      <c r="BL208" t="s">
        <v>1713</v>
      </c>
      <c r="BM208" t="s">
        <v>4512</v>
      </c>
      <c r="BN208">
        <v>31758395</v>
      </c>
      <c r="BO208" t="s">
        <v>74</v>
      </c>
      <c r="BP208" t="s">
        <v>74</v>
      </c>
      <c r="BQ208" t="s">
        <v>74</v>
      </c>
      <c r="BR208" t="s">
        <v>108</v>
      </c>
      <c r="BS208" t="s">
        <v>4513</v>
      </c>
      <c r="BT208" t="str">
        <f>HYPERLINK("https%3A%2F%2Fwww.webofscience.com%2Fwos%2Fwoscc%2Ffull-record%2FWOS:000504031800008","View Full Record in Web of Science")</f>
        <v>View Full Record in Web of Science</v>
      </c>
    </row>
    <row r="209" spans="1:72" x14ac:dyDescent="0.15">
      <c r="A209" t="s">
        <v>133</v>
      </c>
      <c r="B209" t="s">
        <v>4514</v>
      </c>
      <c r="C209" t="s">
        <v>74</v>
      </c>
      <c r="D209" t="s">
        <v>74</v>
      </c>
      <c r="E209" t="s">
        <v>74</v>
      </c>
      <c r="F209" t="s">
        <v>4515</v>
      </c>
      <c r="G209" t="s">
        <v>74</v>
      </c>
      <c r="H209" t="s">
        <v>74</v>
      </c>
      <c r="I209" t="s">
        <v>4516</v>
      </c>
      <c r="J209" t="s">
        <v>4517</v>
      </c>
      <c r="K209" t="s">
        <v>74</v>
      </c>
      <c r="L209" t="s">
        <v>74</v>
      </c>
      <c r="M209" t="s">
        <v>80</v>
      </c>
      <c r="N209" t="s">
        <v>138</v>
      </c>
      <c r="O209" t="s">
        <v>74</v>
      </c>
      <c r="P209" t="s">
        <v>74</v>
      </c>
      <c r="Q209" t="s">
        <v>74</v>
      </c>
      <c r="R209" t="s">
        <v>74</v>
      </c>
      <c r="S209" t="s">
        <v>74</v>
      </c>
      <c r="T209" t="s">
        <v>4518</v>
      </c>
      <c r="U209" t="s">
        <v>4519</v>
      </c>
      <c r="V209" t="s">
        <v>4520</v>
      </c>
      <c r="W209" t="s">
        <v>4521</v>
      </c>
      <c r="X209" t="s">
        <v>4522</v>
      </c>
      <c r="Y209" t="s">
        <v>4523</v>
      </c>
      <c r="Z209" t="s">
        <v>4524</v>
      </c>
      <c r="AA209" t="s">
        <v>74</v>
      </c>
      <c r="AB209" t="s">
        <v>74</v>
      </c>
      <c r="AC209" t="s">
        <v>4525</v>
      </c>
      <c r="AD209" t="s">
        <v>4526</v>
      </c>
      <c r="AE209" t="s">
        <v>4527</v>
      </c>
      <c r="AF209" t="s">
        <v>74</v>
      </c>
      <c r="AG209">
        <v>33</v>
      </c>
      <c r="AH209">
        <v>22</v>
      </c>
      <c r="AI209">
        <v>24</v>
      </c>
      <c r="AJ209">
        <v>1</v>
      </c>
      <c r="AK209">
        <v>9</v>
      </c>
      <c r="AL209" t="s">
        <v>4528</v>
      </c>
      <c r="AM209" t="s">
        <v>1706</v>
      </c>
      <c r="AN209" t="s">
        <v>4529</v>
      </c>
      <c r="AO209" t="s">
        <v>4530</v>
      </c>
      <c r="AP209" t="s">
        <v>4531</v>
      </c>
      <c r="AQ209" t="s">
        <v>74</v>
      </c>
      <c r="AR209" t="s">
        <v>4532</v>
      </c>
      <c r="AS209" t="s">
        <v>4533</v>
      </c>
      <c r="AT209" t="s">
        <v>1270</v>
      </c>
      <c r="AU209">
        <v>2019</v>
      </c>
      <c r="AV209">
        <v>34</v>
      </c>
      <c r="AW209">
        <v>4</v>
      </c>
      <c r="AX209" t="s">
        <v>74</v>
      </c>
      <c r="AY209" t="s">
        <v>74</v>
      </c>
      <c r="AZ209" t="s">
        <v>74</v>
      </c>
      <c r="BA209" t="s">
        <v>74</v>
      </c>
      <c r="BB209">
        <v>267</v>
      </c>
      <c r="BC209">
        <v>275</v>
      </c>
      <c r="BD209" t="s">
        <v>74</v>
      </c>
      <c r="BE209" t="s">
        <v>4534</v>
      </c>
      <c r="BF209" t="str">
        <f>HYPERLINK("http://dx.doi.org/10.4490/algae.2019.34.10.15","http://dx.doi.org/10.4490/algae.2019.34.10.15")</f>
        <v>http://dx.doi.org/10.4490/algae.2019.34.10.15</v>
      </c>
      <c r="BG209" t="s">
        <v>74</v>
      </c>
      <c r="BH209" t="s">
        <v>74</v>
      </c>
      <c r="BI209">
        <v>9</v>
      </c>
      <c r="BJ209" t="s">
        <v>4535</v>
      </c>
      <c r="BK209" t="s">
        <v>294</v>
      </c>
      <c r="BL209" t="s">
        <v>4535</v>
      </c>
      <c r="BM209" t="s">
        <v>4536</v>
      </c>
      <c r="BN209" t="s">
        <v>74</v>
      </c>
      <c r="BO209" t="s">
        <v>107</v>
      </c>
      <c r="BP209" t="s">
        <v>74</v>
      </c>
      <c r="BQ209" t="s">
        <v>74</v>
      </c>
      <c r="BR209" t="s">
        <v>108</v>
      </c>
      <c r="BS209" t="s">
        <v>4537</v>
      </c>
      <c r="BT209" t="str">
        <f>HYPERLINK("https%3A%2F%2Fwww.webofscience.com%2Fwos%2Fwoscc%2Ffull-record%2FWOS:000503853300002","View Full Record in Web of Science")</f>
        <v>View Full Record in Web of Science</v>
      </c>
    </row>
    <row r="210" spans="1:72" x14ac:dyDescent="0.15">
      <c r="A210" t="s">
        <v>133</v>
      </c>
      <c r="B210" t="s">
        <v>4538</v>
      </c>
      <c r="C210" t="s">
        <v>74</v>
      </c>
      <c r="D210" t="s">
        <v>74</v>
      </c>
      <c r="E210" t="s">
        <v>74</v>
      </c>
      <c r="F210" t="s">
        <v>4539</v>
      </c>
      <c r="G210" t="s">
        <v>74</v>
      </c>
      <c r="H210" t="s">
        <v>74</v>
      </c>
      <c r="I210" t="s">
        <v>4540</v>
      </c>
      <c r="J210" t="s">
        <v>4541</v>
      </c>
      <c r="K210" t="s">
        <v>74</v>
      </c>
      <c r="L210" t="s">
        <v>74</v>
      </c>
      <c r="M210" t="s">
        <v>80</v>
      </c>
      <c r="N210" t="s">
        <v>138</v>
      </c>
      <c r="O210" t="s">
        <v>74</v>
      </c>
      <c r="P210" t="s">
        <v>74</v>
      </c>
      <c r="Q210" t="s">
        <v>74</v>
      </c>
      <c r="R210" t="s">
        <v>74</v>
      </c>
      <c r="S210" t="s">
        <v>74</v>
      </c>
      <c r="T210" t="s">
        <v>4542</v>
      </c>
      <c r="U210" t="s">
        <v>4543</v>
      </c>
      <c r="V210" t="s">
        <v>4544</v>
      </c>
      <c r="W210" t="s">
        <v>4545</v>
      </c>
      <c r="X210" t="s">
        <v>4546</v>
      </c>
      <c r="Y210" t="s">
        <v>4547</v>
      </c>
      <c r="Z210" t="s">
        <v>4548</v>
      </c>
      <c r="AA210" t="s">
        <v>4549</v>
      </c>
      <c r="AB210" t="s">
        <v>4550</v>
      </c>
      <c r="AC210" t="s">
        <v>4551</v>
      </c>
      <c r="AD210" t="s">
        <v>4552</v>
      </c>
      <c r="AE210" t="s">
        <v>4553</v>
      </c>
      <c r="AF210" t="s">
        <v>74</v>
      </c>
      <c r="AG210">
        <v>49</v>
      </c>
      <c r="AH210">
        <v>1</v>
      </c>
      <c r="AI210">
        <v>1</v>
      </c>
      <c r="AJ210">
        <v>0</v>
      </c>
      <c r="AK210">
        <v>8</v>
      </c>
      <c r="AL210" t="s">
        <v>4554</v>
      </c>
      <c r="AM210" t="s">
        <v>124</v>
      </c>
      <c r="AN210" t="s">
        <v>4555</v>
      </c>
      <c r="AO210" t="s">
        <v>4556</v>
      </c>
      <c r="AP210" t="s">
        <v>4557</v>
      </c>
      <c r="AQ210" t="s">
        <v>74</v>
      </c>
      <c r="AR210" t="s">
        <v>4541</v>
      </c>
      <c r="AS210" t="s">
        <v>4558</v>
      </c>
      <c r="AT210" t="s">
        <v>1270</v>
      </c>
      <c r="AU210">
        <v>2019</v>
      </c>
      <c r="AV210">
        <v>92</v>
      </c>
      <c r="AW210" t="s">
        <v>4559</v>
      </c>
      <c r="AX210" t="s">
        <v>74</v>
      </c>
      <c r="AY210" t="s">
        <v>74</v>
      </c>
      <c r="AZ210" t="s">
        <v>74</v>
      </c>
      <c r="BA210" t="s">
        <v>74</v>
      </c>
      <c r="BB210">
        <v>1295</v>
      </c>
      <c r="BC210">
        <v>1309</v>
      </c>
      <c r="BD210" t="s">
        <v>74</v>
      </c>
      <c r="BE210" t="s">
        <v>4560</v>
      </c>
      <c r="BF210" t="str">
        <f>HYPERLINK("http://dx.doi.org/10.1163/15685403-00003950","http://dx.doi.org/10.1163/15685403-00003950")</f>
        <v>http://dx.doi.org/10.1163/15685403-00003950</v>
      </c>
      <c r="BG210" t="s">
        <v>74</v>
      </c>
      <c r="BH210" t="s">
        <v>74</v>
      </c>
      <c r="BI210">
        <v>15</v>
      </c>
      <c r="BJ210" t="s">
        <v>557</v>
      </c>
      <c r="BK210" t="s">
        <v>294</v>
      </c>
      <c r="BL210" t="s">
        <v>557</v>
      </c>
      <c r="BM210" t="s">
        <v>4561</v>
      </c>
      <c r="BN210" t="s">
        <v>74</v>
      </c>
      <c r="BO210" t="s">
        <v>74</v>
      </c>
      <c r="BP210" t="s">
        <v>74</v>
      </c>
      <c r="BQ210" t="s">
        <v>74</v>
      </c>
      <c r="BR210" t="s">
        <v>108</v>
      </c>
      <c r="BS210" t="s">
        <v>4562</v>
      </c>
      <c r="BT210" t="str">
        <f>HYPERLINK("https%3A%2F%2Fwww.webofscience.com%2Fwos%2Fwoscc%2Ffull-record%2FWOS:000503831700003","View Full Record in Web of Science")</f>
        <v>View Full Record in Web of Science</v>
      </c>
    </row>
    <row r="211" spans="1:72" x14ac:dyDescent="0.15">
      <c r="A211" t="s">
        <v>133</v>
      </c>
      <c r="B211" t="s">
        <v>4563</v>
      </c>
      <c r="C211" t="s">
        <v>74</v>
      </c>
      <c r="D211" t="s">
        <v>74</v>
      </c>
      <c r="E211" t="s">
        <v>74</v>
      </c>
      <c r="F211" t="s">
        <v>4564</v>
      </c>
      <c r="G211" t="s">
        <v>74</v>
      </c>
      <c r="H211" t="s">
        <v>74</v>
      </c>
      <c r="I211" t="s">
        <v>4565</v>
      </c>
      <c r="J211" t="s">
        <v>4566</v>
      </c>
      <c r="K211" t="s">
        <v>74</v>
      </c>
      <c r="L211" t="s">
        <v>74</v>
      </c>
      <c r="M211" t="s">
        <v>80</v>
      </c>
      <c r="N211" t="s">
        <v>138</v>
      </c>
      <c r="O211" t="s">
        <v>74</v>
      </c>
      <c r="P211" t="s">
        <v>74</v>
      </c>
      <c r="Q211" t="s">
        <v>74</v>
      </c>
      <c r="R211" t="s">
        <v>74</v>
      </c>
      <c r="S211" t="s">
        <v>74</v>
      </c>
      <c r="T211" t="s">
        <v>4567</v>
      </c>
      <c r="U211" t="s">
        <v>4568</v>
      </c>
      <c r="V211" t="s">
        <v>4569</v>
      </c>
      <c r="W211" t="s">
        <v>4570</v>
      </c>
      <c r="X211" t="s">
        <v>4571</v>
      </c>
      <c r="Y211" t="s">
        <v>4572</v>
      </c>
      <c r="Z211" t="s">
        <v>4573</v>
      </c>
      <c r="AA211" t="s">
        <v>4574</v>
      </c>
      <c r="AB211" t="s">
        <v>4575</v>
      </c>
      <c r="AC211" t="s">
        <v>4576</v>
      </c>
      <c r="AD211" t="s">
        <v>1522</v>
      </c>
      <c r="AE211" t="s">
        <v>4577</v>
      </c>
      <c r="AF211" t="s">
        <v>74</v>
      </c>
      <c r="AG211">
        <v>77</v>
      </c>
      <c r="AH211">
        <v>8</v>
      </c>
      <c r="AI211">
        <v>8</v>
      </c>
      <c r="AJ211">
        <v>1</v>
      </c>
      <c r="AK211">
        <v>22</v>
      </c>
      <c r="AL211" t="s">
        <v>605</v>
      </c>
      <c r="AM211" t="s">
        <v>1965</v>
      </c>
      <c r="AN211" t="s">
        <v>4578</v>
      </c>
      <c r="AO211" t="s">
        <v>4579</v>
      </c>
      <c r="AP211" t="s">
        <v>4580</v>
      </c>
      <c r="AQ211" t="s">
        <v>74</v>
      </c>
      <c r="AR211" t="s">
        <v>4581</v>
      </c>
      <c r="AS211" t="s">
        <v>4582</v>
      </c>
      <c r="AT211" t="s">
        <v>1270</v>
      </c>
      <c r="AU211">
        <v>2019</v>
      </c>
      <c r="AV211">
        <v>31</v>
      </c>
      <c r="AW211">
        <v>6</v>
      </c>
      <c r="AX211" t="s">
        <v>74</v>
      </c>
      <c r="AY211" t="s">
        <v>74</v>
      </c>
      <c r="AZ211" t="s">
        <v>74</v>
      </c>
      <c r="BA211" t="s">
        <v>74</v>
      </c>
      <c r="BB211">
        <v>287</v>
      </c>
      <c r="BC211">
        <v>303</v>
      </c>
      <c r="BD211" t="s">
        <v>74</v>
      </c>
      <c r="BE211" t="s">
        <v>4583</v>
      </c>
      <c r="BF211" t="str">
        <f>HYPERLINK("http://dx.doi.org/10.1017/S0954102019000361","http://dx.doi.org/10.1017/S0954102019000361")</f>
        <v>http://dx.doi.org/10.1017/S0954102019000361</v>
      </c>
      <c r="BG211" t="s">
        <v>74</v>
      </c>
      <c r="BH211" t="s">
        <v>74</v>
      </c>
      <c r="BI211">
        <v>17</v>
      </c>
      <c r="BJ211" t="s">
        <v>4584</v>
      </c>
      <c r="BK211" t="s">
        <v>294</v>
      </c>
      <c r="BL211" t="s">
        <v>4585</v>
      </c>
      <c r="BM211" t="s">
        <v>4586</v>
      </c>
      <c r="BN211" t="s">
        <v>74</v>
      </c>
      <c r="BO211" t="s">
        <v>74</v>
      </c>
      <c r="BP211" t="s">
        <v>74</v>
      </c>
      <c r="BQ211" t="s">
        <v>74</v>
      </c>
      <c r="BR211" t="s">
        <v>108</v>
      </c>
      <c r="BS211" t="s">
        <v>4587</v>
      </c>
      <c r="BT211" t="str">
        <f>HYPERLINK("https%3A%2F%2Fwww.webofscience.com%2Fwos%2Fwoscc%2Ffull-record%2FWOS:000503209600001","View Full Record in Web of Science")</f>
        <v>View Full Record in Web of Science</v>
      </c>
    </row>
    <row r="212" spans="1:72" x14ac:dyDescent="0.15">
      <c r="A212" t="s">
        <v>133</v>
      </c>
      <c r="B212" t="s">
        <v>4588</v>
      </c>
      <c r="C212" t="s">
        <v>74</v>
      </c>
      <c r="D212" t="s">
        <v>74</v>
      </c>
      <c r="E212" t="s">
        <v>74</v>
      </c>
      <c r="F212" t="s">
        <v>4589</v>
      </c>
      <c r="G212" t="s">
        <v>74</v>
      </c>
      <c r="H212" t="s">
        <v>74</v>
      </c>
      <c r="I212" t="s">
        <v>4590</v>
      </c>
      <c r="J212" t="s">
        <v>4566</v>
      </c>
      <c r="K212" t="s">
        <v>74</v>
      </c>
      <c r="L212" t="s">
        <v>74</v>
      </c>
      <c r="M212" t="s">
        <v>80</v>
      </c>
      <c r="N212" t="s">
        <v>138</v>
      </c>
      <c r="O212" t="s">
        <v>74</v>
      </c>
      <c r="P212" t="s">
        <v>74</v>
      </c>
      <c r="Q212" t="s">
        <v>74</v>
      </c>
      <c r="R212" t="s">
        <v>74</v>
      </c>
      <c r="S212" t="s">
        <v>74</v>
      </c>
      <c r="T212" t="s">
        <v>4591</v>
      </c>
      <c r="U212" t="s">
        <v>4592</v>
      </c>
      <c r="V212" t="s">
        <v>4593</v>
      </c>
      <c r="W212" t="s">
        <v>4594</v>
      </c>
      <c r="X212" t="s">
        <v>4595</v>
      </c>
      <c r="Y212" t="s">
        <v>4596</v>
      </c>
      <c r="Z212" t="s">
        <v>4597</v>
      </c>
      <c r="AA212" t="s">
        <v>4598</v>
      </c>
      <c r="AB212" t="s">
        <v>4599</v>
      </c>
      <c r="AC212" t="s">
        <v>4600</v>
      </c>
      <c r="AD212" t="s">
        <v>4601</v>
      </c>
      <c r="AE212" t="s">
        <v>4602</v>
      </c>
      <c r="AF212" t="s">
        <v>74</v>
      </c>
      <c r="AG212">
        <v>63</v>
      </c>
      <c r="AH212">
        <v>10</v>
      </c>
      <c r="AI212">
        <v>10</v>
      </c>
      <c r="AJ212">
        <v>0</v>
      </c>
      <c r="AK212">
        <v>11</v>
      </c>
      <c r="AL212" t="s">
        <v>605</v>
      </c>
      <c r="AM212" t="s">
        <v>1965</v>
      </c>
      <c r="AN212" t="s">
        <v>4578</v>
      </c>
      <c r="AO212" t="s">
        <v>4579</v>
      </c>
      <c r="AP212" t="s">
        <v>4580</v>
      </c>
      <c r="AQ212" t="s">
        <v>74</v>
      </c>
      <c r="AR212" t="s">
        <v>4581</v>
      </c>
      <c r="AS212" t="s">
        <v>4582</v>
      </c>
      <c r="AT212" t="s">
        <v>1270</v>
      </c>
      <c r="AU212">
        <v>2019</v>
      </c>
      <c r="AV212">
        <v>31</v>
      </c>
      <c r="AW212">
        <v>6</v>
      </c>
      <c r="AX212" t="s">
        <v>74</v>
      </c>
      <c r="AY212" t="s">
        <v>74</v>
      </c>
      <c r="AZ212" t="s">
        <v>74</v>
      </c>
      <c r="BA212" t="s">
        <v>74</v>
      </c>
      <c r="BB212">
        <v>304</v>
      </c>
      <c r="BC212">
        <v>314</v>
      </c>
      <c r="BD212" t="s">
        <v>74</v>
      </c>
      <c r="BE212" t="s">
        <v>4603</v>
      </c>
      <c r="BF212" t="str">
        <f>HYPERLINK("http://dx.doi.org/10.1017/S0954102019000440","http://dx.doi.org/10.1017/S0954102019000440")</f>
        <v>http://dx.doi.org/10.1017/S0954102019000440</v>
      </c>
      <c r="BG212" t="s">
        <v>74</v>
      </c>
      <c r="BH212" t="s">
        <v>74</v>
      </c>
      <c r="BI212">
        <v>11</v>
      </c>
      <c r="BJ212" t="s">
        <v>4584</v>
      </c>
      <c r="BK212" t="s">
        <v>294</v>
      </c>
      <c r="BL212" t="s">
        <v>4585</v>
      </c>
      <c r="BM212" t="s">
        <v>4586</v>
      </c>
      <c r="BN212" t="s">
        <v>74</v>
      </c>
      <c r="BO212" t="s">
        <v>4604</v>
      </c>
      <c r="BP212" t="s">
        <v>74</v>
      </c>
      <c r="BQ212" t="s">
        <v>74</v>
      </c>
      <c r="BR212" t="s">
        <v>108</v>
      </c>
      <c r="BS212" t="s">
        <v>4605</v>
      </c>
      <c r="BT212" t="str">
        <f>HYPERLINK("https%3A%2F%2Fwww.webofscience.com%2Fwos%2Fwoscc%2Ffull-record%2FWOS:000503209600002","View Full Record in Web of Science")</f>
        <v>View Full Record in Web of Science</v>
      </c>
    </row>
    <row r="213" spans="1:72" x14ac:dyDescent="0.15">
      <c r="A213" t="s">
        <v>133</v>
      </c>
      <c r="B213" t="s">
        <v>4606</v>
      </c>
      <c r="C213" t="s">
        <v>74</v>
      </c>
      <c r="D213" t="s">
        <v>74</v>
      </c>
      <c r="E213" t="s">
        <v>74</v>
      </c>
      <c r="F213" t="s">
        <v>4607</v>
      </c>
      <c r="G213" t="s">
        <v>74</v>
      </c>
      <c r="H213" t="s">
        <v>74</v>
      </c>
      <c r="I213" t="s">
        <v>4608</v>
      </c>
      <c r="J213" t="s">
        <v>4566</v>
      </c>
      <c r="K213" t="s">
        <v>74</v>
      </c>
      <c r="L213" t="s">
        <v>74</v>
      </c>
      <c r="M213" t="s">
        <v>80</v>
      </c>
      <c r="N213" t="s">
        <v>138</v>
      </c>
      <c r="O213" t="s">
        <v>74</v>
      </c>
      <c r="P213" t="s">
        <v>74</v>
      </c>
      <c r="Q213" t="s">
        <v>74</v>
      </c>
      <c r="R213" t="s">
        <v>74</v>
      </c>
      <c r="S213" t="s">
        <v>74</v>
      </c>
      <c r="T213" t="s">
        <v>74</v>
      </c>
      <c r="U213" t="s">
        <v>74</v>
      </c>
      <c r="V213" t="s">
        <v>74</v>
      </c>
      <c r="W213" t="s">
        <v>4609</v>
      </c>
      <c r="X213" t="s">
        <v>4610</v>
      </c>
      <c r="Y213" t="s">
        <v>4611</v>
      </c>
      <c r="Z213" t="s">
        <v>4612</v>
      </c>
      <c r="AA213" t="s">
        <v>74</v>
      </c>
      <c r="AB213" t="s">
        <v>4613</v>
      </c>
      <c r="AC213" t="s">
        <v>4614</v>
      </c>
      <c r="AD213" t="s">
        <v>4615</v>
      </c>
      <c r="AE213" t="s">
        <v>4616</v>
      </c>
      <c r="AF213" t="s">
        <v>74</v>
      </c>
      <c r="AG213">
        <v>5</v>
      </c>
      <c r="AH213">
        <v>2</v>
      </c>
      <c r="AI213">
        <v>2</v>
      </c>
      <c r="AJ213">
        <v>1</v>
      </c>
      <c r="AK213">
        <v>4</v>
      </c>
      <c r="AL213" t="s">
        <v>605</v>
      </c>
      <c r="AM213" t="s">
        <v>1965</v>
      </c>
      <c r="AN213" t="s">
        <v>4578</v>
      </c>
      <c r="AO213" t="s">
        <v>4579</v>
      </c>
      <c r="AP213" t="s">
        <v>4580</v>
      </c>
      <c r="AQ213" t="s">
        <v>74</v>
      </c>
      <c r="AR213" t="s">
        <v>4581</v>
      </c>
      <c r="AS213" t="s">
        <v>4582</v>
      </c>
      <c r="AT213" t="s">
        <v>1270</v>
      </c>
      <c r="AU213">
        <v>2019</v>
      </c>
      <c r="AV213">
        <v>31</v>
      </c>
      <c r="AW213">
        <v>6</v>
      </c>
      <c r="AX213" t="s">
        <v>74</v>
      </c>
      <c r="AY213" t="s">
        <v>74</v>
      </c>
      <c r="AZ213" t="s">
        <v>74</v>
      </c>
      <c r="BA213" t="s">
        <v>74</v>
      </c>
      <c r="BB213">
        <v>315</v>
      </c>
      <c r="BC213">
        <v>316</v>
      </c>
      <c r="BD213" t="s">
        <v>74</v>
      </c>
      <c r="BE213" t="s">
        <v>4617</v>
      </c>
      <c r="BF213" t="str">
        <f>HYPERLINK("http://dx.doi.org/10.1017/S0954102019000397","http://dx.doi.org/10.1017/S0954102019000397")</f>
        <v>http://dx.doi.org/10.1017/S0954102019000397</v>
      </c>
      <c r="BG213" t="s">
        <v>74</v>
      </c>
      <c r="BH213" t="s">
        <v>74</v>
      </c>
      <c r="BI213">
        <v>2</v>
      </c>
      <c r="BJ213" t="s">
        <v>4584</v>
      </c>
      <c r="BK213" t="s">
        <v>294</v>
      </c>
      <c r="BL213" t="s">
        <v>4585</v>
      </c>
      <c r="BM213" t="s">
        <v>4586</v>
      </c>
      <c r="BN213" t="s">
        <v>74</v>
      </c>
      <c r="BO213" t="s">
        <v>74</v>
      </c>
      <c r="BP213" t="s">
        <v>74</v>
      </c>
      <c r="BQ213" t="s">
        <v>74</v>
      </c>
      <c r="BR213" t="s">
        <v>108</v>
      </c>
      <c r="BS213" t="s">
        <v>4618</v>
      </c>
      <c r="BT213" t="str">
        <f>HYPERLINK("https%3A%2F%2Fwww.webofscience.com%2Fwos%2Fwoscc%2Ffull-record%2FWOS:000503209600003","View Full Record in Web of Science")</f>
        <v>View Full Record in Web of Science</v>
      </c>
    </row>
    <row r="214" spans="1:72" x14ac:dyDescent="0.15">
      <c r="A214" t="s">
        <v>133</v>
      </c>
      <c r="B214" t="s">
        <v>4619</v>
      </c>
      <c r="C214" t="s">
        <v>74</v>
      </c>
      <c r="D214" t="s">
        <v>74</v>
      </c>
      <c r="E214" t="s">
        <v>74</v>
      </c>
      <c r="F214" t="s">
        <v>4620</v>
      </c>
      <c r="G214" t="s">
        <v>74</v>
      </c>
      <c r="H214" t="s">
        <v>74</v>
      </c>
      <c r="I214" t="s">
        <v>4621</v>
      </c>
      <c r="J214" t="s">
        <v>4566</v>
      </c>
      <c r="K214" t="s">
        <v>74</v>
      </c>
      <c r="L214" t="s">
        <v>74</v>
      </c>
      <c r="M214" t="s">
        <v>80</v>
      </c>
      <c r="N214" t="s">
        <v>138</v>
      </c>
      <c r="O214" t="s">
        <v>74</v>
      </c>
      <c r="P214" t="s">
        <v>74</v>
      </c>
      <c r="Q214" t="s">
        <v>74</v>
      </c>
      <c r="R214" t="s">
        <v>74</v>
      </c>
      <c r="S214" t="s">
        <v>74</v>
      </c>
      <c r="T214" t="s">
        <v>74</v>
      </c>
      <c r="U214" t="s">
        <v>4622</v>
      </c>
      <c r="V214" t="s">
        <v>74</v>
      </c>
      <c r="W214" t="s">
        <v>4623</v>
      </c>
      <c r="X214" t="s">
        <v>4624</v>
      </c>
      <c r="Y214" t="s">
        <v>4625</v>
      </c>
      <c r="Z214" t="s">
        <v>4626</v>
      </c>
      <c r="AA214" t="s">
        <v>74</v>
      </c>
      <c r="AB214" t="s">
        <v>4627</v>
      </c>
      <c r="AC214" t="s">
        <v>4628</v>
      </c>
      <c r="AD214" t="s">
        <v>4628</v>
      </c>
      <c r="AE214" t="s">
        <v>4629</v>
      </c>
      <c r="AF214" t="s">
        <v>74</v>
      </c>
      <c r="AG214">
        <v>9</v>
      </c>
      <c r="AH214">
        <v>2</v>
      </c>
      <c r="AI214">
        <v>2</v>
      </c>
      <c r="AJ214">
        <v>1</v>
      </c>
      <c r="AK214">
        <v>3</v>
      </c>
      <c r="AL214" t="s">
        <v>605</v>
      </c>
      <c r="AM214" t="s">
        <v>1965</v>
      </c>
      <c r="AN214" t="s">
        <v>4578</v>
      </c>
      <c r="AO214" t="s">
        <v>4579</v>
      </c>
      <c r="AP214" t="s">
        <v>4580</v>
      </c>
      <c r="AQ214" t="s">
        <v>74</v>
      </c>
      <c r="AR214" t="s">
        <v>4581</v>
      </c>
      <c r="AS214" t="s">
        <v>4582</v>
      </c>
      <c r="AT214" t="s">
        <v>1270</v>
      </c>
      <c r="AU214">
        <v>2019</v>
      </c>
      <c r="AV214">
        <v>31</v>
      </c>
      <c r="AW214">
        <v>6</v>
      </c>
      <c r="AX214" t="s">
        <v>74</v>
      </c>
      <c r="AY214" t="s">
        <v>74</v>
      </c>
      <c r="AZ214" t="s">
        <v>74</v>
      </c>
      <c r="BA214" t="s">
        <v>74</v>
      </c>
      <c r="BB214">
        <v>317</v>
      </c>
      <c r="BC214">
        <v>318</v>
      </c>
      <c r="BD214" t="s">
        <v>74</v>
      </c>
      <c r="BE214" t="s">
        <v>4630</v>
      </c>
      <c r="BF214" t="str">
        <f>HYPERLINK("http://dx.doi.org/10.1017/S0954102019000415","http://dx.doi.org/10.1017/S0954102019000415")</f>
        <v>http://dx.doi.org/10.1017/S0954102019000415</v>
      </c>
      <c r="BG214" t="s">
        <v>74</v>
      </c>
      <c r="BH214" t="s">
        <v>74</v>
      </c>
      <c r="BI214">
        <v>2</v>
      </c>
      <c r="BJ214" t="s">
        <v>4584</v>
      </c>
      <c r="BK214" t="s">
        <v>294</v>
      </c>
      <c r="BL214" t="s">
        <v>4585</v>
      </c>
      <c r="BM214" t="s">
        <v>4586</v>
      </c>
      <c r="BN214" t="s">
        <v>74</v>
      </c>
      <c r="BO214" t="s">
        <v>74</v>
      </c>
      <c r="BP214" t="s">
        <v>74</v>
      </c>
      <c r="BQ214" t="s">
        <v>74</v>
      </c>
      <c r="BR214" t="s">
        <v>108</v>
      </c>
      <c r="BS214" t="s">
        <v>4631</v>
      </c>
      <c r="BT214" t="str">
        <f>HYPERLINK("https%3A%2F%2Fwww.webofscience.com%2Fwos%2Fwoscc%2Ffull-record%2FWOS:000503209600004","View Full Record in Web of Science")</f>
        <v>View Full Record in Web of Science</v>
      </c>
    </row>
    <row r="215" spans="1:72" x14ac:dyDescent="0.15">
      <c r="A215" t="s">
        <v>133</v>
      </c>
      <c r="B215" t="s">
        <v>4632</v>
      </c>
      <c r="C215" t="s">
        <v>74</v>
      </c>
      <c r="D215" t="s">
        <v>74</v>
      </c>
      <c r="E215" t="s">
        <v>74</v>
      </c>
      <c r="F215" t="s">
        <v>4633</v>
      </c>
      <c r="G215" t="s">
        <v>74</v>
      </c>
      <c r="H215" t="s">
        <v>74</v>
      </c>
      <c r="I215" t="s">
        <v>4634</v>
      </c>
      <c r="J215" t="s">
        <v>4566</v>
      </c>
      <c r="K215" t="s">
        <v>74</v>
      </c>
      <c r="L215" t="s">
        <v>74</v>
      </c>
      <c r="M215" t="s">
        <v>80</v>
      </c>
      <c r="N215" t="s">
        <v>138</v>
      </c>
      <c r="O215" t="s">
        <v>74</v>
      </c>
      <c r="P215" t="s">
        <v>74</v>
      </c>
      <c r="Q215" t="s">
        <v>74</v>
      </c>
      <c r="R215" t="s">
        <v>74</v>
      </c>
      <c r="S215" t="s">
        <v>74</v>
      </c>
      <c r="T215" t="s">
        <v>4635</v>
      </c>
      <c r="U215" t="s">
        <v>4636</v>
      </c>
      <c r="V215" t="s">
        <v>4637</v>
      </c>
      <c r="W215" t="s">
        <v>4638</v>
      </c>
      <c r="X215" t="s">
        <v>4639</v>
      </c>
      <c r="Y215" t="s">
        <v>4640</v>
      </c>
      <c r="Z215" t="s">
        <v>4641</v>
      </c>
      <c r="AA215" t="s">
        <v>4642</v>
      </c>
      <c r="AB215" t="s">
        <v>4643</v>
      </c>
      <c r="AC215" t="s">
        <v>4644</v>
      </c>
      <c r="AD215" t="s">
        <v>4645</v>
      </c>
      <c r="AE215" t="s">
        <v>4646</v>
      </c>
      <c r="AF215" t="s">
        <v>74</v>
      </c>
      <c r="AG215">
        <v>44</v>
      </c>
      <c r="AH215">
        <v>3</v>
      </c>
      <c r="AI215">
        <v>3</v>
      </c>
      <c r="AJ215">
        <v>0</v>
      </c>
      <c r="AK215">
        <v>4</v>
      </c>
      <c r="AL215" t="s">
        <v>605</v>
      </c>
      <c r="AM215" t="s">
        <v>1965</v>
      </c>
      <c r="AN215" t="s">
        <v>4578</v>
      </c>
      <c r="AO215" t="s">
        <v>4579</v>
      </c>
      <c r="AP215" t="s">
        <v>4580</v>
      </c>
      <c r="AQ215" t="s">
        <v>74</v>
      </c>
      <c r="AR215" t="s">
        <v>4581</v>
      </c>
      <c r="AS215" t="s">
        <v>4582</v>
      </c>
      <c r="AT215" t="s">
        <v>1270</v>
      </c>
      <c r="AU215">
        <v>2019</v>
      </c>
      <c r="AV215">
        <v>31</v>
      </c>
      <c r="AW215">
        <v>6</v>
      </c>
      <c r="AX215" t="s">
        <v>74</v>
      </c>
      <c r="AY215" t="s">
        <v>74</v>
      </c>
      <c r="AZ215" t="s">
        <v>74</v>
      </c>
      <c r="BA215" t="s">
        <v>74</v>
      </c>
      <c r="BB215">
        <v>319</v>
      </c>
      <c r="BC215">
        <v>331</v>
      </c>
      <c r="BD215" t="s">
        <v>74</v>
      </c>
      <c r="BE215" t="s">
        <v>4647</v>
      </c>
      <c r="BF215" t="str">
        <f>HYPERLINK("http://dx.doi.org/10.1017/S0954102019000439","http://dx.doi.org/10.1017/S0954102019000439")</f>
        <v>http://dx.doi.org/10.1017/S0954102019000439</v>
      </c>
      <c r="BG215" t="s">
        <v>74</v>
      </c>
      <c r="BH215" t="s">
        <v>74</v>
      </c>
      <c r="BI215">
        <v>13</v>
      </c>
      <c r="BJ215" t="s">
        <v>4584</v>
      </c>
      <c r="BK215" t="s">
        <v>294</v>
      </c>
      <c r="BL215" t="s">
        <v>4585</v>
      </c>
      <c r="BM215" t="s">
        <v>4586</v>
      </c>
      <c r="BN215" t="s">
        <v>74</v>
      </c>
      <c r="BO215" t="s">
        <v>74</v>
      </c>
      <c r="BP215" t="s">
        <v>74</v>
      </c>
      <c r="BQ215" t="s">
        <v>74</v>
      </c>
      <c r="BR215" t="s">
        <v>108</v>
      </c>
      <c r="BS215" t="s">
        <v>4648</v>
      </c>
      <c r="BT215" t="str">
        <f>HYPERLINK("https%3A%2F%2Fwww.webofscience.com%2Fwos%2Fwoscc%2Ffull-record%2FWOS:000503209600005","View Full Record in Web of Science")</f>
        <v>View Full Record in Web of Science</v>
      </c>
    </row>
    <row r="216" spans="1:72" x14ac:dyDescent="0.15">
      <c r="A216" t="s">
        <v>133</v>
      </c>
      <c r="B216" t="s">
        <v>4649</v>
      </c>
      <c r="C216" t="s">
        <v>74</v>
      </c>
      <c r="D216" t="s">
        <v>74</v>
      </c>
      <c r="E216" t="s">
        <v>74</v>
      </c>
      <c r="F216" t="s">
        <v>4650</v>
      </c>
      <c r="G216" t="s">
        <v>74</v>
      </c>
      <c r="H216" t="s">
        <v>74</v>
      </c>
      <c r="I216" t="s">
        <v>4651</v>
      </c>
      <c r="J216" t="s">
        <v>4566</v>
      </c>
      <c r="K216" t="s">
        <v>74</v>
      </c>
      <c r="L216" t="s">
        <v>74</v>
      </c>
      <c r="M216" t="s">
        <v>80</v>
      </c>
      <c r="N216" t="s">
        <v>138</v>
      </c>
      <c r="O216" t="s">
        <v>74</v>
      </c>
      <c r="P216" t="s">
        <v>74</v>
      </c>
      <c r="Q216" t="s">
        <v>74</v>
      </c>
      <c r="R216" t="s">
        <v>74</v>
      </c>
      <c r="S216" t="s">
        <v>74</v>
      </c>
      <c r="T216" t="s">
        <v>4652</v>
      </c>
      <c r="U216" t="s">
        <v>4653</v>
      </c>
      <c r="V216" t="s">
        <v>4654</v>
      </c>
      <c r="W216" t="s">
        <v>4655</v>
      </c>
      <c r="X216" t="s">
        <v>4656</v>
      </c>
      <c r="Y216" t="s">
        <v>4657</v>
      </c>
      <c r="Z216" t="s">
        <v>4658</v>
      </c>
      <c r="AA216" t="s">
        <v>4659</v>
      </c>
      <c r="AB216" t="s">
        <v>4660</v>
      </c>
      <c r="AC216" t="s">
        <v>4661</v>
      </c>
      <c r="AD216" t="s">
        <v>4662</v>
      </c>
      <c r="AE216" t="s">
        <v>4663</v>
      </c>
      <c r="AF216" t="s">
        <v>74</v>
      </c>
      <c r="AG216">
        <v>38</v>
      </c>
      <c r="AH216">
        <v>9</v>
      </c>
      <c r="AI216">
        <v>9</v>
      </c>
      <c r="AJ216">
        <v>0</v>
      </c>
      <c r="AK216">
        <v>12</v>
      </c>
      <c r="AL216" t="s">
        <v>605</v>
      </c>
      <c r="AM216" t="s">
        <v>1965</v>
      </c>
      <c r="AN216" t="s">
        <v>4578</v>
      </c>
      <c r="AO216" t="s">
        <v>4579</v>
      </c>
      <c r="AP216" t="s">
        <v>4580</v>
      </c>
      <c r="AQ216" t="s">
        <v>74</v>
      </c>
      <c r="AR216" t="s">
        <v>4581</v>
      </c>
      <c r="AS216" t="s">
        <v>4582</v>
      </c>
      <c r="AT216" t="s">
        <v>1270</v>
      </c>
      <c r="AU216">
        <v>2019</v>
      </c>
      <c r="AV216">
        <v>31</v>
      </c>
      <c r="AW216">
        <v>6</v>
      </c>
      <c r="AX216" t="s">
        <v>74</v>
      </c>
      <c r="AY216" t="s">
        <v>74</v>
      </c>
      <c r="AZ216" t="s">
        <v>74</v>
      </c>
      <c r="BA216" t="s">
        <v>74</v>
      </c>
      <c r="BB216">
        <v>332</v>
      </c>
      <c r="BC216">
        <v>344</v>
      </c>
      <c r="BD216" t="s">
        <v>74</v>
      </c>
      <c r="BE216" t="s">
        <v>4664</v>
      </c>
      <c r="BF216" t="str">
        <f>HYPERLINK("http://dx.doi.org/10.1017/S0954102019000452","http://dx.doi.org/10.1017/S0954102019000452")</f>
        <v>http://dx.doi.org/10.1017/S0954102019000452</v>
      </c>
      <c r="BG216" t="s">
        <v>74</v>
      </c>
      <c r="BH216" t="s">
        <v>74</v>
      </c>
      <c r="BI216">
        <v>13</v>
      </c>
      <c r="BJ216" t="s">
        <v>4584</v>
      </c>
      <c r="BK216" t="s">
        <v>294</v>
      </c>
      <c r="BL216" t="s">
        <v>4585</v>
      </c>
      <c r="BM216" t="s">
        <v>4586</v>
      </c>
      <c r="BN216" t="s">
        <v>74</v>
      </c>
      <c r="BO216" t="s">
        <v>74</v>
      </c>
      <c r="BP216" t="s">
        <v>74</v>
      </c>
      <c r="BQ216" t="s">
        <v>74</v>
      </c>
      <c r="BR216" t="s">
        <v>108</v>
      </c>
      <c r="BS216" t="s">
        <v>4665</v>
      </c>
      <c r="BT216" t="str">
        <f>HYPERLINK("https%3A%2F%2Fwww.webofscience.com%2Fwos%2Fwoscc%2Ffull-record%2FWOS:000503209600006","View Full Record in Web of Science")</f>
        <v>View Full Record in Web of Science</v>
      </c>
    </row>
    <row r="217" spans="1:72" x14ac:dyDescent="0.15">
      <c r="A217" t="s">
        <v>133</v>
      </c>
      <c r="B217" t="s">
        <v>4666</v>
      </c>
      <c r="C217" t="s">
        <v>74</v>
      </c>
      <c r="D217" t="s">
        <v>74</v>
      </c>
      <c r="E217" t="s">
        <v>74</v>
      </c>
      <c r="F217" t="s">
        <v>4667</v>
      </c>
      <c r="G217" t="s">
        <v>74</v>
      </c>
      <c r="H217" t="s">
        <v>74</v>
      </c>
      <c r="I217" t="s">
        <v>4668</v>
      </c>
      <c r="J217" t="s">
        <v>4669</v>
      </c>
      <c r="K217" t="s">
        <v>74</v>
      </c>
      <c r="L217" t="s">
        <v>74</v>
      </c>
      <c r="M217" t="s">
        <v>80</v>
      </c>
      <c r="N217" t="s">
        <v>138</v>
      </c>
      <c r="O217" t="s">
        <v>74</v>
      </c>
      <c r="P217" t="s">
        <v>74</v>
      </c>
      <c r="Q217" t="s">
        <v>74</v>
      </c>
      <c r="R217" t="s">
        <v>74</v>
      </c>
      <c r="S217" t="s">
        <v>74</v>
      </c>
      <c r="T217" t="s">
        <v>4670</v>
      </c>
      <c r="U217" t="s">
        <v>4671</v>
      </c>
      <c r="V217" t="s">
        <v>4672</v>
      </c>
      <c r="W217" t="s">
        <v>4673</v>
      </c>
      <c r="X217" t="s">
        <v>4674</v>
      </c>
      <c r="Y217" t="s">
        <v>4675</v>
      </c>
      <c r="Z217" t="s">
        <v>4676</v>
      </c>
      <c r="AA217" t="s">
        <v>74</v>
      </c>
      <c r="AB217" t="s">
        <v>4677</v>
      </c>
      <c r="AC217" t="s">
        <v>4678</v>
      </c>
      <c r="AD217" t="s">
        <v>4526</v>
      </c>
      <c r="AE217" t="s">
        <v>4679</v>
      </c>
      <c r="AF217" t="s">
        <v>74</v>
      </c>
      <c r="AG217">
        <v>42</v>
      </c>
      <c r="AH217">
        <v>14</v>
      </c>
      <c r="AI217">
        <v>14</v>
      </c>
      <c r="AJ217">
        <v>0</v>
      </c>
      <c r="AK217">
        <v>9</v>
      </c>
      <c r="AL217" t="s">
        <v>4680</v>
      </c>
      <c r="AM217" t="s">
        <v>1730</v>
      </c>
      <c r="AN217" t="s">
        <v>4681</v>
      </c>
      <c r="AO217" t="s">
        <v>4682</v>
      </c>
      <c r="AP217" t="s">
        <v>4683</v>
      </c>
      <c r="AQ217" t="s">
        <v>74</v>
      </c>
      <c r="AR217" t="s">
        <v>4684</v>
      </c>
      <c r="AS217" t="s">
        <v>4685</v>
      </c>
      <c r="AT217" t="s">
        <v>1270</v>
      </c>
      <c r="AU217">
        <v>2019</v>
      </c>
      <c r="AV217">
        <v>137</v>
      </c>
      <c r="AW217" t="s">
        <v>74</v>
      </c>
      <c r="AX217" t="s">
        <v>74</v>
      </c>
      <c r="AY217" t="s">
        <v>74</v>
      </c>
      <c r="AZ217" t="s">
        <v>74</v>
      </c>
      <c r="BA217" t="s">
        <v>74</v>
      </c>
      <c r="BB217" t="s">
        <v>74</v>
      </c>
      <c r="BC217" t="s">
        <v>74</v>
      </c>
      <c r="BD217">
        <v>103759</v>
      </c>
      <c r="BE217" t="s">
        <v>4686</v>
      </c>
      <c r="BF217" t="str">
        <f>HYPERLINK("http://dx.doi.org/10.1016/j.micpath.2019.103759","http://dx.doi.org/10.1016/j.micpath.2019.103759")</f>
        <v>http://dx.doi.org/10.1016/j.micpath.2019.103759</v>
      </c>
      <c r="BG217" t="s">
        <v>74</v>
      </c>
      <c r="BH217" t="s">
        <v>74</v>
      </c>
      <c r="BI217">
        <v>7</v>
      </c>
      <c r="BJ217" t="s">
        <v>4687</v>
      </c>
      <c r="BK217" t="s">
        <v>294</v>
      </c>
      <c r="BL217" t="s">
        <v>4687</v>
      </c>
      <c r="BM217" t="s">
        <v>4688</v>
      </c>
      <c r="BN217">
        <v>31560973</v>
      </c>
      <c r="BO217" t="s">
        <v>74</v>
      </c>
      <c r="BP217" t="s">
        <v>74</v>
      </c>
      <c r="BQ217" t="s">
        <v>74</v>
      </c>
      <c r="BR217" t="s">
        <v>108</v>
      </c>
      <c r="BS217" t="s">
        <v>4689</v>
      </c>
      <c r="BT217" t="str">
        <f>HYPERLINK("https%3A%2F%2Fwww.webofscience.com%2Fwos%2Fwoscc%2Ffull-record%2FWOS:000502891200034","View Full Record in Web of Science")</f>
        <v>View Full Record in Web of Science</v>
      </c>
    </row>
    <row r="218" spans="1:72" x14ac:dyDescent="0.15">
      <c r="A218" t="s">
        <v>133</v>
      </c>
      <c r="B218" t="s">
        <v>4690</v>
      </c>
      <c r="C218" t="s">
        <v>74</v>
      </c>
      <c r="D218" t="s">
        <v>74</v>
      </c>
      <c r="E218" t="s">
        <v>74</v>
      </c>
      <c r="F218" t="s">
        <v>4691</v>
      </c>
      <c r="G218" t="s">
        <v>74</v>
      </c>
      <c r="H218" t="s">
        <v>74</v>
      </c>
      <c r="I218" t="s">
        <v>4692</v>
      </c>
      <c r="J218" t="s">
        <v>4693</v>
      </c>
      <c r="K218" t="s">
        <v>74</v>
      </c>
      <c r="L218" t="s">
        <v>74</v>
      </c>
      <c r="M218" t="s">
        <v>80</v>
      </c>
      <c r="N218" t="s">
        <v>138</v>
      </c>
      <c r="O218" t="s">
        <v>74</v>
      </c>
      <c r="P218" t="s">
        <v>74</v>
      </c>
      <c r="Q218" t="s">
        <v>74</v>
      </c>
      <c r="R218" t="s">
        <v>74</v>
      </c>
      <c r="S218" t="s">
        <v>74</v>
      </c>
      <c r="T218" t="s">
        <v>4694</v>
      </c>
      <c r="U218" t="s">
        <v>4695</v>
      </c>
      <c r="V218" t="s">
        <v>4696</v>
      </c>
      <c r="W218" t="s">
        <v>4697</v>
      </c>
      <c r="X218" t="s">
        <v>4698</v>
      </c>
      <c r="Y218" t="s">
        <v>4699</v>
      </c>
      <c r="Z218" t="s">
        <v>4700</v>
      </c>
      <c r="AA218" t="s">
        <v>74</v>
      </c>
      <c r="AB218" t="s">
        <v>74</v>
      </c>
      <c r="AC218" t="s">
        <v>4701</v>
      </c>
      <c r="AD218" t="s">
        <v>4701</v>
      </c>
      <c r="AE218" t="s">
        <v>4702</v>
      </c>
      <c r="AF218" t="s">
        <v>74</v>
      </c>
      <c r="AG218">
        <v>38</v>
      </c>
      <c r="AH218">
        <v>2</v>
      </c>
      <c r="AI218">
        <v>2</v>
      </c>
      <c r="AJ218">
        <v>0</v>
      </c>
      <c r="AK218">
        <v>3</v>
      </c>
      <c r="AL218" t="s">
        <v>1016</v>
      </c>
      <c r="AM218" t="s">
        <v>1017</v>
      </c>
      <c r="AN218" t="s">
        <v>4703</v>
      </c>
      <c r="AO218" t="s">
        <v>4704</v>
      </c>
      <c r="AP218" t="s">
        <v>4705</v>
      </c>
      <c r="AQ218" t="s">
        <v>74</v>
      </c>
      <c r="AR218" t="s">
        <v>4706</v>
      </c>
      <c r="AS218" t="s">
        <v>4707</v>
      </c>
      <c r="AT218" t="s">
        <v>1270</v>
      </c>
      <c r="AU218">
        <v>2019</v>
      </c>
      <c r="AV218">
        <v>49</v>
      </c>
      <c r="AW218">
        <v>12</v>
      </c>
      <c r="AX218" t="s">
        <v>74</v>
      </c>
      <c r="AY218" t="s">
        <v>74</v>
      </c>
      <c r="AZ218" t="s">
        <v>74</v>
      </c>
      <c r="BA218" t="s">
        <v>74</v>
      </c>
      <c r="BB218">
        <v>3263</v>
      </c>
      <c r="BC218">
        <v>3272</v>
      </c>
      <c r="BD218" t="s">
        <v>74</v>
      </c>
      <c r="BE218" t="s">
        <v>4708</v>
      </c>
      <c r="BF218" t="str">
        <f>HYPERLINK("http://dx.doi.org/10.1175/JPO-D-19-0043.1","http://dx.doi.org/10.1175/JPO-D-19-0043.1")</f>
        <v>http://dx.doi.org/10.1175/JPO-D-19-0043.1</v>
      </c>
      <c r="BG218" t="s">
        <v>74</v>
      </c>
      <c r="BH218" t="s">
        <v>74</v>
      </c>
      <c r="BI218">
        <v>10</v>
      </c>
      <c r="BJ218" t="s">
        <v>1945</v>
      </c>
      <c r="BK218" t="s">
        <v>294</v>
      </c>
      <c r="BL218" t="s">
        <v>1945</v>
      </c>
      <c r="BM218" t="s">
        <v>4709</v>
      </c>
      <c r="BN218" t="s">
        <v>74</v>
      </c>
      <c r="BO218" t="s">
        <v>588</v>
      </c>
      <c r="BP218" t="s">
        <v>74</v>
      </c>
      <c r="BQ218" t="s">
        <v>74</v>
      </c>
      <c r="BR218" t="s">
        <v>108</v>
      </c>
      <c r="BS218" t="s">
        <v>4710</v>
      </c>
      <c r="BT218" t="str">
        <f>HYPERLINK("https%3A%2F%2Fwww.webofscience.com%2Fwos%2Fwoscc%2Ffull-record%2FWOS:000502748300001","View Full Record in Web of Science")</f>
        <v>View Full Record in Web of Science</v>
      </c>
    </row>
    <row r="219" spans="1:72" x14ac:dyDescent="0.15">
      <c r="A219" t="s">
        <v>133</v>
      </c>
      <c r="B219" t="s">
        <v>4711</v>
      </c>
      <c r="C219" t="s">
        <v>74</v>
      </c>
      <c r="D219" t="s">
        <v>74</v>
      </c>
      <c r="E219" t="s">
        <v>74</v>
      </c>
      <c r="F219" t="s">
        <v>4712</v>
      </c>
      <c r="G219" t="s">
        <v>74</v>
      </c>
      <c r="H219" t="s">
        <v>74</v>
      </c>
      <c r="I219" t="s">
        <v>4713</v>
      </c>
      <c r="J219" t="s">
        <v>4714</v>
      </c>
      <c r="K219" t="s">
        <v>74</v>
      </c>
      <c r="L219" t="s">
        <v>74</v>
      </c>
      <c r="M219" t="s">
        <v>80</v>
      </c>
      <c r="N219" t="s">
        <v>138</v>
      </c>
      <c r="O219" t="s">
        <v>74</v>
      </c>
      <c r="P219" t="s">
        <v>74</v>
      </c>
      <c r="Q219" t="s">
        <v>74</v>
      </c>
      <c r="R219" t="s">
        <v>74</v>
      </c>
      <c r="S219" t="s">
        <v>74</v>
      </c>
      <c r="T219" t="s">
        <v>4715</v>
      </c>
      <c r="U219" t="s">
        <v>74</v>
      </c>
      <c r="V219" t="s">
        <v>4716</v>
      </c>
      <c r="W219" t="s">
        <v>4717</v>
      </c>
      <c r="X219" t="s">
        <v>4718</v>
      </c>
      <c r="Y219" t="s">
        <v>4719</v>
      </c>
      <c r="Z219" t="s">
        <v>4720</v>
      </c>
      <c r="AA219" t="s">
        <v>74</v>
      </c>
      <c r="AB219" t="s">
        <v>74</v>
      </c>
      <c r="AC219" t="s">
        <v>74</v>
      </c>
      <c r="AD219" t="s">
        <v>74</v>
      </c>
      <c r="AE219" t="s">
        <v>74</v>
      </c>
      <c r="AF219" t="s">
        <v>74</v>
      </c>
      <c r="AG219">
        <v>22</v>
      </c>
      <c r="AH219">
        <v>1</v>
      </c>
      <c r="AI219">
        <v>2</v>
      </c>
      <c r="AJ219">
        <v>1</v>
      </c>
      <c r="AK219">
        <v>3</v>
      </c>
      <c r="AL219" t="s">
        <v>4721</v>
      </c>
      <c r="AM219" t="s">
        <v>124</v>
      </c>
      <c r="AN219" t="s">
        <v>4555</v>
      </c>
      <c r="AO219" t="s">
        <v>4722</v>
      </c>
      <c r="AP219" t="s">
        <v>4723</v>
      </c>
      <c r="AQ219" t="s">
        <v>74</v>
      </c>
      <c r="AR219" t="s">
        <v>4724</v>
      </c>
      <c r="AS219" t="s">
        <v>4725</v>
      </c>
      <c r="AT219" t="s">
        <v>1270</v>
      </c>
      <c r="AU219">
        <v>2019</v>
      </c>
      <c r="AV219">
        <v>26</v>
      </c>
      <c r="AW219">
        <v>4</v>
      </c>
      <c r="AX219" t="s">
        <v>74</v>
      </c>
      <c r="AY219" t="s">
        <v>74</v>
      </c>
      <c r="AZ219" t="s">
        <v>74</v>
      </c>
      <c r="BA219" t="s">
        <v>74</v>
      </c>
      <c r="BB219">
        <v>338</v>
      </c>
      <c r="BC219">
        <v>367</v>
      </c>
      <c r="BD219" t="s">
        <v>74</v>
      </c>
      <c r="BE219" t="s">
        <v>4726</v>
      </c>
      <c r="BF219" t="str">
        <f>HYPERLINK("http://dx.doi.org/10.1163/18765610-02604002","http://dx.doi.org/10.1163/18765610-02604002")</f>
        <v>http://dx.doi.org/10.1163/18765610-02604002</v>
      </c>
      <c r="BG219" t="s">
        <v>74</v>
      </c>
      <c r="BH219" t="s">
        <v>74</v>
      </c>
      <c r="BI219">
        <v>30</v>
      </c>
      <c r="BJ219" t="s">
        <v>4727</v>
      </c>
      <c r="BK219" t="s">
        <v>160</v>
      </c>
      <c r="BL219" t="s">
        <v>4727</v>
      </c>
      <c r="BM219" t="s">
        <v>4728</v>
      </c>
      <c r="BN219" t="s">
        <v>74</v>
      </c>
      <c r="BO219" t="s">
        <v>74</v>
      </c>
      <c r="BP219" t="s">
        <v>74</v>
      </c>
      <c r="BQ219" t="s">
        <v>74</v>
      </c>
      <c r="BR219" t="s">
        <v>108</v>
      </c>
      <c r="BS219" t="s">
        <v>4729</v>
      </c>
      <c r="BT219" t="str">
        <f>HYPERLINK("https%3A%2F%2Fwww.webofscience.com%2Fwos%2Fwoscc%2Ffull-record%2FWOS:000502120000002","View Full Record in Web of Science")</f>
        <v>View Full Record in Web of Science</v>
      </c>
    </row>
    <row r="220" spans="1:72" x14ac:dyDescent="0.15">
      <c r="A220" t="s">
        <v>133</v>
      </c>
      <c r="B220" t="s">
        <v>4730</v>
      </c>
      <c r="C220" t="s">
        <v>74</v>
      </c>
      <c r="D220" t="s">
        <v>74</v>
      </c>
      <c r="E220" t="s">
        <v>74</v>
      </c>
      <c r="F220" t="s">
        <v>4731</v>
      </c>
      <c r="G220" t="s">
        <v>74</v>
      </c>
      <c r="H220" t="s">
        <v>74</v>
      </c>
      <c r="I220" t="s">
        <v>4732</v>
      </c>
      <c r="J220" t="s">
        <v>4733</v>
      </c>
      <c r="K220" t="s">
        <v>74</v>
      </c>
      <c r="L220" t="s">
        <v>74</v>
      </c>
      <c r="M220" t="s">
        <v>80</v>
      </c>
      <c r="N220" t="s">
        <v>138</v>
      </c>
      <c r="O220" t="s">
        <v>74</v>
      </c>
      <c r="P220" t="s">
        <v>74</v>
      </c>
      <c r="Q220" t="s">
        <v>74</v>
      </c>
      <c r="R220" t="s">
        <v>74</v>
      </c>
      <c r="S220" t="s">
        <v>74</v>
      </c>
      <c r="T220" t="s">
        <v>4734</v>
      </c>
      <c r="U220" t="s">
        <v>4735</v>
      </c>
      <c r="V220" t="s">
        <v>4736</v>
      </c>
      <c r="W220" t="s">
        <v>4737</v>
      </c>
      <c r="X220" t="s">
        <v>4738</v>
      </c>
      <c r="Y220" t="s">
        <v>4739</v>
      </c>
      <c r="Z220" t="s">
        <v>4740</v>
      </c>
      <c r="AA220" t="s">
        <v>4741</v>
      </c>
      <c r="AB220" t="s">
        <v>4742</v>
      </c>
      <c r="AC220" t="s">
        <v>4743</v>
      </c>
      <c r="AD220" t="s">
        <v>4744</v>
      </c>
      <c r="AE220" t="s">
        <v>4745</v>
      </c>
      <c r="AF220" t="s">
        <v>74</v>
      </c>
      <c r="AG220">
        <v>78</v>
      </c>
      <c r="AH220">
        <v>10</v>
      </c>
      <c r="AI220">
        <v>11</v>
      </c>
      <c r="AJ220">
        <v>5</v>
      </c>
      <c r="AK220">
        <v>62</v>
      </c>
      <c r="AL220" t="s">
        <v>284</v>
      </c>
      <c r="AM220" t="s">
        <v>285</v>
      </c>
      <c r="AN220" t="s">
        <v>286</v>
      </c>
      <c r="AO220" t="s">
        <v>4746</v>
      </c>
      <c r="AP220" t="s">
        <v>4747</v>
      </c>
      <c r="AQ220" t="s">
        <v>74</v>
      </c>
      <c r="AR220" t="s">
        <v>4748</v>
      </c>
      <c r="AS220" t="s">
        <v>4749</v>
      </c>
      <c r="AT220" t="s">
        <v>1270</v>
      </c>
      <c r="AU220">
        <v>2019</v>
      </c>
      <c r="AV220">
        <v>217</v>
      </c>
      <c r="AW220" t="s">
        <v>74</v>
      </c>
      <c r="AX220" t="s">
        <v>74</v>
      </c>
      <c r="AY220" t="s">
        <v>74</v>
      </c>
      <c r="AZ220" t="s">
        <v>74</v>
      </c>
      <c r="BA220" t="s">
        <v>74</v>
      </c>
      <c r="BB220" t="s">
        <v>74</v>
      </c>
      <c r="BC220" t="s">
        <v>74</v>
      </c>
      <c r="BD220">
        <v>105349</v>
      </c>
      <c r="BE220" t="s">
        <v>4750</v>
      </c>
      <c r="BF220" t="str">
        <f>HYPERLINK("http://dx.doi.org/10.1016/j.aquatox.2019.105349","http://dx.doi.org/10.1016/j.aquatox.2019.105349")</f>
        <v>http://dx.doi.org/10.1016/j.aquatox.2019.105349</v>
      </c>
      <c r="BG220" t="s">
        <v>74</v>
      </c>
      <c r="BH220" t="s">
        <v>74</v>
      </c>
      <c r="BI220">
        <v>9</v>
      </c>
      <c r="BJ220" t="s">
        <v>4751</v>
      </c>
      <c r="BK220" t="s">
        <v>294</v>
      </c>
      <c r="BL220" t="s">
        <v>4751</v>
      </c>
      <c r="BM220" t="s">
        <v>4752</v>
      </c>
      <c r="BN220">
        <v>31734626</v>
      </c>
      <c r="BO220" t="s">
        <v>74</v>
      </c>
      <c r="BP220" t="s">
        <v>74</v>
      </c>
      <c r="BQ220" t="s">
        <v>74</v>
      </c>
      <c r="BR220" t="s">
        <v>108</v>
      </c>
      <c r="BS220" t="s">
        <v>4753</v>
      </c>
      <c r="BT220" t="str">
        <f>HYPERLINK("https%3A%2F%2Fwww.webofscience.com%2Fwos%2Fwoscc%2Ffull-record%2FWOS:000501413700020","View Full Record in Web of Science")</f>
        <v>View Full Record in Web of Science</v>
      </c>
    </row>
    <row r="221" spans="1:72" x14ac:dyDescent="0.15">
      <c r="A221" t="s">
        <v>133</v>
      </c>
      <c r="B221" t="s">
        <v>4754</v>
      </c>
      <c r="C221" t="s">
        <v>74</v>
      </c>
      <c r="D221" t="s">
        <v>74</v>
      </c>
      <c r="E221" t="s">
        <v>74</v>
      </c>
      <c r="F221" t="s">
        <v>4755</v>
      </c>
      <c r="G221" t="s">
        <v>74</v>
      </c>
      <c r="H221" t="s">
        <v>74</v>
      </c>
      <c r="I221" t="s">
        <v>4756</v>
      </c>
      <c r="J221" t="s">
        <v>4757</v>
      </c>
      <c r="K221" t="s">
        <v>74</v>
      </c>
      <c r="L221" t="s">
        <v>74</v>
      </c>
      <c r="M221" t="s">
        <v>80</v>
      </c>
      <c r="N221" t="s">
        <v>138</v>
      </c>
      <c r="O221" t="s">
        <v>74</v>
      </c>
      <c r="P221" t="s">
        <v>74</v>
      </c>
      <c r="Q221" t="s">
        <v>74</v>
      </c>
      <c r="R221" t="s">
        <v>74</v>
      </c>
      <c r="S221" t="s">
        <v>74</v>
      </c>
      <c r="T221" t="s">
        <v>4758</v>
      </c>
      <c r="U221" t="s">
        <v>4759</v>
      </c>
      <c r="V221" t="s">
        <v>4760</v>
      </c>
      <c r="W221" t="s">
        <v>4761</v>
      </c>
      <c r="X221" t="s">
        <v>4762</v>
      </c>
      <c r="Y221" t="s">
        <v>4763</v>
      </c>
      <c r="Z221" t="s">
        <v>4764</v>
      </c>
      <c r="AA221" t="s">
        <v>4765</v>
      </c>
      <c r="AB221" t="s">
        <v>4766</v>
      </c>
      <c r="AC221" t="s">
        <v>74</v>
      </c>
      <c r="AD221" t="s">
        <v>74</v>
      </c>
      <c r="AE221" t="s">
        <v>74</v>
      </c>
      <c r="AF221" t="s">
        <v>74</v>
      </c>
      <c r="AG221">
        <v>52</v>
      </c>
      <c r="AH221">
        <v>13</v>
      </c>
      <c r="AI221">
        <v>14</v>
      </c>
      <c r="AJ221">
        <v>1</v>
      </c>
      <c r="AK221">
        <v>4</v>
      </c>
      <c r="AL221" t="s">
        <v>1964</v>
      </c>
      <c r="AM221" t="s">
        <v>1965</v>
      </c>
      <c r="AN221" t="s">
        <v>3452</v>
      </c>
      <c r="AO221" t="s">
        <v>4767</v>
      </c>
      <c r="AP221" t="s">
        <v>4768</v>
      </c>
      <c r="AQ221" t="s">
        <v>74</v>
      </c>
      <c r="AR221" t="s">
        <v>4769</v>
      </c>
      <c r="AS221" t="s">
        <v>4770</v>
      </c>
      <c r="AT221" t="s">
        <v>1270</v>
      </c>
      <c r="AU221">
        <v>2019</v>
      </c>
      <c r="AV221">
        <v>34</v>
      </c>
      <c r="AW221">
        <v>4</v>
      </c>
      <c r="AX221" t="s">
        <v>74</v>
      </c>
      <c r="AY221" t="s">
        <v>74</v>
      </c>
      <c r="AZ221" t="s">
        <v>74</v>
      </c>
      <c r="BA221" t="s">
        <v>74</v>
      </c>
      <c r="BB221">
        <v>1757</v>
      </c>
      <c r="BC221">
        <v>1770</v>
      </c>
      <c r="BD221" t="s">
        <v>74</v>
      </c>
      <c r="BE221" t="s">
        <v>4771</v>
      </c>
      <c r="BF221" t="str">
        <f>HYPERLINK("http://dx.doi.org/10.1007/s13146-019-00521-3","http://dx.doi.org/10.1007/s13146-019-00521-3")</f>
        <v>http://dx.doi.org/10.1007/s13146-019-00521-3</v>
      </c>
      <c r="BG221" t="s">
        <v>74</v>
      </c>
      <c r="BH221" t="s">
        <v>74</v>
      </c>
      <c r="BI221">
        <v>14</v>
      </c>
      <c r="BJ221" t="s">
        <v>850</v>
      </c>
      <c r="BK221" t="s">
        <v>294</v>
      </c>
      <c r="BL221" t="s">
        <v>850</v>
      </c>
      <c r="BM221" t="s">
        <v>4772</v>
      </c>
      <c r="BN221" t="s">
        <v>74</v>
      </c>
      <c r="BO221" t="s">
        <v>4773</v>
      </c>
      <c r="BP221" t="s">
        <v>74</v>
      </c>
      <c r="BQ221" t="s">
        <v>74</v>
      </c>
      <c r="BR221" t="s">
        <v>108</v>
      </c>
      <c r="BS221" t="s">
        <v>4774</v>
      </c>
      <c r="BT221" t="str">
        <f>HYPERLINK("https%3A%2F%2Fwww.webofscience.com%2Fwos%2Fwoscc%2Ffull-record%2FWOS:000496621400037","View Full Record in Web of Science")</f>
        <v>View Full Record in Web of Science</v>
      </c>
    </row>
    <row r="222" spans="1:72" x14ac:dyDescent="0.15">
      <c r="A222" t="s">
        <v>133</v>
      </c>
      <c r="B222" t="s">
        <v>4775</v>
      </c>
      <c r="C222" t="s">
        <v>74</v>
      </c>
      <c r="D222" t="s">
        <v>74</v>
      </c>
      <c r="E222" t="s">
        <v>74</v>
      </c>
      <c r="F222" t="s">
        <v>4776</v>
      </c>
      <c r="G222" t="s">
        <v>74</v>
      </c>
      <c r="H222" t="s">
        <v>74</v>
      </c>
      <c r="I222" t="s">
        <v>4777</v>
      </c>
      <c r="J222" t="s">
        <v>4778</v>
      </c>
      <c r="K222" t="s">
        <v>74</v>
      </c>
      <c r="L222" t="s">
        <v>74</v>
      </c>
      <c r="M222" t="s">
        <v>80</v>
      </c>
      <c r="N222" t="s">
        <v>138</v>
      </c>
      <c r="O222" t="s">
        <v>74</v>
      </c>
      <c r="P222" t="s">
        <v>74</v>
      </c>
      <c r="Q222" t="s">
        <v>74</v>
      </c>
      <c r="R222" t="s">
        <v>74</v>
      </c>
      <c r="S222" t="s">
        <v>74</v>
      </c>
      <c r="T222" t="s">
        <v>4779</v>
      </c>
      <c r="U222" t="s">
        <v>74</v>
      </c>
      <c r="V222" t="s">
        <v>4780</v>
      </c>
      <c r="W222" t="s">
        <v>4781</v>
      </c>
      <c r="X222" t="s">
        <v>4782</v>
      </c>
      <c r="Y222" t="s">
        <v>4783</v>
      </c>
      <c r="Z222" t="s">
        <v>74</v>
      </c>
      <c r="AA222" t="s">
        <v>4784</v>
      </c>
      <c r="AB222" t="s">
        <v>4785</v>
      </c>
      <c r="AC222" t="s">
        <v>74</v>
      </c>
      <c r="AD222" t="s">
        <v>74</v>
      </c>
      <c r="AE222" t="s">
        <v>74</v>
      </c>
      <c r="AF222" t="s">
        <v>74</v>
      </c>
      <c r="AG222">
        <v>6</v>
      </c>
      <c r="AH222">
        <v>3</v>
      </c>
      <c r="AI222">
        <v>6</v>
      </c>
      <c r="AJ222">
        <v>0</v>
      </c>
      <c r="AK222">
        <v>13</v>
      </c>
      <c r="AL222" t="s">
        <v>4786</v>
      </c>
      <c r="AM222" t="s">
        <v>4787</v>
      </c>
      <c r="AN222" t="s">
        <v>4788</v>
      </c>
      <c r="AO222" t="s">
        <v>4789</v>
      </c>
      <c r="AP222" t="s">
        <v>74</v>
      </c>
      <c r="AQ222" t="s">
        <v>74</v>
      </c>
      <c r="AR222" t="s">
        <v>4790</v>
      </c>
      <c r="AS222" t="s">
        <v>4791</v>
      </c>
      <c r="AT222" t="s">
        <v>1270</v>
      </c>
      <c r="AU222">
        <v>2019</v>
      </c>
      <c r="AV222">
        <v>29</v>
      </c>
      <c r="AW222">
        <v>4</v>
      </c>
      <c r="AX222" t="s">
        <v>74</v>
      </c>
      <c r="AY222" t="s">
        <v>74</v>
      </c>
      <c r="AZ222" t="s">
        <v>74</v>
      </c>
      <c r="BA222" t="s">
        <v>74</v>
      </c>
      <c r="BB222">
        <v>369</v>
      </c>
      <c r="BC222">
        <v>374</v>
      </c>
      <c r="BD222" t="s">
        <v>74</v>
      </c>
      <c r="BE222" t="s">
        <v>4792</v>
      </c>
      <c r="BF222" t="str">
        <f>HYPERLINK("http://dx.doi.org/10.17736/ijope.2019.jc767","http://dx.doi.org/10.17736/ijope.2019.jc767")</f>
        <v>http://dx.doi.org/10.17736/ijope.2019.jc767</v>
      </c>
      <c r="BG222" t="s">
        <v>74</v>
      </c>
      <c r="BH222" t="s">
        <v>74</v>
      </c>
      <c r="BI222">
        <v>6</v>
      </c>
      <c r="BJ222" t="s">
        <v>4793</v>
      </c>
      <c r="BK222" t="s">
        <v>294</v>
      </c>
      <c r="BL222" t="s">
        <v>4794</v>
      </c>
      <c r="BM222" t="s">
        <v>4795</v>
      </c>
      <c r="BN222" t="s">
        <v>74</v>
      </c>
      <c r="BO222" t="s">
        <v>74</v>
      </c>
      <c r="BP222" t="s">
        <v>74</v>
      </c>
      <c r="BQ222" t="s">
        <v>74</v>
      </c>
      <c r="BR222" t="s">
        <v>108</v>
      </c>
      <c r="BS222" t="s">
        <v>4796</v>
      </c>
      <c r="BT222" t="str">
        <f>HYPERLINK("https%3A%2F%2Fwww.webofscience.com%2Fwos%2Fwoscc%2Ffull-record%2FWOS:000501495500001","View Full Record in Web of Science")</f>
        <v>View Full Record in Web of Science</v>
      </c>
    </row>
    <row r="223" spans="1:72" x14ac:dyDescent="0.15">
      <c r="A223" t="s">
        <v>133</v>
      </c>
      <c r="B223" t="s">
        <v>4797</v>
      </c>
      <c r="C223" t="s">
        <v>74</v>
      </c>
      <c r="D223" t="s">
        <v>74</v>
      </c>
      <c r="E223" t="s">
        <v>74</v>
      </c>
      <c r="F223" t="s">
        <v>4798</v>
      </c>
      <c r="G223" t="s">
        <v>74</v>
      </c>
      <c r="H223" t="s">
        <v>74</v>
      </c>
      <c r="I223" t="s">
        <v>4799</v>
      </c>
      <c r="J223" t="s">
        <v>4778</v>
      </c>
      <c r="K223" t="s">
        <v>74</v>
      </c>
      <c r="L223" t="s">
        <v>74</v>
      </c>
      <c r="M223" t="s">
        <v>80</v>
      </c>
      <c r="N223" t="s">
        <v>138</v>
      </c>
      <c r="O223" t="s">
        <v>74</v>
      </c>
      <c r="P223" t="s">
        <v>74</v>
      </c>
      <c r="Q223" t="s">
        <v>74</v>
      </c>
      <c r="R223" t="s">
        <v>74</v>
      </c>
      <c r="S223" t="s">
        <v>74</v>
      </c>
      <c r="T223" t="s">
        <v>4800</v>
      </c>
      <c r="U223" t="s">
        <v>74</v>
      </c>
      <c r="V223" t="s">
        <v>4801</v>
      </c>
      <c r="W223" t="s">
        <v>4802</v>
      </c>
      <c r="X223" t="s">
        <v>4782</v>
      </c>
      <c r="Y223" t="s">
        <v>4803</v>
      </c>
      <c r="Z223" t="s">
        <v>74</v>
      </c>
      <c r="AA223" t="s">
        <v>4804</v>
      </c>
      <c r="AB223" t="s">
        <v>4805</v>
      </c>
      <c r="AC223" t="s">
        <v>4806</v>
      </c>
      <c r="AD223" t="s">
        <v>4807</v>
      </c>
      <c r="AE223" t="s">
        <v>4808</v>
      </c>
      <c r="AF223" t="s">
        <v>74</v>
      </c>
      <c r="AG223">
        <v>16</v>
      </c>
      <c r="AH223">
        <v>4</v>
      </c>
      <c r="AI223">
        <v>4</v>
      </c>
      <c r="AJ223">
        <v>0</v>
      </c>
      <c r="AK223">
        <v>6</v>
      </c>
      <c r="AL223" t="s">
        <v>4786</v>
      </c>
      <c r="AM223" t="s">
        <v>4787</v>
      </c>
      <c r="AN223" t="s">
        <v>4788</v>
      </c>
      <c r="AO223" t="s">
        <v>4789</v>
      </c>
      <c r="AP223" t="s">
        <v>74</v>
      </c>
      <c r="AQ223" t="s">
        <v>74</v>
      </c>
      <c r="AR223" t="s">
        <v>4790</v>
      </c>
      <c r="AS223" t="s">
        <v>4791</v>
      </c>
      <c r="AT223" t="s">
        <v>1270</v>
      </c>
      <c r="AU223">
        <v>2019</v>
      </c>
      <c r="AV223">
        <v>29</v>
      </c>
      <c r="AW223">
        <v>4</v>
      </c>
      <c r="AX223" t="s">
        <v>74</v>
      </c>
      <c r="AY223" t="s">
        <v>74</v>
      </c>
      <c r="AZ223" t="s">
        <v>74</v>
      </c>
      <c r="BA223" t="s">
        <v>74</v>
      </c>
      <c r="BB223">
        <v>375</v>
      </c>
      <c r="BC223">
        <v>382</v>
      </c>
      <c r="BD223" t="s">
        <v>74</v>
      </c>
      <c r="BE223" t="s">
        <v>4809</v>
      </c>
      <c r="BF223" t="str">
        <f>HYPERLINK("http://dx.doi.org/10.17736/ijope.2019.jc770","http://dx.doi.org/10.17736/ijope.2019.jc770")</f>
        <v>http://dx.doi.org/10.17736/ijope.2019.jc770</v>
      </c>
      <c r="BG223" t="s">
        <v>74</v>
      </c>
      <c r="BH223" t="s">
        <v>74</v>
      </c>
      <c r="BI223">
        <v>8</v>
      </c>
      <c r="BJ223" t="s">
        <v>4793</v>
      </c>
      <c r="BK223" t="s">
        <v>294</v>
      </c>
      <c r="BL223" t="s">
        <v>4794</v>
      </c>
      <c r="BM223" t="s">
        <v>4795</v>
      </c>
      <c r="BN223" t="s">
        <v>74</v>
      </c>
      <c r="BO223" t="s">
        <v>74</v>
      </c>
      <c r="BP223" t="s">
        <v>74</v>
      </c>
      <c r="BQ223" t="s">
        <v>74</v>
      </c>
      <c r="BR223" t="s">
        <v>108</v>
      </c>
      <c r="BS223" t="s">
        <v>4810</v>
      </c>
      <c r="BT223" t="str">
        <f>HYPERLINK("https%3A%2F%2Fwww.webofscience.com%2Fwos%2Fwoscc%2Ffull-record%2FWOS:000501495500002","View Full Record in Web of Science")</f>
        <v>View Full Record in Web of Science</v>
      </c>
    </row>
    <row r="224" spans="1:72" x14ac:dyDescent="0.15">
      <c r="A224" t="s">
        <v>133</v>
      </c>
      <c r="B224" t="s">
        <v>4811</v>
      </c>
      <c r="C224" t="s">
        <v>74</v>
      </c>
      <c r="D224" t="s">
        <v>74</v>
      </c>
      <c r="E224" t="s">
        <v>74</v>
      </c>
      <c r="F224" t="s">
        <v>4812</v>
      </c>
      <c r="G224" t="s">
        <v>74</v>
      </c>
      <c r="H224" t="s">
        <v>74</v>
      </c>
      <c r="I224" t="s">
        <v>4813</v>
      </c>
      <c r="J224" t="s">
        <v>4693</v>
      </c>
      <c r="K224" t="s">
        <v>74</v>
      </c>
      <c r="L224" t="s">
        <v>74</v>
      </c>
      <c r="M224" t="s">
        <v>80</v>
      </c>
      <c r="N224" t="s">
        <v>138</v>
      </c>
      <c r="O224" t="s">
        <v>74</v>
      </c>
      <c r="P224" t="s">
        <v>74</v>
      </c>
      <c r="Q224" t="s">
        <v>74</v>
      </c>
      <c r="R224" t="s">
        <v>74</v>
      </c>
      <c r="S224" t="s">
        <v>74</v>
      </c>
      <c r="T224" t="s">
        <v>4814</v>
      </c>
      <c r="U224" t="s">
        <v>4815</v>
      </c>
      <c r="V224" t="s">
        <v>4816</v>
      </c>
      <c r="W224" t="s">
        <v>4817</v>
      </c>
      <c r="X224" t="s">
        <v>4818</v>
      </c>
      <c r="Y224" t="s">
        <v>4819</v>
      </c>
      <c r="Z224" t="s">
        <v>4820</v>
      </c>
      <c r="AA224" t="s">
        <v>4821</v>
      </c>
      <c r="AB224" t="s">
        <v>4822</v>
      </c>
      <c r="AC224" t="s">
        <v>4823</v>
      </c>
      <c r="AD224" t="s">
        <v>4824</v>
      </c>
      <c r="AE224" t="s">
        <v>4825</v>
      </c>
      <c r="AF224" t="s">
        <v>74</v>
      </c>
      <c r="AG224">
        <v>45</v>
      </c>
      <c r="AH224">
        <v>5</v>
      </c>
      <c r="AI224">
        <v>7</v>
      </c>
      <c r="AJ224">
        <v>0</v>
      </c>
      <c r="AK224">
        <v>10</v>
      </c>
      <c r="AL224" t="s">
        <v>1016</v>
      </c>
      <c r="AM224" t="s">
        <v>1017</v>
      </c>
      <c r="AN224" t="s">
        <v>4703</v>
      </c>
      <c r="AO224" t="s">
        <v>4704</v>
      </c>
      <c r="AP224" t="s">
        <v>4705</v>
      </c>
      <c r="AQ224" t="s">
        <v>74</v>
      </c>
      <c r="AR224" t="s">
        <v>4706</v>
      </c>
      <c r="AS224" t="s">
        <v>4707</v>
      </c>
      <c r="AT224" t="s">
        <v>1270</v>
      </c>
      <c r="AU224">
        <v>2019</v>
      </c>
      <c r="AV224">
        <v>49</v>
      </c>
      <c r="AW224">
        <v>12</v>
      </c>
      <c r="AX224" t="s">
        <v>74</v>
      </c>
      <c r="AY224" t="s">
        <v>74</v>
      </c>
      <c r="AZ224" t="s">
        <v>74</v>
      </c>
      <c r="BA224" t="s">
        <v>74</v>
      </c>
      <c r="BB224">
        <v>3163</v>
      </c>
      <c r="BC224">
        <v>3177</v>
      </c>
      <c r="BD224" t="s">
        <v>74</v>
      </c>
      <c r="BE224" t="s">
        <v>4826</v>
      </c>
      <c r="BF224" t="str">
        <f>HYPERLINK("http://dx.doi.org/10.1175/JPO-D-19-0044.1","http://dx.doi.org/10.1175/JPO-D-19-0044.1")</f>
        <v>http://dx.doi.org/10.1175/JPO-D-19-0044.1</v>
      </c>
      <c r="BG224" t="s">
        <v>74</v>
      </c>
      <c r="BH224" t="s">
        <v>74</v>
      </c>
      <c r="BI224">
        <v>15</v>
      </c>
      <c r="BJ224" t="s">
        <v>1945</v>
      </c>
      <c r="BK224" t="s">
        <v>294</v>
      </c>
      <c r="BL224" t="s">
        <v>1945</v>
      </c>
      <c r="BM224" t="s">
        <v>4827</v>
      </c>
      <c r="BN224" t="s">
        <v>74</v>
      </c>
      <c r="BO224" t="s">
        <v>4828</v>
      </c>
      <c r="BP224" t="s">
        <v>74</v>
      </c>
      <c r="BQ224" t="s">
        <v>74</v>
      </c>
      <c r="BR224" t="s">
        <v>108</v>
      </c>
      <c r="BS224" t="s">
        <v>4829</v>
      </c>
      <c r="BT224" t="str">
        <f>HYPERLINK("https%3A%2F%2Fwww.webofscience.com%2Fwos%2Fwoscc%2Ffull-record%2FWOS:000501807300002","View Full Record in Web of Science")</f>
        <v>View Full Record in Web of Science</v>
      </c>
    </row>
    <row r="225" spans="1:72" x14ac:dyDescent="0.15">
      <c r="A225" t="s">
        <v>133</v>
      </c>
      <c r="B225" t="s">
        <v>4830</v>
      </c>
      <c r="C225" t="s">
        <v>74</v>
      </c>
      <c r="D225" t="s">
        <v>74</v>
      </c>
      <c r="E225" t="s">
        <v>74</v>
      </c>
      <c r="F225" t="s">
        <v>4831</v>
      </c>
      <c r="G225" t="s">
        <v>74</v>
      </c>
      <c r="H225" t="s">
        <v>74</v>
      </c>
      <c r="I225" t="s">
        <v>4832</v>
      </c>
      <c r="J225" t="s">
        <v>4833</v>
      </c>
      <c r="K225" t="s">
        <v>74</v>
      </c>
      <c r="L225" t="s">
        <v>74</v>
      </c>
      <c r="M225" t="s">
        <v>80</v>
      </c>
      <c r="N225" t="s">
        <v>138</v>
      </c>
      <c r="O225" t="s">
        <v>74</v>
      </c>
      <c r="P225" t="s">
        <v>74</v>
      </c>
      <c r="Q225" t="s">
        <v>74</v>
      </c>
      <c r="R225" t="s">
        <v>74</v>
      </c>
      <c r="S225" t="s">
        <v>74</v>
      </c>
      <c r="T225" t="s">
        <v>74</v>
      </c>
      <c r="U225" t="s">
        <v>4834</v>
      </c>
      <c r="V225" t="s">
        <v>74</v>
      </c>
      <c r="W225" t="s">
        <v>4835</v>
      </c>
      <c r="X225" t="s">
        <v>4836</v>
      </c>
      <c r="Y225" t="s">
        <v>4837</v>
      </c>
      <c r="Z225" t="s">
        <v>4838</v>
      </c>
      <c r="AA225" t="s">
        <v>4839</v>
      </c>
      <c r="AB225" t="s">
        <v>4840</v>
      </c>
      <c r="AC225" t="s">
        <v>4841</v>
      </c>
      <c r="AD225" t="s">
        <v>4842</v>
      </c>
      <c r="AE225" t="s">
        <v>4843</v>
      </c>
      <c r="AF225" t="s">
        <v>74</v>
      </c>
      <c r="AG225">
        <v>58</v>
      </c>
      <c r="AH225">
        <v>4</v>
      </c>
      <c r="AI225">
        <v>4</v>
      </c>
      <c r="AJ225">
        <v>0</v>
      </c>
      <c r="AK225">
        <v>18</v>
      </c>
      <c r="AL225" t="s">
        <v>379</v>
      </c>
      <c r="AM225" t="s">
        <v>380</v>
      </c>
      <c r="AN225" t="s">
        <v>381</v>
      </c>
      <c r="AO225" t="s">
        <v>4844</v>
      </c>
      <c r="AP225" t="s">
        <v>74</v>
      </c>
      <c r="AQ225" t="s">
        <v>74</v>
      </c>
      <c r="AR225" t="s">
        <v>4845</v>
      </c>
      <c r="AS225" t="s">
        <v>4846</v>
      </c>
      <c r="AT225" t="s">
        <v>1270</v>
      </c>
      <c r="AU225">
        <v>2019</v>
      </c>
      <c r="AV225">
        <v>86</v>
      </c>
      <c r="AW225" t="s">
        <v>74</v>
      </c>
      <c r="AX225" t="s">
        <v>74</v>
      </c>
      <c r="AY225" t="s">
        <v>74</v>
      </c>
      <c r="AZ225" t="s">
        <v>74</v>
      </c>
      <c r="BA225" t="s">
        <v>74</v>
      </c>
      <c r="BB225" t="s">
        <v>74</v>
      </c>
      <c r="BC225" t="s">
        <v>74</v>
      </c>
      <c r="BD225">
        <v>102447</v>
      </c>
      <c r="BE225" t="s">
        <v>4847</v>
      </c>
      <c r="BF225" t="str">
        <f>HYPERLINK("http://dx.doi.org/10.1016/j.jtherbio.2019.102447","http://dx.doi.org/10.1016/j.jtherbio.2019.102447")</f>
        <v>http://dx.doi.org/10.1016/j.jtherbio.2019.102447</v>
      </c>
      <c r="BG225" t="s">
        <v>74</v>
      </c>
      <c r="BH225" t="s">
        <v>74</v>
      </c>
      <c r="BI225">
        <v>8</v>
      </c>
      <c r="BJ225" t="s">
        <v>4848</v>
      </c>
      <c r="BK225" t="s">
        <v>294</v>
      </c>
      <c r="BL225" t="s">
        <v>4849</v>
      </c>
      <c r="BM225" t="s">
        <v>4850</v>
      </c>
      <c r="BN225">
        <v>31789235</v>
      </c>
      <c r="BO225" t="s">
        <v>4851</v>
      </c>
      <c r="BP225" t="s">
        <v>74</v>
      </c>
      <c r="BQ225" t="s">
        <v>74</v>
      </c>
      <c r="BR225" t="s">
        <v>108</v>
      </c>
      <c r="BS225" t="s">
        <v>4852</v>
      </c>
      <c r="BT225" t="str">
        <f>HYPERLINK("https%3A%2F%2Fwww.webofscience.com%2Fwos%2Fwoscc%2Ffull-record%2FWOS:000501652200016","View Full Record in Web of Science")</f>
        <v>View Full Record in Web of Science</v>
      </c>
    </row>
    <row r="226" spans="1:72" x14ac:dyDescent="0.15">
      <c r="A226" t="s">
        <v>133</v>
      </c>
      <c r="B226" t="s">
        <v>4853</v>
      </c>
      <c r="C226" t="s">
        <v>74</v>
      </c>
      <c r="D226" t="s">
        <v>74</v>
      </c>
      <c r="E226" t="s">
        <v>74</v>
      </c>
      <c r="F226" t="s">
        <v>4854</v>
      </c>
      <c r="G226" t="s">
        <v>74</v>
      </c>
      <c r="H226" t="s">
        <v>74</v>
      </c>
      <c r="I226" t="s">
        <v>4855</v>
      </c>
      <c r="J226" t="s">
        <v>4856</v>
      </c>
      <c r="K226" t="s">
        <v>74</v>
      </c>
      <c r="L226" t="s">
        <v>74</v>
      </c>
      <c r="M226" t="s">
        <v>80</v>
      </c>
      <c r="N226" t="s">
        <v>138</v>
      </c>
      <c r="O226" t="s">
        <v>74</v>
      </c>
      <c r="P226" t="s">
        <v>74</v>
      </c>
      <c r="Q226" t="s">
        <v>74</v>
      </c>
      <c r="R226" t="s">
        <v>74</v>
      </c>
      <c r="S226" t="s">
        <v>74</v>
      </c>
      <c r="T226" t="s">
        <v>4857</v>
      </c>
      <c r="U226" t="s">
        <v>4858</v>
      </c>
      <c r="V226" t="s">
        <v>4859</v>
      </c>
      <c r="W226" t="s">
        <v>4860</v>
      </c>
      <c r="X226" t="s">
        <v>4861</v>
      </c>
      <c r="Y226" t="s">
        <v>4862</v>
      </c>
      <c r="Z226" t="s">
        <v>4863</v>
      </c>
      <c r="AA226" t="s">
        <v>4864</v>
      </c>
      <c r="AB226" t="s">
        <v>4865</v>
      </c>
      <c r="AC226" t="s">
        <v>74</v>
      </c>
      <c r="AD226" t="s">
        <v>74</v>
      </c>
      <c r="AE226" t="s">
        <v>74</v>
      </c>
      <c r="AF226" t="s">
        <v>74</v>
      </c>
      <c r="AG226">
        <v>121</v>
      </c>
      <c r="AH226">
        <v>11</v>
      </c>
      <c r="AI226">
        <v>16</v>
      </c>
      <c r="AJ226">
        <v>0</v>
      </c>
      <c r="AK226">
        <v>3</v>
      </c>
      <c r="AL226" t="s">
        <v>3493</v>
      </c>
      <c r="AM226" t="s">
        <v>3494</v>
      </c>
      <c r="AN226" t="s">
        <v>3495</v>
      </c>
      <c r="AO226" t="s">
        <v>4866</v>
      </c>
      <c r="AP226" t="s">
        <v>4867</v>
      </c>
      <c r="AQ226" t="s">
        <v>74</v>
      </c>
      <c r="AR226" t="s">
        <v>4868</v>
      </c>
      <c r="AS226" t="s">
        <v>4869</v>
      </c>
      <c r="AT226" t="s">
        <v>1270</v>
      </c>
      <c r="AU226">
        <v>2019</v>
      </c>
      <c r="AV226">
        <v>49</v>
      </c>
      <c r="AW226">
        <v>6</v>
      </c>
      <c r="AX226" t="s">
        <v>74</v>
      </c>
      <c r="AY226" t="s">
        <v>74</v>
      </c>
      <c r="AZ226" t="s">
        <v>74</v>
      </c>
      <c r="BA226" t="s">
        <v>74</v>
      </c>
      <c r="BB226">
        <v>2659</v>
      </c>
      <c r="BC226">
        <v>2697</v>
      </c>
      <c r="BD226" t="s">
        <v>74</v>
      </c>
      <c r="BE226" t="s">
        <v>4870</v>
      </c>
      <c r="BF226" t="str">
        <f>HYPERLINK("http://dx.doi.org/10.1007/s12526-019-00998-0","http://dx.doi.org/10.1007/s12526-019-00998-0")</f>
        <v>http://dx.doi.org/10.1007/s12526-019-00998-0</v>
      </c>
      <c r="BG226" t="s">
        <v>74</v>
      </c>
      <c r="BH226" t="s">
        <v>74</v>
      </c>
      <c r="BI226">
        <v>39</v>
      </c>
      <c r="BJ226" t="s">
        <v>4871</v>
      </c>
      <c r="BK226" t="s">
        <v>294</v>
      </c>
      <c r="BL226" t="s">
        <v>4872</v>
      </c>
      <c r="BM226" t="s">
        <v>4873</v>
      </c>
      <c r="BN226" t="s">
        <v>74</v>
      </c>
      <c r="BO226" t="s">
        <v>4398</v>
      </c>
      <c r="BP226" t="s">
        <v>74</v>
      </c>
      <c r="BQ226" t="s">
        <v>74</v>
      </c>
      <c r="BR226" t="s">
        <v>108</v>
      </c>
      <c r="BS226" t="s">
        <v>4874</v>
      </c>
      <c r="BT226" t="str">
        <f>HYPERLINK("https%3A%2F%2Fwww.webofscience.com%2Fwos%2Fwoscc%2Ffull-record%2FWOS:000501242900015","View Full Record in Web of Science")</f>
        <v>View Full Record in Web of Science</v>
      </c>
    </row>
    <row r="227" spans="1:72" x14ac:dyDescent="0.15">
      <c r="A227" t="s">
        <v>133</v>
      </c>
      <c r="B227" t="s">
        <v>4875</v>
      </c>
      <c r="C227" t="s">
        <v>74</v>
      </c>
      <c r="D227" t="s">
        <v>74</v>
      </c>
      <c r="E227" t="s">
        <v>74</v>
      </c>
      <c r="F227" t="s">
        <v>4876</v>
      </c>
      <c r="G227" t="s">
        <v>74</v>
      </c>
      <c r="H227" t="s">
        <v>74</v>
      </c>
      <c r="I227" t="s">
        <v>4877</v>
      </c>
      <c r="J227" t="s">
        <v>4856</v>
      </c>
      <c r="K227" t="s">
        <v>74</v>
      </c>
      <c r="L227" t="s">
        <v>74</v>
      </c>
      <c r="M227" t="s">
        <v>80</v>
      </c>
      <c r="N227" t="s">
        <v>138</v>
      </c>
      <c r="O227" t="s">
        <v>74</v>
      </c>
      <c r="P227" t="s">
        <v>74</v>
      </c>
      <c r="Q227" t="s">
        <v>74</v>
      </c>
      <c r="R227" t="s">
        <v>74</v>
      </c>
      <c r="S227" t="s">
        <v>74</v>
      </c>
      <c r="T227" t="s">
        <v>4878</v>
      </c>
      <c r="U227" t="s">
        <v>4879</v>
      </c>
      <c r="V227" t="s">
        <v>4880</v>
      </c>
      <c r="W227" t="s">
        <v>4881</v>
      </c>
      <c r="X227" t="s">
        <v>4882</v>
      </c>
      <c r="Y227" t="s">
        <v>4883</v>
      </c>
      <c r="Z227" t="s">
        <v>4884</v>
      </c>
      <c r="AA227" t="s">
        <v>4885</v>
      </c>
      <c r="AB227" t="s">
        <v>4886</v>
      </c>
      <c r="AC227" t="s">
        <v>4887</v>
      </c>
      <c r="AD227" t="s">
        <v>3210</v>
      </c>
      <c r="AE227" t="s">
        <v>74</v>
      </c>
      <c r="AF227" t="s">
        <v>74</v>
      </c>
      <c r="AG227">
        <v>47</v>
      </c>
      <c r="AH227">
        <v>1</v>
      </c>
      <c r="AI227">
        <v>1</v>
      </c>
      <c r="AJ227">
        <v>0</v>
      </c>
      <c r="AK227">
        <v>8</v>
      </c>
      <c r="AL227" t="s">
        <v>3493</v>
      </c>
      <c r="AM227" t="s">
        <v>3494</v>
      </c>
      <c r="AN227" t="s">
        <v>3495</v>
      </c>
      <c r="AO227" t="s">
        <v>4866</v>
      </c>
      <c r="AP227" t="s">
        <v>4867</v>
      </c>
      <c r="AQ227" t="s">
        <v>74</v>
      </c>
      <c r="AR227" t="s">
        <v>4868</v>
      </c>
      <c r="AS227" t="s">
        <v>4869</v>
      </c>
      <c r="AT227" t="s">
        <v>1270</v>
      </c>
      <c r="AU227">
        <v>2019</v>
      </c>
      <c r="AV227">
        <v>49</v>
      </c>
      <c r="AW227">
        <v>6</v>
      </c>
      <c r="AX227" t="s">
        <v>74</v>
      </c>
      <c r="AY227" t="s">
        <v>74</v>
      </c>
      <c r="AZ227" t="s">
        <v>74</v>
      </c>
      <c r="BA227" t="s">
        <v>74</v>
      </c>
      <c r="BB227">
        <v>2775</v>
      </c>
      <c r="BC227">
        <v>2785</v>
      </c>
      <c r="BD227" t="s">
        <v>74</v>
      </c>
      <c r="BE227" t="s">
        <v>4888</v>
      </c>
      <c r="BF227" t="str">
        <f>HYPERLINK("http://dx.doi.org/10.1007/s12526-019-01005-2","http://dx.doi.org/10.1007/s12526-019-01005-2")</f>
        <v>http://dx.doi.org/10.1007/s12526-019-01005-2</v>
      </c>
      <c r="BG227" t="s">
        <v>74</v>
      </c>
      <c r="BH227" t="s">
        <v>74</v>
      </c>
      <c r="BI227">
        <v>11</v>
      </c>
      <c r="BJ227" t="s">
        <v>4871</v>
      </c>
      <c r="BK227" t="s">
        <v>294</v>
      </c>
      <c r="BL227" t="s">
        <v>4872</v>
      </c>
      <c r="BM227" t="s">
        <v>4873</v>
      </c>
      <c r="BN227" t="s">
        <v>74</v>
      </c>
      <c r="BO227" t="s">
        <v>74</v>
      </c>
      <c r="BP227" t="s">
        <v>74</v>
      </c>
      <c r="BQ227" t="s">
        <v>74</v>
      </c>
      <c r="BR227" t="s">
        <v>108</v>
      </c>
      <c r="BS227" t="s">
        <v>4889</v>
      </c>
      <c r="BT227" t="str">
        <f>HYPERLINK("https%3A%2F%2Fwww.webofscience.com%2Fwos%2Fwoscc%2Ffull-record%2FWOS:000501242900021","View Full Record in Web of Science")</f>
        <v>View Full Record in Web of Science</v>
      </c>
    </row>
    <row r="228" spans="1:72" x14ac:dyDescent="0.15">
      <c r="A228" t="s">
        <v>133</v>
      </c>
      <c r="B228" t="s">
        <v>4890</v>
      </c>
      <c r="C228" t="s">
        <v>74</v>
      </c>
      <c r="D228" t="s">
        <v>74</v>
      </c>
      <c r="E228" t="s">
        <v>74</v>
      </c>
      <c r="F228" t="s">
        <v>4891</v>
      </c>
      <c r="G228" t="s">
        <v>74</v>
      </c>
      <c r="H228" t="s">
        <v>74</v>
      </c>
      <c r="I228" t="s">
        <v>4892</v>
      </c>
      <c r="J228" t="s">
        <v>698</v>
      </c>
      <c r="K228" t="s">
        <v>74</v>
      </c>
      <c r="L228" t="s">
        <v>74</v>
      </c>
      <c r="M228" t="s">
        <v>80</v>
      </c>
      <c r="N228" t="s">
        <v>138</v>
      </c>
      <c r="O228" t="s">
        <v>74</v>
      </c>
      <c r="P228" t="s">
        <v>74</v>
      </c>
      <c r="Q228" t="s">
        <v>74</v>
      </c>
      <c r="R228" t="s">
        <v>74</v>
      </c>
      <c r="S228" t="s">
        <v>74</v>
      </c>
      <c r="T228" t="s">
        <v>4893</v>
      </c>
      <c r="U228" t="s">
        <v>4894</v>
      </c>
      <c r="V228" t="s">
        <v>4895</v>
      </c>
      <c r="W228" t="s">
        <v>4896</v>
      </c>
      <c r="X228" t="s">
        <v>4897</v>
      </c>
      <c r="Y228" t="s">
        <v>4898</v>
      </c>
      <c r="Z228" t="s">
        <v>4899</v>
      </c>
      <c r="AA228" t="s">
        <v>4900</v>
      </c>
      <c r="AB228" t="s">
        <v>4901</v>
      </c>
      <c r="AC228" t="s">
        <v>4902</v>
      </c>
      <c r="AD228" t="s">
        <v>4903</v>
      </c>
      <c r="AE228" t="s">
        <v>4904</v>
      </c>
      <c r="AF228" t="s">
        <v>74</v>
      </c>
      <c r="AG228">
        <v>84</v>
      </c>
      <c r="AH228">
        <v>5</v>
      </c>
      <c r="AI228">
        <v>6</v>
      </c>
      <c r="AJ228">
        <v>1</v>
      </c>
      <c r="AK228">
        <v>9</v>
      </c>
      <c r="AL228" t="s">
        <v>709</v>
      </c>
      <c r="AM228" t="s">
        <v>380</v>
      </c>
      <c r="AN228" t="s">
        <v>710</v>
      </c>
      <c r="AO228" t="s">
        <v>711</v>
      </c>
      <c r="AP228" t="s">
        <v>712</v>
      </c>
      <c r="AQ228" t="s">
        <v>74</v>
      </c>
      <c r="AR228" t="s">
        <v>713</v>
      </c>
      <c r="AS228" t="s">
        <v>714</v>
      </c>
      <c r="AT228" t="s">
        <v>1270</v>
      </c>
      <c r="AU228">
        <v>2019</v>
      </c>
      <c r="AV228">
        <v>110</v>
      </c>
      <c r="AW228" t="s">
        <v>74</v>
      </c>
      <c r="AX228" t="s">
        <v>74</v>
      </c>
      <c r="AY228" t="s">
        <v>74</v>
      </c>
      <c r="AZ228" t="s">
        <v>74</v>
      </c>
      <c r="BA228" t="s">
        <v>74</v>
      </c>
      <c r="BB228" t="s">
        <v>74</v>
      </c>
      <c r="BC228" t="s">
        <v>74</v>
      </c>
      <c r="BD228">
        <v>103550</v>
      </c>
      <c r="BE228" t="s">
        <v>4905</v>
      </c>
      <c r="BF228" t="str">
        <f>HYPERLINK("http://dx.doi.org/10.1016/j.marpol.2019.103550","http://dx.doi.org/10.1016/j.marpol.2019.103550")</f>
        <v>http://dx.doi.org/10.1016/j.marpol.2019.103550</v>
      </c>
      <c r="BG228" t="s">
        <v>74</v>
      </c>
      <c r="BH228" t="s">
        <v>74</v>
      </c>
      <c r="BI228">
        <v>9</v>
      </c>
      <c r="BJ228" t="s">
        <v>716</v>
      </c>
      <c r="BK228" t="s">
        <v>717</v>
      </c>
      <c r="BL228" t="s">
        <v>718</v>
      </c>
      <c r="BM228" t="s">
        <v>4906</v>
      </c>
      <c r="BN228" t="s">
        <v>74</v>
      </c>
      <c r="BO228" t="s">
        <v>74</v>
      </c>
      <c r="BP228" t="s">
        <v>74</v>
      </c>
      <c r="BQ228" t="s">
        <v>74</v>
      </c>
      <c r="BR228" t="s">
        <v>108</v>
      </c>
      <c r="BS228" t="s">
        <v>4907</v>
      </c>
      <c r="BT228" t="str">
        <f>HYPERLINK("https%3A%2F%2Fwww.webofscience.com%2Fwos%2Fwoscc%2Ffull-record%2FWOS:000501401600004","View Full Record in Web of Science")</f>
        <v>View Full Record in Web of Science</v>
      </c>
    </row>
    <row r="229" spans="1:72" x14ac:dyDescent="0.15">
      <c r="A229" t="s">
        <v>133</v>
      </c>
      <c r="B229" t="s">
        <v>4908</v>
      </c>
      <c r="C229" t="s">
        <v>74</v>
      </c>
      <c r="D229" t="s">
        <v>74</v>
      </c>
      <c r="E229" t="s">
        <v>74</v>
      </c>
      <c r="F229" t="s">
        <v>4909</v>
      </c>
      <c r="G229" t="s">
        <v>74</v>
      </c>
      <c r="H229" t="s">
        <v>74</v>
      </c>
      <c r="I229" t="s">
        <v>4910</v>
      </c>
      <c r="J229" t="s">
        <v>4911</v>
      </c>
      <c r="K229" t="s">
        <v>74</v>
      </c>
      <c r="L229" t="s">
        <v>74</v>
      </c>
      <c r="M229" t="s">
        <v>80</v>
      </c>
      <c r="N229" t="s">
        <v>138</v>
      </c>
      <c r="O229" t="s">
        <v>74</v>
      </c>
      <c r="P229" t="s">
        <v>74</v>
      </c>
      <c r="Q229" t="s">
        <v>74</v>
      </c>
      <c r="R229" t="s">
        <v>74</v>
      </c>
      <c r="S229" t="s">
        <v>74</v>
      </c>
      <c r="T229" t="s">
        <v>4912</v>
      </c>
      <c r="U229" t="s">
        <v>4913</v>
      </c>
      <c r="V229" t="s">
        <v>4914</v>
      </c>
      <c r="W229" t="s">
        <v>4915</v>
      </c>
      <c r="X229" t="s">
        <v>4916</v>
      </c>
      <c r="Y229" t="s">
        <v>4917</v>
      </c>
      <c r="Z229" t="s">
        <v>4918</v>
      </c>
      <c r="AA229" t="s">
        <v>4919</v>
      </c>
      <c r="AB229" t="s">
        <v>4920</v>
      </c>
      <c r="AC229" t="s">
        <v>4921</v>
      </c>
      <c r="AD229" t="s">
        <v>4922</v>
      </c>
      <c r="AE229" t="s">
        <v>4923</v>
      </c>
      <c r="AF229" t="s">
        <v>74</v>
      </c>
      <c r="AG229">
        <v>56</v>
      </c>
      <c r="AH229">
        <v>5</v>
      </c>
      <c r="AI229">
        <v>5</v>
      </c>
      <c r="AJ229">
        <v>3</v>
      </c>
      <c r="AK229">
        <v>34</v>
      </c>
      <c r="AL229" t="s">
        <v>379</v>
      </c>
      <c r="AM229" t="s">
        <v>380</v>
      </c>
      <c r="AN229" t="s">
        <v>381</v>
      </c>
      <c r="AO229" t="s">
        <v>4924</v>
      </c>
      <c r="AP229" t="s">
        <v>4925</v>
      </c>
      <c r="AQ229" t="s">
        <v>74</v>
      </c>
      <c r="AR229" t="s">
        <v>4926</v>
      </c>
      <c r="AS229" t="s">
        <v>4927</v>
      </c>
      <c r="AT229" t="s">
        <v>1270</v>
      </c>
      <c r="AU229">
        <v>2019</v>
      </c>
      <c r="AV229">
        <v>149</v>
      </c>
      <c r="AW229" t="s">
        <v>74</v>
      </c>
      <c r="AX229" t="s">
        <v>74</v>
      </c>
      <c r="AY229" t="s">
        <v>74</v>
      </c>
      <c r="AZ229" t="s">
        <v>74</v>
      </c>
      <c r="BA229" t="s">
        <v>74</v>
      </c>
      <c r="BB229" t="s">
        <v>74</v>
      </c>
      <c r="BC229" t="s">
        <v>74</v>
      </c>
      <c r="BD229">
        <v>110534</v>
      </c>
      <c r="BE229" t="s">
        <v>4928</v>
      </c>
      <c r="BF229" t="str">
        <f>HYPERLINK("http://dx.doi.org/10.1016/j.marpolbul.2019.110534","http://dx.doi.org/10.1016/j.marpolbul.2019.110534")</f>
        <v>http://dx.doi.org/10.1016/j.marpolbul.2019.110534</v>
      </c>
      <c r="BG229" t="s">
        <v>74</v>
      </c>
      <c r="BH229" t="s">
        <v>74</v>
      </c>
      <c r="BI229">
        <v>10</v>
      </c>
      <c r="BJ229" t="s">
        <v>2738</v>
      </c>
      <c r="BK229" t="s">
        <v>294</v>
      </c>
      <c r="BL229" t="s">
        <v>2739</v>
      </c>
      <c r="BM229" t="s">
        <v>4929</v>
      </c>
      <c r="BN229" t="s">
        <v>74</v>
      </c>
      <c r="BO229" t="s">
        <v>4930</v>
      </c>
      <c r="BP229" t="s">
        <v>74</v>
      </c>
      <c r="BQ229" t="s">
        <v>74</v>
      </c>
      <c r="BR229" t="s">
        <v>108</v>
      </c>
      <c r="BS229" t="s">
        <v>4931</v>
      </c>
      <c r="BT229" t="str">
        <f>HYPERLINK("https%3A%2F%2Fwww.webofscience.com%2Fwos%2Fwoscc%2Ffull-record%2FWOS:000501387300069","View Full Record in Web of Science")</f>
        <v>View Full Record in Web of Science</v>
      </c>
    </row>
    <row r="230" spans="1:72" x14ac:dyDescent="0.15">
      <c r="A230" t="s">
        <v>133</v>
      </c>
      <c r="B230" t="s">
        <v>4932</v>
      </c>
      <c r="C230" t="s">
        <v>74</v>
      </c>
      <c r="D230" t="s">
        <v>74</v>
      </c>
      <c r="E230" t="s">
        <v>74</v>
      </c>
      <c r="F230" t="s">
        <v>4933</v>
      </c>
      <c r="G230" t="s">
        <v>74</v>
      </c>
      <c r="H230" t="s">
        <v>74</v>
      </c>
      <c r="I230" t="s">
        <v>4934</v>
      </c>
      <c r="J230" t="s">
        <v>4911</v>
      </c>
      <c r="K230" t="s">
        <v>74</v>
      </c>
      <c r="L230" t="s">
        <v>74</v>
      </c>
      <c r="M230" t="s">
        <v>80</v>
      </c>
      <c r="N230" t="s">
        <v>138</v>
      </c>
      <c r="O230" t="s">
        <v>74</v>
      </c>
      <c r="P230" t="s">
        <v>74</v>
      </c>
      <c r="Q230" t="s">
        <v>74</v>
      </c>
      <c r="R230" t="s">
        <v>74</v>
      </c>
      <c r="S230" t="s">
        <v>74</v>
      </c>
      <c r="T230" t="s">
        <v>4935</v>
      </c>
      <c r="U230" t="s">
        <v>4936</v>
      </c>
      <c r="V230" t="s">
        <v>4937</v>
      </c>
      <c r="W230" t="s">
        <v>4938</v>
      </c>
      <c r="X230" t="s">
        <v>4939</v>
      </c>
      <c r="Y230" t="s">
        <v>4940</v>
      </c>
      <c r="Z230" t="s">
        <v>4941</v>
      </c>
      <c r="AA230" t="s">
        <v>74</v>
      </c>
      <c r="AB230" t="s">
        <v>4942</v>
      </c>
      <c r="AC230" t="s">
        <v>4943</v>
      </c>
      <c r="AD230" t="s">
        <v>4944</v>
      </c>
      <c r="AE230" t="s">
        <v>4945</v>
      </c>
      <c r="AF230" t="s">
        <v>74</v>
      </c>
      <c r="AG230">
        <v>28</v>
      </c>
      <c r="AH230">
        <v>34</v>
      </c>
      <c r="AI230">
        <v>37</v>
      </c>
      <c r="AJ230">
        <v>3</v>
      </c>
      <c r="AK230">
        <v>75</v>
      </c>
      <c r="AL230" t="s">
        <v>379</v>
      </c>
      <c r="AM230" t="s">
        <v>380</v>
      </c>
      <c r="AN230" t="s">
        <v>381</v>
      </c>
      <c r="AO230" t="s">
        <v>4924</v>
      </c>
      <c r="AP230" t="s">
        <v>4925</v>
      </c>
      <c r="AQ230" t="s">
        <v>74</v>
      </c>
      <c r="AR230" t="s">
        <v>4926</v>
      </c>
      <c r="AS230" t="s">
        <v>4927</v>
      </c>
      <c r="AT230" t="s">
        <v>1270</v>
      </c>
      <c r="AU230">
        <v>2019</v>
      </c>
      <c r="AV230">
        <v>149</v>
      </c>
      <c r="AW230" t="s">
        <v>74</v>
      </c>
      <c r="AX230" t="s">
        <v>74</v>
      </c>
      <c r="AY230" t="s">
        <v>74</v>
      </c>
      <c r="AZ230" t="s">
        <v>74</v>
      </c>
      <c r="BA230" t="s">
        <v>74</v>
      </c>
      <c r="BB230" t="s">
        <v>74</v>
      </c>
      <c r="BC230" t="s">
        <v>74</v>
      </c>
      <c r="BD230">
        <v>110573</v>
      </c>
      <c r="BE230" t="s">
        <v>4946</v>
      </c>
      <c r="BF230" t="str">
        <f>HYPERLINK("http://dx.doi.org/10.1016/j.marpolbul.2019.110573","http://dx.doi.org/10.1016/j.marpolbul.2019.110573")</f>
        <v>http://dx.doi.org/10.1016/j.marpolbul.2019.110573</v>
      </c>
      <c r="BG230" t="s">
        <v>74</v>
      </c>
      <c r="BH230" t="s">
        <v>74</v>
      </c>
      <c r="BI230">
        <v>5</v>
      </c>
      <c r="BJ230" t="s">
        <v>2738</v>
      </c>
      <c r="BK230" t="s">
        <v>294</v>
      </c>
      <c r="BL230" t="s">
        <v>2739</v>
      </c>
      <c r="BM230" t="s">
        <v>4929</v>
      </c>
      <c r="BN230">
        <v>31542602</v>
      </c>
      <c r="BO230" t="s">
        <v>74</v>
      </c>
      <c r="BP230" t="s">
        <v>74</v>
      </c>
      <c r="BQ230" t="s">
        <v>74</v>
      </c>
      <c r="BR230" t="s">
        <v>108</v>
      </c>
      <c r="BS230" t="s">
        <v>4947</v>
      </c>
      <c r="BT230" t="str">
        <f>HYPERLINK("https%3A%2F%2Fwww.webofscience.com%2Fwos%2Fwoscc%2Ffull-record%2FWOS:000501387300059","View Full Record in Web of Science")</f>
        <v>View Full Record in Web of Science</v>
      </c>
    </row>
    <row r="231" spans="1:72" x14ac:dyDescent="0.15">
      <c r="A231" t="s">
        <v>133</v>
      </c>
      <c r="B231" t="s">
        <v>4948</v>
      </c>
      <c r="C231" t="s">
        <v>74</v>
      </c>
      <c r="D231" t="s">
        <v>74</v>
      </c>
      <c r="E231" t="s">
        <v>74</v>
      </c>
      <c r="F231" t="s">
        <v>4949</v>
      </c>
      <c r="G231" t="s">
        <v>74</v>
      </c>
      <c r="H231" t="s">
        <v>74</v>
      </c>
      <c r="I231" t="s">
        <v>4950</v>
      </c>
      <c r="J231" t="s">
        <v>4911</v>
      </c>
      <c r="K231" t="s">
        <v>74</v>
      </c>
      <c r="L231" t="s">
        <v>74</v>
      </c>
      <c r="M231" t="s">
        <v>80</v>
      </c>
      <c r="N231" t="s">
        <v>138</v>
      </c>
      <c r="O231" t="s">
        <v>74</v>
      </c>
      <c r="P231" t="s">
        <v>74</v>
      </c>
      <c r="Q231" t="s">
        <v>74</v>
      </c>
      <c r="R231" t="s">
        <v>74</v>
      </c>
      <c r="S231" t="s">
        <v>74</v>
      </c>
      <c r="T231" t="s">
        <v>4951</v>
      </c>
      <c r="U231" t="s">
        <v>4952</v>
      </c>
      <c r="V231" t="s">
        <v>4953</v>
      </c>
      <c r="W231" t="s">
        <v>4954</v>
      </c>
      <c r="X231" t="s">
        <v>4955</v>
      </c>
      <c r="Y231" t="s">
        <v>4956</v>
      </c>
      <c r="Z231" t="s">
        <v>4957</v>
      </c>
      <c r="AA231" t="s">
        <v>4958</v>
      </c>
      <c r="AB231" t="s">
        <v>4959</v>
      </c>
      <c r="AC231" t="s">
        <v>4960</v>
      </c>
      <c r="AD231" t="s">
        <v>4960</v>
      </c>
      <c r="AE231" t="s">
        <v>4961</v>
      </c>
      <c r="AF231" t="s">
        <v>74</v>
      </c>
      <c r="AG231">
        <v>36</v>
      </c>
      <c r="AH231">
        <v>3</v>
      </c>
      <c r="AI231">
        <v>3</v>
      </c>
      <c r="AJ231">
        <v>0</v>
      </c>
      <c r="AK231">
        <v>8</v>
      </c>
      <c r="AL231" t="s">
        <v>379</v>
      </c>
      <c r="AM231" t="s">
        <v>380</v>
      </c>
      <c r="AN231" t="s">
        <v>381</v>
      </c>
      <c r="AO231" t="s">
        <v>4924</v>
      </c>
      <c r="AP231" t="s">
        <v>4925</v>
      </c>
      <c r="AQ231" t="s">
        <v>74</v>
      </c>
      <c r="AR231" t="s">
        <v>4926</v>
      </c>
      <c r="AS231" t="s">
        <v>4927</v>
      </c>
      <c r="AT231" t="s">
        <v>1270</v>
      </c>
      <c r="AU231">
        <v>2019</v>
      </c>
      <c r="AV231">
        <v>149</v>
      </c>
      <c r="AW231" t="s">
        <v>74</v>
      </c>
      <c r="AX231" t="s">
        <v>74</v>
      </c>
      <c r="AY231" t="s">
        <v>74</v>
      </c>
      <c r="AZ231" t="s">
        <v>74</v>
      </c>
      <c r="BA231" t="s">
        <v>74</v>
      </c>
      <c r="BB231" t="s">
        <v>74</v>
      </c>
      <c r="BC231" t="s">
        <v>74</v>
      </c>
      <c r="BD231">
        <v>110493</v>
      </c>
      <c r="BE231" t="s">
        <v>4962</v>
      </c>
      <c r="BF231" t="str">
        <f>HYPERLINK("http://dx.doi.org/10.1016/j.marpolbul.2019.110493","http://dx.doi.org/10.1016/j.marpolbul.2019.110493")</f>
        <v>http://dx.doi.org/10.1016/j.marpolbul.2019.110493</v>
      </c>
      <c r="BG231" t="s">
        <v>74</v>
      </c>
      <c r="BH231" t="s">
        <v>74</v>
      </c>
      <c r="BI231">
        <v>7</v>
      </c>
      <c r="BJ231" t="s">
        <v>2738</v>
      </c>
      <c r="BK231" t="s">
        <v>294</v>
      </c>
      <c r="BL231" t="s">
        <v>2739</v>
      </c>
      <c r="BM231" t="s">
        <v>4929</v>
      </c>
      <c r="BN231">
        <v>31442865</v>
      </c>
      <c r="BO231" t="s">
        <v>74</v>
      </c>
      <c r="BP231" t="s">
        <v>74</v>
      </c>
      <c r="BQ231" t="s">
        <v>74</v>
      </c>
      <c r="BR231" t="s">
        <v>108</v>
      </c>
      <c r="BS231" t="s">
        <v>4963</v>
      </c>
      <c r="BT231" t="str">
        <f>HYPERLINK("https%3A%2F%2Fwww.webofscience.com%2Fwos%2Fwoscc%2Ffull-record%2FWOS:000501387300023","View Full Record in Web of Science")</f>
        <v>View Full Record in Web of Science</v>
      </c>
    </row>
    <row r="232" spans="1:72" x14ac:dyDescent="0.15">
      <c r="A232" t="s">
        <v>133</v>
      </c>
      <c r="B232" t="s">
        <v>4964</v>
      </c>
      <c r="C232" t="s">
        <v>74</v>
      </c>
      <c r="D232" t="s">
        <v>74</v>
      </c>
      <c r="E232" t="s">
        <v>74</v>
      </c>
      <c r="F232" t="s">
        <v>4965</v>
      </c>
      <c r="G232" t="s">
        <v>74</v>
      </c>
      <c r="H232" t="s">
        <v>74</v>
      </c>
      <c r="I232" t="s">
        <v>4966</v>
      </c>
      <c r="J232" t="s">
        <v>4967</v>
      </c>
      <c r="K232" t="s">
        <v>74</v>
      </c>
      <c r="L232" t="s">
        <v>74</v>
      </c>
      <c r="M232" t="s">
        <v>4968</v>
      </c>
      <c r="N232" t="s">
        <v>138</v>
      </c>
      <c r="O232" t="s">
        <v>74</v>
      </c>
      <c r="P232" t="s">
        <v>74</v>
      </c>
      <c r="Q232" t="s">
        <v>74</v>
      </c>
      <c r="R232" t="s">
        <v>74</v>
      </c>
      <c r="S232" t="s">
        <v>74</v>
      </c>
      <c r="T232" t="s">
        <v>4969</v>
      </c>
      <c r="U232" t="s">
        <v>4970</v>
      </c>
      <c r="V232" t="s">
        <v>4971</v>
      </c>
      <c r="W232" t="s">
        <v>4972</v>
      </c>
      <c r="X232" t="s">
        <v>4973</v>
      </c>
      <c r="Y232" t="s">
        <v>4974</v>
      </c>
      <c r="Z232" t="s">
        <v>4975</v>
      </c>
      <c r="AA232" t="s">
        <v>4976</v>
      </c>
      <c r="AB232" t="s">
        <v>74</v>
      </c>
      <c r="AC232" t="s">
        <v>74</v>
      </c>
      <c r="AD232" t="s">
        <v>74</v>
      </c>
      <c r="AE232" t="s">
        <v>74</v>
      </c>
      <c r="AF232" t="s">
        <v>74</v>
      </c>
      <c r="AG232">
        <v>26</v>
      </c>
      <c r="AH232">
        <v>2</v>
      </c>
      <c r="AI232">
        <v>3</v>
      </c>
      <c r="AJ232">
        <v>1</v>
      </c>
      <c r="AK232">
        <v>6</v>
      </c>
      <c r="AL232" t="s">
        <v>4977</v>
      </c>
      <c r="AM232" t="s">
        <v>3542</v>
      </c>
      <c r="AN232" t="s">
        <v>4978</v>
      </c>
      <c r="AO232" t="s">
        <v>4979</v>
      </c>
      <c r="AP232" t="s">
        <v>74</v>
      </c>
      <c r="AQ232" t="s">
        <v>74</v>
      </c>
      <c r="AR232" t="s">
        <v>4980</v>
      </c>
      <c r="AS232" t="s">
        <v>4981</v>
      </c>
      <c r="AT232" t="s">
        <v>1270</v>
      </c>
      <c r="AU232">
        <v>2019</v>
      </c>
      <c r="AV232">
        <v>62</v>
      </c>
      <c r="AW232">
        <v>12</v>
      </c>
      <c r="AX232" t="s">
        <v>74</v>
      </c>
      <c r="AY232" t="s">
        <v>74</v>
      </c>
      <c r="AZ232" t="s">
        <v>74</v>
      </c>
      <c r="BA232" t="s">
        <v>74</v>
      </c>
      <c r="BB232">
        <v>4729</v>
      </c>
      <c r="BC232">
        <v>4737</v>
      </c>
      <c r="BD232" t="s">
        <v>74</v>
      </c>
      <c r="BE232" t="s">
        <v>4982</v>
      </c>
      <c r="BF232" t="str">
        <f>HYPERLINK("http://dx.doi.org/10.6038/cjg2019M0592","http://dx.doi.org/10.6038/cjg2019M0592")</f>
        <v>http://dx.doi.org/10.6038/cjg2019M0592</v>
      </c>
      <c r="BG232" t="s">
        <v>74</v>
      </c>
      <c r="BH232" t="s">
        <v>74</v>
      </c>
      <c r="BI232">
        <v>9</v>
      </c>
      <c r="BJ232" t="s">
        <v>1067</v>
      </c>
      <c r="BK232" t="s">
        <v>294</v>
      </c>
      <c r="BL232" t="s">
        <v>1067</v>
      </c>
      <c r="BM232" t="s">
        <v>4983</v>
      </c>
      <c r="BN232" t="s">
        <v>74</v>
      </c>
      <c r="BO232" t="s">
        <v>74</v>
      </c>
      <c r="BP232" t="s">
        <v>74</v>
      </c>
      <c r="BQ232" t="s">
        <v>74</v>
      </c>
      <c r="BR232" t="s">
        <v>108</v>
      </c>
      <c r="BS232" t="s">
        <v>4984</v>
      </c>
      <c r="BT232" t="str">
        <f>HYPERLINK("https%3A%2F%2Fwww.webofscience.com%2Fwos%2Fwoscc%2Ffull-record%2FWOS:000500940600019","View Full Record in Web of Science")</f>
        <v>View Full Record in Web of Science</v>
      </c>
    </row>
    <row r="233" spans="1:72" x14ac:dyDescent="0.15">
      <c r="A233" t="s">
        <v>133</v>
      </c>
      <c r="B233" t="s">
        <v>4985</v>
      </c>
      <c r="C233" t="s">
        <v>74</v>
      </c>
      <c r="D233" t="s">
        <v>74</v>
      </c>
      <c r="E233" t="s">
        <v>74</v>
      </c>
      <c r="F233" t="s">
        <v>4986</v>
      </c>
      <c r="G233" t="s">
        <v>74</v>
      </c>
      <c r="H233" t="s">
        <v>74</v>
      </c>
      <c r="I233" t="s">
        <v>4987</v>
      </c>
      <c r="J233" t="s">
        <v>4693</v>
      </c>
      <c r="K233" t="s">
        <v>74</v>
      </c>
      <c r="L233" t="s">
        <v>74</v>
      </c>
      <c r="M233" t="s">
        <v>80</v>
      </c>
      <c r="N233" t="s">
        <v>138</v>
      </c>
      <c r="O233" t="s">
        <v>74</v>
      </c>
      <c r="P233" t="s">
        <v>74</v>
      </c>
      <c r="Q233" t="s">
        <v>74</v>
      </c>
      <c r="R233" t="s">
        <v>74</v>
      </c>
      <c r="S233" t="s">
        <v>74</v>
      </c>
      <c r="T233" t="s">
        <v>4988</v>
      </c>
      <c r="U233" t="s">
        <v>4989</v>
      </c>
      <c r="V233" t="s">
        <v>4990</v>
      </c>
      <c r="W233" t="s">
        <v>4991</v>
      </c>
      <c r="X233" t="s">
        <v>4992</v>
      </c>
      <c r="Y233" t="s">
        <v>4993</v>
      </c>
      <c r="Z233" t="s">
        <v>4994</v>
      </c>
      <c r="AA233" t="s">
        <v>4995</v>
      </c>
      <c r="AB233" t="s">
        <v>4996</v>
      </c>
      <c r="AC233" t="s">
        <v>4997</v>
      </c>
      <c r="AD233" t="s">
        <v>4998</v>
      </c>
      <c r="AE233" t="s">
        <v>4999</v>
      </c>
      <c r="AF233" t="s">
        <v>74</v>
      </c>
      <c r="AG233">
        <v>62</v>
      </c>
      <c r="AH233">
        <v>14</v>
      </c>
      <c r="AI233">
        <v>16</v>
      </c>
      <c r="AJ233">
        <v>0</v>
      </c>
      <c r="AK233">
        <v>5</v>
      </c>
      <c r="AL233" t="s">
        <v>1016</v>
      </c>
      <c r="AM233" t="s">
        <v>1017</v>
      </c>
      <c r="AN233" t="s">
        <v>4703</v>
      </c>
      <c r="AO233" t="s">
        <v>4704</v>
      </c>
      <c r="AP233" t="s">
        <v>4705</v>
      </c>
      <c r="AQ233" t="s">
        <v>74</v>
      </c>
      <c r="AR233" t="s">
        <v>4706</v>
      </c>
      <c r="AS233" t="s">
        <v>4707</v>
      </c>
      <c r="AT233" t="s">
        <v>1270</v>
      </c>
      <c r="AU233">
        <v>2019</v>
      </c>
      <c r="AV233">
        <v>49</v>
      </c>
      <c r="AW233">
        <v>12</v>
      </c>
      <c r="AX233" t="s">
        <v>74</v>
      </c>
      <c r="AY233" t="s">
        <v>74</v>
      </c>
      <c r="AZ233" t="s">
        <v>74</v>
      </c>
      <c r="BA233" t="s">
        <v>74</v>
      </c>
      <c r="BB233">
        <v>3221</v>
      </c>
      <c r="BC233">
        <v>3244</v>
      </c>
      <c r="BD233" t="s">
        <v>74</v>
      </c>
      <c r="BE233" t="s">
        <v>5000</v>
      </c>
      <c r="BF233" t="str">
        <f>HYPERLINK("http://dx.doi.org/10.1175/JPO-D-19-0083.1","http://dx.doi.org/10.1175/JPO-D-19-0083.1")</f>
        <v>http://dx.doi.org/10.1175/JPO-D-19-0083.1</v>
      </c>
      <c r="BG233" t="s">
        <v>74</v>
      </c>
      <c r="BH233" t="s">
        <v>74</v>
      </c>
      <c r="BI233">
        <v>24</v>
      </c>
      <c r="BJ233" t="s">
        <v>1945</v>
      </c>
      <c r="BK233" t="s">
        <v>294</v>
      </c>
      <c r="BL233" t="s">
        <v>1945</v>
      </c>
      <c r="BM233" t="s">
        <v>5001</v>
      </c>
      <c r="BN233" t="s">
        <v>74</v>
      </c>
      <c r="BO233" t="s">
        <v>5002</v>
      </c>
      <c r="BP233" t="s">
        <v>74</v>
      </c>
      <c r="BQ233" t="s">
        <v>74</v>
      </c>
      <c r="BR233" t="s">
        <v>108</v>
      </c>
      <c r="BS233" t="s">
        <v>5003</v>
      </c>
      <c r="BT233" t="str">
        <f>HYPERLINK("https%3A%2F%2Fwww.webofscience.com%2Fwos%2Fwoscc%2Ffull-record%2FWOS:000501802000001","View Full Record in Web of Science")</f>
        <v>View Full Record in Web of Science</v>
      </c>
    </row>
    <row r="234" spans="1:72" x14ac:dyDescent="0.15">
      <c r="A234" t="s">
        <v>133</v>
      </c>
      <c r="B234" t="s">
        <v>5004</v>
      </c>
      <c r="C234" t="s">
        <v>74</v>
      </c>
      <c r="D234" t="s">
        <v>74</v>
      </c>
      <c r="E234" t="s">
        <v>74</v>
      </c>
      <c r="F234" t="s">
        <v>5005</v>
      </c>
      <c r="G234" t="s">
        <v>74</v>
      </c>
      <c r="H234" t="s">
        <v>74</v>
      </c>
      <c r="I234" t="s">
        <v>5006</v>
      </c>
      <c r="J234" t="s">
        <v>5007</v>
      </c>
      <c r="K234" t="s">
        <v>74</v>
      </c>
      <c r="L234" t="s">
        <v>74</v>
      </c>
      <c r="M234" t="s">
        <v>80</v>
      </c>
      <c r="N234" t="s">
        <v>138</v>
      </c>
      <c r="O234" t="s">
        <v>74</v>
      </c>
      <c r="P234" t="s">
        <v>74</v>
      </c>
      <c r="Q234" t="s">
        <v>74</v>
      </c>
      <c r="R234" t="s">
        <v>74</v>
      </c>
      <c r="S234" t="s">
        <v>74</v>
      </c>
      <c r="T234" t="s">
        <v>5008</v>
      </c>
      <c r="U234" t="s">
        <v>5009</v>
      </c>
      <c r="V234" t="s">
        <v>5010</v>
      </c>
      <c r="W234" t="s">
        <v>5011</v>
      </c>
      <c r="X234" t="s">
        <v>5012</v>
      </c>
      <c r="Y234" t="s">
        <v>5013</v>
      </c>
      <c r="Z234" t="s">
        <v>5014</v>
      </c>
      <c r="AA234" t="s">
        <v>74</v>
      </c>
      <c r="AB234" t="s">
        <v>5015</v>
      </c>
      <c r="AC234" t="s">
        <v>5016</v>
      </c>
      <c r="AD234" t="s">
        <v>5016</v>
      </c>
      <c r="AE234" t="s">
        <v>5017</v>
      </c>
      <c r="AF234" t="s">
        <v>74</v>
      </c>
      <c r="AG234">
        <v>100</v>
      </c>
      <c r="AH234">
        <v>7</v>
      </c>
      <c r="AI234">
        <v>7</v>
      </c>
      <c r="AJ234">
        <v>0</v>
      </c>
      <c r="AK234">
        <v>13</v>
      </c>
      <c r="AL234" t="s">
        <v>284</v>
      </c>
      <c r="AM234" t="s">
        <v>285</v>
      </c>
      <c r="AN234" t="s">
        <v>286</v>
      </c>
      <c r="AO234" t="s">
        <v>5018</v>
      </c>
      <c r="AP234" t="s">
        <v>5019</v>
      </c>
      <c r="AQ234" t="s">
        <v>74</v>
      </c>
      <c r="AR234" t="s">
        <v>5020</v>
      </c>
      <c r="AS234" t="s">
        <v>5021</v>
      </c>
      <c r="AT234" t="s">
        <v>1270</v>
      </c>
      <c r="AU234">
        <v>2019</v>
      </c>
      <c r="AV234">
        <v>418</v>
      </c>
      <c r="AW234" t="s">
        <v>74</v>
      </c>
      <c r="AX234" t="s">
        <v>74</v>
      </c>
      <c r="AY234" t="s">
        <v>74</v>
      </c>
      <c r="AZ234" t="s">
        <v>74</v>
      </c>
      <c r="BA234" t="s">
        <v>74</v>
      </c>
      <c r="BB234" t="s">
        <v>74</v>
      </c>
      <c r="BC234" t="s">
        <v>74</v>
      </c>
      <c r="BD234">
        <v>106037</v>
      </c>
      <c r="BE234" t="s">
        <v>5022</v>
      </c>
      <c r="BF234" t="str">
        <f>HYPERLINK("http://dx.doi.org/10.1016/j.margeo.2019.106037","http://dx.doi.org/10.1016/j.margeo.2019.106037")</f>
        <v>http://dx.doi.org/10.1016/j.margeo.2019.106037</v>
      </c>
      <c r="BG234" t="s">
        <v>74</v>
      </c>
      <c r="BH234" t="s">
        <v>74</v>
      </c>
      <c r="BI234">
        <v>16</v>
      </c>
      <c r="BJ234" t="s">
        <v>5023</v>
      </c>
      <c r="BK234" t="s">
        <v>294</v>
      </c>
      <c r="BL234" t="s">
        <v>5024</v>
      </c>
      <c r="BM234" t="s">
        <v>5025</v>
      </c>
      <c r="BN234" t="s">
        <v>74</v>
      </c>
      <c r="BO234" t="s">
        <v>74</v>
      </c>
      <c r="BP234" t="s">
        <v>74</v>
      </c>
      <c r="BQ234" t="s">
        <v>74</v>
      </c>
      <c r="BR234" t="s">
        <v>108</v>
      </c>
      <c r="BS234" t="s">
        <v>5026</v>
      </c>
      <c r="BT234" t="str">
        <f>HYPERLINK("https%3A%2F%2Fwww.webofscience.com%2Fwos%2Fwoscc%2Ffull-record%2FWOS:000501408800001","View Full Record in Web of Science")</f>
        <v>View Full Record in Web of Science</v>
      </c>
    </row>
    <row r="235" spans="1:72" x14ac:dyDescent="0.15">
      <c r="A235" t="s">
        <v>133</v>
      </c>
      <c r="B235" t="s">
        <v>5027</v>
      </c>
      <c r="C235" t="s">
        <v>74</v>
      </c>
      <c r="D235" t="s">
        <v>74</v>
      </c>
      <c r="E235" t="s">
        <v>74</v>
      </c>
      <c r="F235" t="s">
        <v>5028</v>
      </c>
      <c r="G235" t="s">
        <v>74</v>
      </c>
      <c r="H235" t="s">
        <v>74</v>
      </c>
      <c r="I235" t="s">
        <v>5029</v>
      </c>
      <c r="J235" t="s">
        <v>5030</v>
      </c>
      <c r="K235" t="s">
        <v>74</v>
      </c>
      <c r="L235" t="s">
        <v>74</v>
      </c>
      <c r="M235" t="s">
        <v>80</v>
      </c>
      <c r="N235" t="s">
        <v>138</v>
      </c>
      <c r="O235" t="s">
        <v>74</v>
      </c>
      <c r="P235" t="s">
        <v>74</v>
      </c>
      <c r="Q235" t="s">
        <v>74</v>
      </c>
      <c r="R235" t="s">
        <v>74</v>
      </c>
      <c r="S235" t="s">
        <v>74</v>
      </c>
      <c r="T235" t="s">
        <v>5031</v>
      </c>
      <c r="U235" t="s">
        <v>5032</v>
      </c>
      <c r="V235" t="s">
        <v>5033</v>
      </c>
      <c r="W235" t="s">
        <v>5034</v>
      </c>
      <c r="X235" t="s">
        <v>5035</v>
      </c>
      <c r="Y235" t="s">
        <v>5036</v>
      </c>
      <c r="Z235" t="s">
        <v>5037</v>
      </c>
      <c r="AA235" t="s">
        <v>5038</v>
      </c>
      <c r="AB235" t="s">
        <v>5039</v>
      </c>
      <c r="AC235" t="s">
        <v>5040</v>
      </c>
      <c r="AD235" t="s">
        <v>5041</v>
      </c>
      <c r="AE235" t="s">
        <v>5042</v>
      </c>
      <c r="AF235" t="s">
        <v>74</v>
      </c>
      <c r="AG235">
        <v>59</v>
      </c>
      <c r="AH235">
        <v>11</v>
      </c>
      <c r="AI235">
        <v>11</v>
      </c>
      <c r="AJ235">
        <v>1</v>
      </c>
      <c r="AK235">
        <v>6</v>
      </c>
      <c r="AL235" t="s">
        <v>379</v>
      </c>
      <c r="AM235" t="s">
        <v>380</v>
      </c>
      <c r="AN235" t="s">
        <v>381</v>
      </c>
      <c r="AO235" t="s">
        <v>5043</v>
      </c>
      <c r="AP235" t="s">
        <v>74</v>
      </c>
      <c r="AQ235" t="s">
        <v>74</v>
      </c>
      <c r="AR235" t="s">
        <v>5044</v>
      </c>
      <c r="AS235" t="s">
        <v>5045</v>
      </c>
      <c r="AT235" t="s">
        <v>1270</v>
      </c>
      <c r="AU235">
        <v>2019</v>
      </c>
      <c r="AV235">
        <v>179</v>
      </c>
      <c r="AW235" t="s">
        <v>74</v>
      </c>
      <c r="AX235" t="s">
        <v>74</v>
      </c>
      <c r="AY235" t="s">
        <v>74</v>
      </c>
      <c r="AZ235" t="s">
        <v>74</v>
      </c>
      <c r="BA235" t="s">
        <v>74</v>
      </c>
      <c r="BB235" t="s">
        <v>74</v>
      </c>
      <c r="BC235" t="s">
        <v>74</v>
      </c>
      <c r="BD235">
        <v>104725</v>
      </c>
      <c r="BE235" t="s">
        <v>5046</v>
      </c>
      <c r="BF235" t="str">
        <f>HYPERLINK("http://dx.doi.org/10.1016/j.pss.2019.104725","http://dx.doi.org/10.1016/j.pss.2019.104725")</f>
        <v>http://dx.doi.org/10.1016/j.pss.2019.104725</v>
      </c>
      <c r="BG235" t="s">
        <v>74</v>
      </c>
      <c r="BH235" t="s">
        <v>74</v>
      </c>
      <c r="BI235">
        <v>12</v>
      </c>
      <c r="BJ235" t="s">
        <v>1571</v>
      </c>
      <c r="BK235" t="s">
        <v>294</v>
      </c>
      <c r="BL235" t="s">
        <v>1571</v>
      </c>
      <c r="BM235" t="s">
        <v>5047</v>
      </c>
      <c r="BN235" t="s">
        <v>74</v>
      </c>
      <c r="BO235" t="s">
        <v>2403</v>
      </c>
      <c r="BP235" t="s">
        <v>74</v>
      </c>
      <c r="BQ235" t="s">
        <v>74</v>
      </c>
      <c r="BR235" t="s">
        <v>108</v>
      </c>
      <c r="BS235" t="s">
        <v>5048</v>
      </c>
      <c r="BT235" t="str">
        <f>HYPERLINK("https%3A%2F%2Fwww.webofscience.com%2Fwos%2Fwoscc%2Ffull-record%2FWOS:000501403900018","View Full Record in Web of Science")</f>
        <v>View Full Record in Web of Science</v>
      </c>
    </row>
    <row r="236" spans="1:72" x14ac:dyDescent="0.15">
      <c r="A236" t="s">
        <v>133</v>
      </c>
      <c r="B236" t="s">
        <v>5049</v>
      </c>
      <c r="C236" t="s">
        <v>74</v>
      </c>
      <c r="D236" t="s">
        <v>74</v>
      </c>
      <c r="E236" t="s">
        <v>74</v>
      </c>
      <c r="F236" t="s">
        <v>5050</v>
      </c>
      <c r="G236" t="s">
        <v>74</v>
      </c>
      <c r="H236" t="s">
        <v>74</v>
      </c>
      <c r="I236" t="s">
        <v>5051</v>
      </c>
      <c r="J236" t="s">
        <v>5052</v>
      </c>
      <c r="K236" t="s">
        <v>74</v>
      </c>
      <c r="L236" t="s">
        <v>74</v>
      </c>
      <c r="M236" t="s">
        <v>80</v>
      </c>
      <c r="N236" t="s">
        <v>138</v>
      </c>
      <c r="O236" t="s">
        <v>74</v>
      </c>
      <c r="P236" t="s">
        <v>74</v>
      </c>
      <c r="Q236" t="s">
        <v>74</v>
      </c>
      <c r="R236" t="s">
        <v>74</v>
      </c>
      <c r="S236" t="s">
        <v>74</v>
      </c>
      <c r="T236" t="s">
        <v>5053</v>
      </c>
      <c r="U236" t="s">
        <v>5054</v>
      </c>
      <c r="V236" t="s">
        <v>5055</v>
      </c>
      <c r="W236" t="s">
        <v>5056</v>
      </c>
      <c r="X236" t="s">
        <v>5057</v>
      </c>
      <c r="Y236" t="s">
        <v>5058</v>
      </c>
      <c r="Z236" t="s">
        <v>5059</v>
      </c>
      <c r="AA236" t="s">
        <v>5060</v>
      </c>
      <c r="AB236" t="s">
        <v>5061</v>
      </c>
      <c r="AC236" t="s">
        <v>5062</v>
      </c>
      <c r="AD236" t="s">
        <v>5063</v>
      </c>
      <c r="AE236" t="s">
        <v>5064</v>
      </c>
      <c r="AF236" t="s">
        <v>74</v>
      </c>
      <c r="AG236">
        <v>34</v>
      </c>
      <c r="AH236">
        <v>9</v>
      </c>
      <c r="AI236">
        <v>9</v>
      </c>
      <c r="AJ236">
        <v>0</v>
      </c>
      <c r="AK236">
        <v>12</v>
      </c>
      <c r="AL236" t="s">
        <v>379</v>
      </c>
      <c r="AM236" t="s">
        <v>380</v>
      </c>
      <c r="AN236" t="s">
        <v>381</v>
      </c>
      <c r="AO236" t="s">
        <v>5065</v>
      </c>
      <c r="AP236" t="s">
        <v>5066</v>
      </c>
      <c r="AQ236" t="s">
        <v>74</v>
      </c>
      <c r="AR236" t="s">
        <v>5067</v>
      </c>
      <c r="AS236" t="s">
        <v>5068</v>
      </c>
      <c r="AT236" t="s">
        <v>1270</v>
      </c>
      <c r="AU236">
        <v>2019</v>
      </c>
      <c r="AV236">
        <v>196</v>
      </c>
      <c r="AW236" t="s">
        <v>74</v>
      </c>
      <c r="AX236" t="s">
        <v>74</v>
      </c>
      <c r="AY236" t="s">
        <v>74</v>
      </c>
      <c r="AZ236" t="s">
        <v>74</v>
      </c>
      <c r="BA236" t="s">
        <v>74</v>
      </c>
      <c r="BB236" t="s">
        <v>74</v>
      </c>
      <c r="BC236" t="s">
        <v>74</v>
      </c>
      <c r="BD236">
        <v>105148</v>
      </c>
      <c r="BE236" t="s">
        <v>5069</v>
      </c>
      <c r="BF236" t="str">
        <f>HYPERLINK("http://dx.doi.org/10.1016/j.jastp.2019.105148","http://dx.doi.org/10.1016/j.jastp.2019.105148")</f>
        <v>http://dx.doi.org/10.1016/j.jastp.2019.105148</v>
      </c>
      <c r="BG236" t="s">
        <v>74</v>
      </c>
      <c r="BH236" t="s">
        <v>74</v>
      </c>
      <c r="BI236">
        <v>8</v>
      </c>
      <c r="BJ236" t="s">
        <v>5070</v>
      </c>
      <c r="BK236" t="s">
        <v>294</v>
      </c>
      <c r="BL236" t="s">
        <v>5070</v>
      </c>
      <c r="BM236" t="s">
        <v>5071</v>
      </c>
      <c r="BN236" t="s">
        <v>74</v>
      </c>
      <c r="BO236" t="s">
        <v>74</v>
      </c>
      <c r="BP236" t="s">
        <v>74</v>
      </c>
      <c r="BQ236" t="s">
        <v>74</v>
      </c>
      <c r="BR236" t="s">
        <v>108</v>
      </c>
      <c r="BS236" t="s">
        <v>5072</v>
      </c>
      <c r="BT236" t="str">
        <f>HYPERLINK("https%3A%2F%2Fwww.webofscience.com%2Fwos%2Fwoscc%2Ffull-record%2FWOS:000501404800008","View Full Record in Web of Science")</f>
        <v>View Full Record in Web of Science</v>
      </c>
    </row>
    <row r="237" spans="1:72" x14ac:dyDescent="0.15">
      <c r="A237" t="s">
        <v>133</v>
      </c>
      <c r="B237" t="s">
        <v>5073</v>
      </c>
      <c r="C237" t="s">
        <v>74</v>
      </c>
      <c r="D237" t="s">
        <v>74</v>
      </c>
      <c r="E237" t="s">
        <v>74</v>
      </c>
      <c r="F237" t="s">
        <v>5074</v>
      </c>
      <c r="G237" t="s">
        <v>74</v>
      </c>
      <c r="H237" t="s">
        <v>74</v>
      </c>
      <c r="I237" t="s">
        <v>5075</v>
      </c>
      <c r="J237" t="s">
        <v>5052</v>
      </c>
      <c r="K237" t="s">
        <v>74</v>
      </c>
      <c r="L237" t="s">
        <v>74</v>
      </c>
      <c r="M237" t="s">
        <v>80</v>
      </c>
      <c r="N237" t="s">
        <v>138</v>
      </c>
      <c r="O237" t="s">
        <v>74</v>
      </c>
      <c r="P237" t="s">
        <v>74</v>
      </c>
      <c r="Q237" t="s">
        <v>74</v>
      </c>
      <c r="R237" t="s">
        <v>74</v>
      </c>
      <c r="S237" t="s">
        <v>74</v>
      </c>
      <c r="T237" t="s">
        <v>5076</v>
      </c>
      <c r="U237" t="s">
        <v>5077</v>
      </c>
      <c r="V237" t="s">
        <v>5078</v>
      </c>
      <c r="W237" t="s">
        <v>5079</v>
      </c>
      <c r="X237" t="s">
        <v>88</v>
      </c>
      <c r="Y237" t="s">
        <v>5080</v>
      </c>
      <c r="Z237" t="s">
        <v>5081</v>
      </c>
      <c r="AA237" t="s">
        <v>5082</v>
      </c>
      <c r="AB237" t="s">
        <v>74</v>
      </c>
      <c r="AC237" t="s">
        <v>5083</v>
      </c>
      <c r="AD237" t="s">
        <v>149</v>
      </c>
      <c r="AE237" t="s">
        <v>5084</v>
      </c>
      <c r="AF237" t="s">
        <v>74</v>
      </c>
      <c r="AG237">
        <v>34</v>
      </c>
      <c r="AH237">
        <v>15</v>
      </c>
      <c r="AI237">
        <v>15</v>
      </c>
      <c r="AJ237">
        <v>0</v>
      </c>
      <c r="AK237">
        <v>5</v>
      </c>
      <c r="AL237" t="s">
        <v>379</v>
      </c>
      <c r="AM237" t="s">
        <v>380</v>
      </c>
      <c r="AN237" t="s">
        <v>381</v>
      </c>
      <c r="AO237" t="s">
        <v>5065</v>
      </c>
      <c r="AP237" t="s">
        <v>5066</v>
      </c>
      <c r="AQ237" t="s">
        <v>74</v>
      </c>
      <c r="AR237" t="s">
        <v>5067</v>
      </c>
      <c r="AS237" t="s">
        <v>5068</v>
      </c>
      <c r="AT237" t="s">
        <v>1270</v>
      </c>
      <c r="AU237">
        <v>2019</v>
      </c>
      <c r="AV237">
        <v>196</v>
      </c>
      <c r="AW237" t="s">
        <v>74</v>
      </c>
      <c r="AX237" t="s">
        <v>74</v>
      </c>
      <c r="AY237" t="s">
        <v>74</v>
      </c>
      <c r="AZ237" t="s">
        <v>74</v>
      </c>
      <c r="BA237" t="s">
        <v>74</v>
      </c>
      <c r="BB237" t="s">
        <v>74</v>
      </c>
      <c r="BC237" t="s">
        <v>74</v>
      </c>
      <c r="BD237">
        <v>105147</v>
      </c>
      <c r="BE237" t="s">
        <v>5085</v>
      </c>
      <c r="BF237" t="str">
        <f>HYPERLINK("http://dx.doi.org/10.1016/j.jastp.2019.105147","http://dx.doi.org/10.1016/j.jastp.2019.105147")</f>
        <v>http://dx.doi.org/10.1016/j.jastp.2019.105147</v>
      </c>
      <c r="BG237" t="s">
        <v>74</v>
      </c>
      <c r="BH237" t="s">
        <v>74</v>
      </c>
      <c r="BI237">
        <v>8</v>
      </c>
      <c r="BJ237" t="s">
        <v>5070</v>
      </c>
      <c r="BK237" t="s">
        <v>294</v>
      </c>
      <c r="BL237" t="s">
        <v>5070</v>
      </c>
      <c r="BM237" t="s">
        <v>5071</v>
      </c>
      <c r="BN237" t="s">
        <v>74</v>
      </c>
      <c r="BO237" t="s">
        <v>74</v>
      </c>
      <c r="BP237" t="s">
        <v>74</v>
      </c>
      <c r="BQ237" t="s">
        <v>74</v>
      </c>
      <c r="BR237" t="s">
        <v>108</v>
      </c>
      <c r="BS237" t="s">
        <v>5086</v>
      </c>
      <c r="BT237" t="str">
        <f>HYPERLINK("https%3A%2F%2Fwww.webofscience.com%2Fwos%2Fwoscc%2Ffull-record%2FWOS:000501404800005","View Full Record in Web of Science")</f>
        <v>View Full Record in Web of Science</v>
      </c>
    </row>
    <row r="238" spans="1:72" x14ac:dyDescent="0.15">
      <c r="A238" t="s">
        <v>133</v>
      </c>
      <c r="B238" t="s">
        <v>5087</v>
      </c>
      <c r="C238" t="s">
        <v>74</v>
      </c>
      <c r="D238" t="s">
        <v>74</v>
      </c>
      <c r="E238" t="s">
        <v>74</v>
      </c>
      <c r="F238" t="s">
        <v>5088</v>
      </c>
      <c r="G238" t="s">
        <v>74</v>
      </c>
      <c r="H238" t="s">
        <v>74</v>
      </c>
      <c r="I238" t="s">
        <v>5089</v>
      </c>
      <c r="J238" t="s">
        <v>5090</v>
      </c>
      <c r="K238" t="s">
        <v>74</v>
      </c>
      <c r="L238" t="s">
        <v>74</v>
      </c>
      <c r="M238" t="s">
        <v>80</v>
      </c>
      <c r="N238" t="s">
        <v>138</v>
      </c>
      <c r="O238" t="s">
        <v>74</v>
      </c>
      <c r="P238" t="s">
        <v>74</v>
      </c>
      <c r="Q238" t="s">
        <v>74</v>
      </c>
      <c r="R238" t="s">
        <v>74</v>
      </c>
      <c r="S238" t="s">
        <v>74</v>
      </c>
      <c r="T238" t="s">
        <v>5091</v>
      </c>
      <c r="U238" t="s">
        <v>5092</v>
      </c>
      <c r="V238" t="s">
        <v>5093</v>
      </c>
      <c r="W238" t="s">
        <v>5094</v>
      </c>
      <c r="X238" t="s">
        <v>5095</v>
      </c>
      <c r="Y238" t="s">
        <v>5096</v>
      </c>
      <c r="Z238" t="s">
        <v>5097</v>
      </c>
      <c r="AA238" t="s">
        <v>5098</v>
      </c>
      <c r="AB238" t="s">
        <v>5099</v>
      </c>
      <c r="AC238" t="s">
        <v>74</v>
      </c>
      <c r="AD238" t="s">
        <v>74</v>
      </c>
      <c r="AE238" t="s">
        <v>74</v>
      </c>
      <c r="AF238" t="s">
        <v>74</v>
      </c>
      <c r="AG238">
        <v>42</v>
      </c>
      <c r="AH238">
        <v>4</v>
      </c>
      <c r="AI238">
        <v>4</v>
      </c>
      <c r="AJ238">
        <v>0</v>
      </c>
      <c r="AK238">
        <v>1</v>
      </c>
      <c r="AL238" t="s">
        <v>429</v>
      </c>
      <c r="AM238" t="s">
        <v>430</v>
      </c>
      <c r="AN238" t="s">
        <v>431</v>
      </c>
      <c r="AO238" t="s">
        <v>5100</v>
      </c>
      <c r="AP238" t="s">
        <v>5101</v>
      </c>
      <c r="AQ238" t="s">
        <v>74</v>
      </c>
      <c r="AR238" t="s">
        <v>5090</v>
      </c>
      <c r="AS238" t="s">
        <v>5102</v>
      </c>
      <c r="AT238" t="s">
        <v>1270</v>
      </c>
      <c r="AU238">
        <v>2019</v>
      </c>
      <c r="AV238">
        <v>30</v>
      </c>
      <c r="AW238">
        <v>8</v>
      </c>
      <c r="AX238" t="s">
        <v>74</v>
      </c>
      <c r="AY238" t="s">
        <v>74</v>
      </c>
      <c r="AZ238" t="s">
        <v>74</v>
      </c>
      <c r="BA238" t="s">
        <v>74</v>
      </c>
      <c r="BB238" t="s">
        <v>74</v>
      </c>
      <c r="BC238" t="s">
        <v>74</v>
      </c>
      <c r="BD238" t="s">
        <v>5103</v>
      </c>
      <c r="BE238" t="s">
        <v>5104</v>
      </c>
      <c r="BF238" t="str">
        <f>HYPERLINK("http://dx.doi.org/10.1002/env.2579","http://dx.doi.org/10.1002/env.2579")</f>
        <v>http://dx.doi.org/10.1002/env.2579</v>
      </c>
      <c r="BG238" t="s">
        <v>74</v>
      </c>
      <c r="BH238" t="s">
        <v>74</v>
      </c>
      <c r="BI238">
        <v>19</v>
      </c>
      <c r="BJ238" t="s">
        <v>5105</v>
      </c>
      <c r="BK238" t="s">
        <v>294</v>
      </c>
      <c r="BL238" t="s">
        <v>5106</v>
      </c>
      <c r="BM238" t="s">
        <v>5107</v>
      </c>
      <c r="BN238" t="s">
        <v>74</v>
      </c>
      <c r="BO238" t="s">
        <v>666</v>
      </c>
      <c r="BP238" t="s">
        <v>74</v>
      </c>
      <c r="BQ238" t="s">
        <v>74</v>
      </c>
      <c r="BR238" t="s">
        <v>108</v>
      </c>
      <c r="BS238" t="s">
        <v>5108</v>
      </c>
      <c r="BT238" t="str">
        <f>HYPERLINK("https%3A%2F%2Fwww.webofscience.com%2Fwos%2Fwoscc%2Ffull-record%2FWOS:000501209400005","View Full Record in Web of Science")</f>
        <v>View Full Record in Web of Science</v>
      </c>
    </row>
    <row r="239" spans="1:72" x14ac:dyDescent="0.15">
      <c r="A239" t="s">
        <v>133</v>
      </c>
      <c r="B239" t="s">
        <v>5109</v>
      </c>
      <c r="C239" t="s">
        <v>74</v>
      </c>
      <c r="D239" t="s">
        <v>74</v>
      </c>
      <c r="E239" t="s">
        <v>74</v>
      </c>
      <c r="F239" t="s">
        <v>5110</v>
      </c>
      <c r="G239" t="s">
        <v>74</v>
      </c>
      <c r="H239" t="s">
        <v>74</v>
      </c>
      <c r="I239" t="s">
        <v>5111</v>
      </c>
      <c r="J239" t="s">
        <v>5112</v>
      </c>
      <c r="K239" t="s">
        <v>74</v>
      </c>
      <c r="L239" t="s">
        <v>74</v>
      </c>
      <c r="M239" t="s">
        <v>80</v>
      </c>
      <c r="N239" t="s">
        <v>138</v>
      </c>
      <c r="O239" t="s">
        <v>74</v>
      </c>
      <c r="P239" t="s">
        <v>74</v>
      </c>
      <c r="Q239" t="s">
        <v>74</v>
      </c>
      <c r="R239" t="s">
        <v>74</v>
      </c>
      <c r="S239" t="s">
        <v>74</v>
      </c>
      <c r="T239" t="s">
        <v>5113</v>
      </c>
      <c r="U239" t="s">
        <v>5114</v>
      </c>
      <c r="V239" t="s">
        <v>5115</v>
      </c>
      <c r="W239" t="s">
        <v>5116</v>
      </c>
      <c r="X239" t="s">
        <v>5117</v>
      </c>
      <c r="Y239" t="s">
        <v>5118</v>
      </c>
      <c r="Z239" t="s">
        <v>5119</v>
      </c>
      <c r="AA239" t="s">
        <v>5120</v>
      </c>
      <c r="AB239" t="s">
        <v>5121</v>
      </c>
      <c r="AC239" t="s">
        <v>5122</v>
      </c>
      <c r="AD239" t="s">
        <v>5123</v>
      </c>
      <c r="AE239" t="s">
        <v>5124</v>
      </c>
      <c r="AF239" t="s">
        <v>74</v>
      </c>
      <c r="AG239">
        <v>90</v>
      </c>
      <c r="AH239">
        <v>12</v>
      </c>
      <c r="AI239">
        <v>12</v>
      </c>
      <c r="AJ239">
        <v>1</v>
      </c>
      <c r="AK239">
        <v>12</v>
      </c>
      <c r="AL239" t="s">
        <v>5125</v>
      </c>
      <c r="AM239" t="s">
        <v>5126</v>
      </c>
      <c r="AN239" t="s">
        <v>5127</v>
      </c>
      <c r="AO239" t="s">
        <v>5128</v>
      </c>
      <c r="AP239" t="s">
        <v>5129</v>
      </c>
      <c r="AQ239" t="s">
        <v>74</v>
      </c>
      <c r="AR239" t="s">
        <v>5130</v>
      </c>
      <c r="AS239" t="s">
        <v>5131</v>
      </c>
      <c r="AT239" t="s">
        <v>1270</v>
      </c>
      <c r="AU239">
        <v>2019</v>
      </c>
      <c r="AV239">
        <v>79</v>
      </c>
      <c r="AW239">
        <v>4</v>
      </c>
      <c r="AX239" t="s">
        <v>74</v>
      </c>
      <c r="AY239" t="s">
        <v>74</v>
      </c>
      <c r="AZ239" t="s">
        <v>555</v>
      </c>
      <c r="BA239" t="s">
        <v>74</v>
      </c>
      <c r="BB239" t="s">
        <v>74</v>
      </c>
      <c r="BC239" t="s">
        <v>74</v>
      </c>
      <c r="BD239">
        <v>125539</v>
      </c>
      <c r="BE239" t="s">
        <v>5132</v>
      </c>
      <c r="BF239" t="str">
        <f>HYPERLINK("http://dx.doi.org/10.1016/j.chemer.2019.125539","http://dx.doi.org/10.1016/j.chemer.2019.125539")</f>
        <v>http://dx.doi.org/10.1016/j.chemer.2019.125539</v>
      </c>
      <c r="BG239" t="s">
        <v>74</v>
      </c>
      <c r="BH239" t="s">
        <v>74</v>
      </c>
      <c r="BI239">
        <v>15</v>
      </c>
      <c r="BJ239" t="s">
        <v>1067</v>
      </c>
      <c r="BK239" t="s">
        <v>294</v>
      </c>
      <c r="BL239" t="s">
        <v>1067</v>
      </c>
      <c r="BM239" t="s">
        <v>5133</v>
      </c>
      <c r="BN239" t="s">
        <v>74</v>
      </c>
      <c r="BO239" t="s">
        <v>638</v>
      </c>
      <c r="BP239" t="s">
        <v>74</v>
      </c>
      <c r="BQ239" t="s">
        <v>74</v>
      </c>
      <c r="BR239" t="s">
        <v>108</v>
      </c>
      <c r="BS239" t="s">
        <v>5134</v>
      </c>
      <c r="BT239" t="str">
        <f>HYPERLINK("https%3A%2F%2Fwww.webofscience.com%2Fwos%2Fwoscc%2Ffull-record%2FWOS:000500465000019","View Full Record in Web of Science")</f>
        <v>View Full Record in Web of Science</v>
      </c>
    </row>
    <row r="240" spans="1:72" x14ac:dyDescent="0.15">
      <c r="A240" t="s">
        <v>133</v>
      </c>
      <c r="B240" t="s">
        <v>5135</v>
      </c>
      <c r="C240" t="s">
        <v>74</v>
      </c>
      <c r="D240" t="s">
        <v>74</v>
      </c>
      <c r="E240" t="s">
        <v>74</v>
      </c>
      <c r="F240" t="s">
        <v>5136</v>
      </c>
      <c r="G240" t="s">
        <v>74</v>
      </c>
      <c r="H240" t="s">
        <v>74</v>
      </c>
      <c r="I240" t="s">
        <v>5137</v>
      </c>
      <c r="J240" t="s">
        <v>5138</v>
      </c>
      <c r="K240" t="s">
        <v>74</v>
      </c>
      <c r="L240" t="s">
        <v>74</v>
      </c>
      <c r="M240" t="s">
        <v>80</v>
      </c>
      <c r="N240" t="s">
        <v>138</v>
      </c>
      <c r="O240" t="s">
        <v>74</v>
      </c>
      <c r="P240" t="s">
        <v>74</v>
      </c>
      <c r="Q240" t="s">
        <v>74</v>
      </c>
      <c r="R240" t="s">
        <v>74</v>
      </c>
      <c r="S240" t="s">
        <v>74</v>
      </c>
      <c r="T240" t="s">
        <v>5139</v>
      </c>
      <c r="U240" t="s">
        <v>5140</v>
      </c>
      <c r="V240" t="s">
        <v>5141</v>
      </c>
      <c r="W240" t="s">
        <v>5142</v>
      </c>
      <c r="X240" t="s">
        <v>5143</v>
      </c>
      <c r="Y240" t="s">
        <v>5144</v>
      </c>
      <c r="Z240" t="s">
        <v>5145</v>
      </c>
      <c r="AA240" t="s">
        <v>5146</v>
      </c>
      <c r="AB240" t="s">
        <v>74</v>
      </c>
      <c r="AC240" t="s">
        <v>5147</v>
      </c>
      <c r="AD240" t="s">
        <v>5148</v>
      </c>
      <c r="AE240" t="s">
        <v>5149</v>
      </c>
      <c r="AF240" t="s">
        <v>74</v>
      </c>
      <c r="AG240">
        <v>33</v>
      </c>
      <c r="AH240">
        <v>5</v>
      </c>
      <c r="AI240">
        <v>5</v>
      </c>
      <c r="AJ240">
        <v>0</v>
      </c>
      <c r="AK240">
        <v>8</v>
      </c>
      <c r="AL240" t="s">
        <v>5150</v>
      </c>
      <c r="AM240" t="s">
        <v>1730</v>
      </c>
      <c r="AN240" t="s">
        <v>5151</v>
      </c>
      <c r="AO240" t="s">
        <v>5152</v>
      </c>
      <c r="AP240" t="s">
        <v>5153</v>
      </c>
      <c r="AQ240" t="s">
        <v>74</v>
      </c>
      <c r="AR240" t="s">
        <v>5154</v>
      </c>
      <c r="AS240" t="s">
        <v>5155</v>
      </c>
      <c r="AT240" t="s">
        <v>1270</v>
      </c>
      <c r="AU240">
        <v>2019</v>
      </c>
      <c r="AV240">
        <v>69</v>
      </c>
      <c r="AW240">
        <v>12</v>
      </c>
      <c r="AX240" t="s">
        <v>74</v>
      </c>
      <c r="AY240" t="s">
        <v>74</v>
      </c>
      <c r="AZ240" t="s">
        <v>74</v>
      </c>
      <c r="BA240" t="s">
        <v>74</v>
      </c>
      <c r="BB240">
        <v>3710</v>
      </c>
      <c r="BC240">
        <v>3715</v>
      </c>
      <c r="BD240" t="s">
        <v>74</v>
      </c>
      <c r="BE240" t="s">
        <v>5156</v>
      </c>
      <c r="BF240" t="str">
        <f>HYPERLINK("http://dx.doi.org/10.1099/ijsem.0.003507","http://dx.doi.org/10.1099/ijsem.0.003507")</f>
        <v>http://dx.doi.org/10.1099/ijsem.0.003507</v>
      </c>
      <c r="BG240" t="s">
        <v>74</v>
      </c>
      <c r="BH240" t="s">
        <v>74</v>
      </c>
      <c r="BI240">
        <v>6</v>
      </c>
      <c r="BJ240" t="s">
        <v>1713</v>
      </c>
      <c r="BK240" t="s">
        <v>294</v>
      </c>
      <c r="BL240" t="s">
        <v>1713</v>
      </c>
      <c r="BM240" t="s">
        <v>5157</v>
      </c>
      <c r="BN240">
        <v>31665101</v>
      </c>
      <c r="BO240" t="s">
        <v>588</v>
      </c>
      <c r="BP240" t="s">
        <v>74</v>
      </c>
      <c r="BQ240" t="s">
        <v>74</v>
      </c>
      <c r="BR240" t="s">
        <v>108</v>
      </c>
      <c r="BS240" t="s">
        <v>5158</v>
      </c>
      <c r="BT240" t="str">
        <f>HYPERLINK("https%3A%2F%2Fwww.webofscience.com%2Fwos%2Fwoscc%2Ffull-record%2FWOS:000500924000008","View Full Record in Web of Science")</f>
        <v>View Full Record in Web of Science</v>
      </c>
    </row>
    <row r="241" spans="1:72" x14ac:dyDescent="0.15">
      <c r="A241" t="s">
        <v>133</v>
      </c>
      <c r="B241" t="s">
        <v>5159</v>
      </c>
      <c r="C241" t="s">
        <v>74</v>
      </c>
      <c r="D241" t="s">
        <v>74</v>
      </c>
      <c r="E241" t="s">
        <v>74</v>
      </c>
      <c r="F241" t="s">
        <v>5160</v>
      </c>
      <c r="G241" t="s">
        <v>74</v>
      </c>
      <c r="H241" t="s">
        <v>74</v>
      </c>
      <c r="I241" t="s">
        <v>5161</v>
      </c>
      <c r="J241" t="s">
        <v>5138</v>
      </c>
      <c r="K241" t="s">
        <v>74</v>
      </c>
      <c r="L241" t="s">
        <v>74</v>
      </c>
      <c r="M241" t="s">
        <v>80</v>
      </c>
      <c r="N241" t="s">
        <v>138</v>
      </c>
      <c r="O241" t="s">
        <v>74</v>
      </c>
      <c r="P241" t="s">
        <v>74</v>
      </c>
      <c r="Q241" t="s">
        <v>74</v>
      </c>
      <c r="R241" t="s">
        <v>74</v>
      </c>
      <c r="S241" t="s">
        <v>74</v>
      </c>
      <c r="T241" t="s">
        <v>5162</v>
      </c>
      <c r="U241" t="s">
        <v>5163</v>
      </c>
      <c r="V241" t="s">
        <v>5164</v>
      </c>
      <c r="W241" t="s">
        <v>5165</v>
      </c>
      <c r="X241" t="s">
        <v>5166</v>
      </c>
      <c r="Y241" t="s">
        <v>5167</v>
      </c>
      <c r="Z241" t="s">
        <v>5168</v>
      </c>
      <c r="AA241" t="s">
        <v>74</v>
      </c>
      <c r="AB241" t="s">
        <v>5169</v>
      </c>
      <c r="AC241" t="s">
        <v>5170</v>
      </c>
      <c r="AD241" t="s">
        <v>4526</v>
      </c>
      <c r="AE241" t="s">
        <v>5171</v>
      </c>
      <c r="AF241" t="s">
        <v>74</v>
      </c>
      <c r="AG241">
        <v>40</v>
      </c>
      <c r="AH241">
        <v>12</v>
      </c>
      <c r="AI241">
        <v>12</v>
      </c>
      <c r="AJ241">
        <v>0</v>
      </c>
      <c r="AK241">
        <v>5</v>
      </c>
      <c r="AL241" t="s">
        <v>5150</v>
      </c>
      <c r="AM241" t="s">
        <v>1730</v>
      </c>
      <c r="AN241" t="s">
        <v>5172</v>
      </c>
      <c r="AO241" t="s">
        <v>5152</v>
      </c>
      <c r="AP241" t="s">
        <v>5153</v>
      </c>
      <c r="AQ241" t="s">
        <v>74</v>
      </c>
      <c r="AR241" t="s">
        <v>5154</v>
      </c>
      <c r="AS241" t="s">
        <v>5155</v>
      </c>
      <c r="AT241" t="s">
        <v>1270</v>
      </c>
      <c r="AU241">
        <v>2019</v>
      </c>
      <c r="AV241">
        <v>69</v>
      </c>
      <c r="AW241">
        <v>12</v>
      </c>
      <c r="AX241" t="s">
        <v>74</v>
      </c>
      <c r="AY241" t="s">
        <v>74</v>
      </c>
      <c r="AZ241" t="s">
        <v>74</v>
      </c>
      <c r="BA241" t="s">
        <v>74</v>
      </c>
      <c r="BB241">
        <v>3837</v>
      </c>
      <c r="BC241">
        <v>3842</v>
      </c>
      <c r="BD241" t="s">
        <v>74</v>
      </c>
      <c r="BE241" t="s">
        <v>5173</v>
      </c>
      <c r="BF241" t="str">
        <f>HYPERLINK("http://dx.doi.org/10.1099/ijsem.0.003695","http://dx.doi.org/10.1099/ijsem.0.003695")</f>
        <v>http://dx.doi.org/10.1099/ijsem.0.003695</v>
      </c>
      <c r="BG241" t="s">
        <v>74</v>
      </c>
      <c r="BH241" t="s">
        <v>74</v>
      </c>
      <c r="BI241">
        <v>6</v>
      </c>
      <c r="BJ241" t="s">
        <v>1713</v>
      </c>
      <c r="BK241" t="s">
        <v>294</v>
      </c>
      <c r="BL241" t="s">
        <v>1713</v>
      </c>
      <c r="BM241" t="s">
        <v>5157</v>
      </c>
      <c r="BN241">
        <v>31556866</v>
      </c>
      <c r="BO241" t="s">
        <v>588</v>
      </c>
      <c r="BP241" t="s">
        <v>74</v>
      </c>
      <c r="BQ241" t="s">
        <v>74</v>
      </c>
      <c r="BR241" t="s">
        <v>108</v>
      </c>
      <c r="BS241" t="s">
        <v>5174</v>
      </c>
      <c r="BT241" t="str">
        <f>HYPERLINK("https%3A%2F%2Fwww.webofscience.com%2Fwos%2Fwoscc%2Ffull-record%2FWOS:000500924000027","View Full Record in Web of Science")</f>
        <v>View Full Record in Web of Science</v>
      </c>
    </row>
    <row r="242" spans="1:72" x14ac:dyDescent="0.15">
      <c r="A242" t="s">
        <v>133</v>
      </c>
      <c r="B242" t="s">
        <v>5175</v>
      </c>
      <c r="C242" t="s">
        <v>74</v>
      </c>
      <c r="D242" t="s">
        <v>74</v>
      </c>
      <c r="E242" t="s">
        <v>74</v>
      </c>
      <c r="F242" t="s">
        <v>5176</v>
      </c>
      <c r="G242" t="s">
        <v>74</v>
      </c>
      <c r="H242" t="s">
        <v>74</v>
      </c>
      <c r="I242" t="s">
        <v>5177</v>
      </c>
      <c r="J242" t="s">
        <v>5138</v>
      </c>
      <c r="K242" t="s">
        <v>74</v>
      </c>
      <c r="L242" t="s">
        <v>74</v>
      </c>
      <c r="M242" t="s">
        <v>80</v>
      </c>
      <c r="N242" t="s">
        <v>138</v>
      </c>
      <c r="O242" t="s">
        <v>74</v>
      </c>
      <c r="P242" t="s">
        <v>74</v>
      </c>
      <c r="Q242" t="s">
        <v>74</v>
      </c>
      <c r="R242" t="s">
        <v>74</v>
      </c>
      <c r="S242" t="s">
        <v>74</v>
      </c>
      <c r="T242" t="s">
        <v>5178</v>
      </c>
      <c r="U242" t="s">
        <v>5179</v>
      </c>
      <c r="V242" t="s">
        <v>5180</v>
      </c>
      <c r="W242" t="s">
        <v>5181</v>
      </c>
      <c r="X242" t="s">
        <v>5182</v>
      </c>
      <c r="Y242" t="s">
        <v>5183</v>
      </c>
      <c r="Z242" t="s">
        <v>5184</v>
      </c>
      <c r="AA242" t="s">
        <v>74</v>
      </c>
      <c r="AB242" t="s">
        <v>74</v>
      </c>
      <c r="AC242" t="s">
        <v>5185</v>
      </c>
      <c r="AD242" t="s">
        <v>5186</v>
      </c>
      <c r="AE242" t="s">
        <v>5187</v>
      </c>
      <c r="AF242" t="s">
        <v>74</v>
      </c>
      <c r="AG242">
        <v>34</v>
      </c>
      <c r="AH242">
        <v>6</v>
      </c>
      <c r="AI242">
        <v>6</v>
      </c>
      <c r="AJ242">
        <v>0</v>
      </c>
      <c r="AK242">
        <v>5</v>
      </c>
      <c r="AL242" t="s">
        <v>5150</v>
      </c>
      <c r="AM242" t="s">
        <v>1730</v>
      </c>
      <c r="AN242" t="s">
        <v>5151</v>
      </c>
      <c r="AO242" t="s">
        <v>5152</v>
      </c>
      <c r="AP242" t="s">
        <v>5153</v>
      </c>
      <c r="AQ242" t="s">
        <v>74</v>
      </c>
      <c r="AR242" t="s">
        <v>5154</v>
      </c>
      <c r="AS242" t="s">
        <v>5155</v>
      </c>
      <c r="AT242" t="s">
        <v>1270</v>
      </c>
      <c r="AU242">
        <v>2019</v>
      </c>
      <c r="AV242">
        <v>69</v>
      </c>
      <c r="AW242">
        <v>12</v>
      </c>
      <c r="AX242" t="s">
        <v>74</v>
      </c>
      <c r="AY242" t="s">
        <v>74</v>
      </c>
      <c r="AZ242" t="s">
        <v>74</v>
      </c>
      <c r="BA242" t="s">
        <v>74</v>
      </c>
      <c r="BB242">
        <v>3885</v>
      </c>
      <c r="BC242">
        <v>3890</v>
      </c>
      <c r="BD242" t="s">
        <v>74</v>
      </c>
      <c r="BE242" t="s">
        <v>5188</v>
      </c>
      <c r="BF242" t="str">
        <f>HYPERLINK("http://dx.doi.org/10.1099/ijsem.0.003702","http://dx.doi.org/10.1099/ijsem.0.003702")</f>
        <v>http://dx.doi.org/10.1099/ijsem.0.003702</v>
      </c>
      <c r="BG242" t="s">
        <v>74</v>
      </c>
      <c r="BH242" t="s">
        <v>74</v>
      </c>
      <c r="BI242">
        <v>6</v>
      </c>
      <c r="BJ242" t="s">
        <v>1713</v>
      </c>
      <c r="BK242" t="s">
        <v>294</v>
      </c>
      <c r="BL242" t="s">
        <v>1713</v>
      </c>
      <c r="BM242" t="s">
        <v>5157</v>
      </c>
      <c r="BN242">
        <v>31490112</v>
      </c>
      <c r="BO242" t="s">
        <v>588</v>
      </c>
      <c r="BP242" t="s">
        <v>74</v>
      </c>
      <c r="BQ242" t="s">
        <v>74</v>
      </c>
      <c r="BR242" t="s">
        <v>108</v>
      </c>
      <c r="BS242" t="s">
        <v>5189</v>
      </c>
      <c r="BT242" t="str">
        <f>HYPERLINK("https%3A%2F%2Fwww.webofscience.com%2Fwos%2Fwoscc%2Ffull-record%2FWOS:000500924000033","View Full Record in Web of Science")</f>
        <v>View Full Record in Web of Science</v>
      </c>
    </row>
    <row r="243" spans="1:72" x14ac:dyDescent="0.15">
      <c r="A243" t="s">
        <v>133</v>
      </c>
      <c r="B243" t="s">
        <v>5190</v>
      </c>
      <c r="C243" t="s">
        <v>74</v>
      </c>
      <c r="D243" t="s">
        <v>74</v>
      </c>
      <c r="E243" t="s">
        <v>74</v>
      </c>
      <c r="F243" t="s">
        <v>5191</v>
      </c>
      <c r="G243" t="s">
        <v>74</v>
      </c>
      <c r="H243" t="s">
        <v>74</v>
      </c>
      <c r="I243" t="s">
        <v>5192</v>
      </c>
      <c r="J243" t="s">
        <v>5193</v>
      </c>
      <c r="K243" t="s">
        <v>74</v>
      </c>
      <c r="L243" t="s">
        <v>74</v>
      </c>
      <c r="M243" t="s">
        <v>80</v>
      </c>
      <c r="N243" t="s">
        <v>138</v>
      </c>
      <c r="O243" t="s">
        <v>74</v>
      </c>
      <c r="P243" t="s">
        <v>74</v>
      </c>
      <c r="Q243" t="s">
        <v>74</v>
      </c>
      <c r="R243" t="s">
        <v>74</v>
      </c>
      <c r="S243" t="s">
        <v>74</v>
      </c>
      <c r="T243" t="s">
        <v>5194</v>
      </c>
      <c r="U243" t="s">
        <v>5195</v>
      </c>
      <c r="V243" t="s">
        <v>5196</v>
      </c>
      <c r="W243" t="s">
        <v>5197</v>
      </c>
      <c r="X243" t="s">
        <v>5198</v>
      </c>
      <c r="Y243" t="s">
        <v>5199</v>
      </c>
      <c r="Z243" t="s">
        <v>5200</v>
      </c>
      <c r="AA243" t="s">
        <v>74</v>
      </c>
      <c r="AB243" t="s">
        <v>5201</v>
      </c>
      <c r="AC243" t="s">
        <v>74</v>
      </c>
      <c r="AD243" t="s">
        <v>74</v>
      </c>
      <c r="AE243" t="s">
        <v>74</v>
      </c>
      <c r="AF243" t="s">
        <v>74</v>
      </c>
      <c r="AG243">
        <v>40</v>
      </c>
      <c r="AH243">
        <v>3</v>
      </c>
      <c r="AI243">
        <v>3</v>
      </c>
      <c r="AJ243">
        <v>0</v>
      </c>
      <c r="AK243">
        <v>1</v>
      </c>
      <c r="AL243" t="s">
        <v>1964</v>
      </c>
      <c r="AM243" t="s">
        <v>4096</v>
      </c>
      <c r="AN243" t="s">
        <v>4097</v>
      </c>
      <c r="AO243" t="s">
        <v>5202</v>
      </c>
      <c r="AP243" t="s">
        <v>5203</v>
      </c>
      <c r="AQ243" t="s">
        <v>74</v>
      </c>
      <c r="AR243" t="s">
        <v>5204</v>
      </c>
      <c r="AS243" t="s">
        <v>5205</v>
      </c>
      <c r="AT243" t="s">
        <v>1270</v>
      </c>
      <c r="AU243">
        <v>2019</v>
      </c>
      <c r="AV243">
        <v>40</v>
      </c>
      <c r="AW243">
        <v>4</v>
      </c>
      <c r="AX243" t="s">
        <v>74</v>
      </c>
      <c r="AY243" t="s">
        <v>74</v>
      </c>
      <c r="AZ243" t="s">
        <v>555</v>
      </c>
      <c r="BA243" t="s">
        <v>74</v>
      </c>
      <c r="BB243">
        <v>635</v>
      </c>
      <c r="BC243">
        <v>641</v>
      </c>
      <c r="BD243" t="s">
        <v>74</v>
      </c>
      <c r="BE243" t="s">
        <v>5206</v>
      </c>
      <c r="BF243" t="str">
        <f>HYPERLINK("http://dx.doi.org/10.1007/s11001-019-09393-7","http://dx.doi.org/10.1007/s11001-019-09393-7")</f>
        <v>http://dx.doi.org/10.1007/s11001-019-09393-7</v>
      </c>
      <c r="BG243" t="s">
        <v>74</v>
      </c>
      <c r="BH243" t="s">
        <v>74</v>
      </c>
      <c r="BI243">
        <v>7</v>
      </c>
      <c r="BJ243" t="s">
        <v>5207</v>
      </c>
      <c r="BK243" t="s">
        <v>294</v>
      </c>
      <c r="BL243" t="s">
        <v>5207</v>
      </c>
      <c r="BM243" t="s">
        <v>5208</v>
      </c>
      <c r="BN243" t="s">
        <v>74</v>
      </c>
      <c r="BO243" t="s">
        <v>74</v>
      </c>
      <c r="BP243" t="s">
        <v>74</v>
      </c>
      <c r="BQ243" t="s">
        <v>74</v>
      </c>
      <c r="BR243" t="s">
        <v>108</v>
      </c>
      <c r="BS243" t="s">
        <v>5209</v>
      </c>
      <c r="BT243" t="str">
        <f>HYPERLINK("https%3A%2F%2Fwww.webofscience.com%2Fwos%2Fwoscc%2Ffull-record%2FWOS:000499758400016","View Full Record in Web of Science")</f>
        <v>View Full Record in Web of Science</v>
      </c>
    </row>
    <row r="244" spans="1:72" x14ac:dyDescent="0.15">
      <c r="A244" t="s">
        <v>133</v>
      </c>
      <c r="B244" t="s">
        <v>5210</v>
      </c>
      <c r="C244" t="s">
        <v>74</v>
      </c>
      <c r="D244" t="s">
        <v>74</v>
      </c>
      <c r="E244" t="s">
        <v>74</v>
      </c>
      <c r="F244" t="s">
        <v>5211</v>
      </c>
      <c r="G244" t="s">
        <v>74</v>
      </c>
      <c r="H244" t="s">
        <v>74</v>
      </c>
      <c r="I244" t="s">
        <v>5212</v>
      </c>
      <c r="J244" t="s">
        <v>5213</v>
      </c>
      <c r="K244" t="s">
        <v>74</v>
      </c>
      <c r="L244" t="s">
        <v>74</v>
      </c>
      <c r="M244" t="s">
        <v>80</v>
      </c>
      <c r="N244" t="s">
        <v>138</v>
      </c>
      <c r="O244" t="s">
        <v>74</v>
      </c>
      <c r="P244" t="s">
        <v>74</v>
      </c>
      <c r="Q244" t="s">
        <v>74</v>
      </c>
      <c r="R244" t="s">
        <v>74</v>
      </c>
      <c r="S244" t="s">
        <v>74</v>
      </c>
      <c r="T244" t="s">
        <v>5214</v>
      </c>
      <c r="U244" t="s">
        <v>5215</v>
      </c>
      <c r="V244" t="s">
        <v>5216</v>
      </c>
      <c r="W244" t="s">
        <v>5217</v>
      </c>
      <c r="X244" t="s">
        <v>5218</v>
      </c>
      <c r="Y244" t="s">
        <v>5219</v>
      </c>
      <c r="Z244" t="s">
        <v>5220</v>
      </c>
      <c r="AA244" t="s">
        <v>5221</v>
      </c>
      <c r="AB244" t="s">
        <v>5222</v>
      </c>
      <c r="AC244" t="s">
        <v>5223</v>
      </c>
      <c r="AD244" t="s">
        <v>5224</v>
      </c>
      <c r="AE244" t="s">
        <v>5225</v>
      </c>
      <c r="AF244" t="s">
        <v>74</v>
      </c>
      <c r="AG244">
        <v>118</v>
      </c>
      <c r="AH244">
        <v>36</v>
      </c>
      <c r="AI244">
        <v>38</v>
      </c>
      <c r="AJ244">
        <v>1</v>
      </c>
      <c r="AK244">
        <v>49</v>
      </c>
      <c r="AL244" t="s">
        <v>1964</v>
      </c>
      <c r="AM244" t="s">
        <v>4096</v>
      </c>
      <c r="AN244" t="s">
        <v>4097</v>
      </c>
      <c r="AO244" t="s">
        <v>5226</v>
      </c>
      <c r="AP244" t="s">
        <v>5227</v>
      </c>
      <c r="AQ244" t="s">
        <v>74</v>
      </c>
      <c r="AR244" t="s">
        <v>5213</v>
      </c>
      <c r="AS244" t="s">
        <v>5228</v>
      </c>
      <c r="AT244" t="s">
        <v>1270</v>
      </c>
      <c r="AU244">
        <v>2019</v>
      </c>
      <c r="AV244">
        <v>48</v>
      </c>
      <c r="AW244">
        <v>12</v>
      </c>
      <c r="AX244" t="s">
        <v>74</v>
      </c>
      <c r="AY244" t="s">
        <v>74</v>
      </c>
      <c r="AZ244" t="s">
        <v>555</v>
      </c>
      <c r="BA244" t="s">
        <v>74</v>
      </c>
      <c r="BB244">
        <v>1498</v>
      </c>
      <c r="BC244">
        <v>1515</v>
      </c>
      <c r="BD244" t="s">
        <v>74</v>
      </c>
      <c r="BE244" t="s">
        <v>5229</v>
      </c>
      <c r="BF244" t="str">
        <f>HYPERLINK("http://dx.doi.org/10.1007/s13280-019-01186-x","http://dx.doi.org/10.1007/s13280-019-01186-x")</f>
        <v>http://dx.doi.org/10.1007/s13280-019-01186-x</v>
      </c>
      <c r="BG244" t="s">
        <v>74</v>
      </c>
      <c r="BH244" t="s">
        <v>74</v>
      </c>
      <c r="BI244">
        <v>18</v>
      </c>
      <c r="BJ244" t="s">
        <v>5230</v>
      </c>
      <c r="BK244" t="s">
        <v>360</v>
      </c>
      <c r="BL244" t="s">
        <v>5231</v>
      </c>
      <c r="BM244" t="s">
        <v>5232</v>
      </c>
      <c r="BN244">
        <v>31098878</v>
      </c>
      <c r="BO244" t="s">
        <v>2330</v>
      </c>
      <c r="BP244" t="s">
        <v>74</v>
      </c>
      <c r="BQ244" t="s">
        <v>74</v>
      </c>
      <c r="BR244" t="s">
        <v>108</v>
      </c>
      <c r="BS244" t="s">
        <v>5233</v>
      </c>
      <c r="BT244" t="str">
        <f>HYPERLINK("https%3A%2F%2Fwww.webofscience.com%2Fwos%2Fwoscc%2Ffull-record%2FWOS:000499699400007","View Full Record in Web of Science")</f>
        <v>View Full Record in Web of Science</v>
      </c>
    </row>
    <row r="245" spans="1:72" x14ac:dyDescent="0.15">
      <c r="A245" t="s">
        <v>133</v>
      </c>
      <c r="B245" t="s">
        <v>5234</v>
      </c>
      <c r="C245" t="s">
        <v>74</v>
      </c>
      <c r="D245" t="s">
        <v>74</v>
      </c>
      <c r="E245" t="s">
        <v>74</v>
      </c>
      <c r="F245" t="s">
        <v>5235</v>
      </c>
      <c r="G245" t="s">
        <v>74</v>
      </c>
      <c r="H245" t="s">
        <v>74</v>
      </c>
      <c r="I245" t="s">
        <v>5236</v>
      </c>
      <c r="J245" t="s">
        <v>4693</v>
      </c>
      <c r="K245" t="s">
        <v>74</v>
      </c>
      <c r="L245" t="s">
        <v>74</v>
      </c>
      <c r="M245" t="s">
        <v>80</v>
      </c>
      <c r="N245" t="s">
        <v>138</v>
      </c>
      <c r="O245" t="s">
        <v>74</v>
      </c>
      <c r="P245" t="s">
        <v>74</v>
      </c>
      <c r="Q245" t="s">
        <v>74</v>
      </c>
      <c r="R245" t="s">
        <v>74</v>
      </c>
      <c r="S245" t="s">
        <v>74</v>
      </c>
      <c r="T245" t="s">
        <v>5237</v>
      </c>
      <c r="U245" t="s">
        <v>5238</v>
      </c>
      <c r="V245" t="s">
        <v>5239</v>
      </c>
      <c r="W245" t="s">
        <v>5240</v>
      </c>
      <c r="X245" t="s">
        <v>5241</v>
      </c>
      <c r="Y245" t="s">
        <v>5242</v>
      </c>
      <c r="Z245" t="s">
        <v>5243</v>
      </c>
      <c r="AA245" t="s">
        <v>5244</v>
      </c>
      <c r="AB245" t="s">
        <v>5245</v>
      </c>
      <c r="AC245" t="s">
        <v>5246</v>
      </c>
      <c r="AD245" t="s">
        <v>5247</v>
      </c>
      <c r="AE245" t="s">
        <v>5248</v>
      </c>
      <c r="AF245" t="s">
        <v>74</v>
      </c>
      <c r="AG245">
        <v>47</v>
      </c>
      <c r="AH245">
        <v>13</v>
      </c>
      <c r="AI245">
        <v>13</v>
      </c>
      <c r="AJ245">
        <v>0</v>
      </c>
      <c r="AK245">
        <v>6</v>
      </c>
      <c r="AL245" t="s">
        <v>1016</v>
      </c>
      <c r="AM245" t="s">
        <v>1017</v>
      </c>
      <c r="AN245" t="s">
        <v>4703</v>
      </c>
      <c r="AO245" t="s">
        <v>4704</v>
      </c>
      <c r="AP245" t="s">
        <v>4705</v>
      </c>
      <c r="AQ245" t="s">
        <v>74</v>
      </c>
      <c r="AR245" t="s">
        <v>4706</v>
      </c>
      <c r="AS245" t="s">
        <v>4707</v>
      </c>
      <c r="AT245" t="s">
        <v>1270</v>
      </c>
      <c r="AU245">
        <v>2019</v>
      </c>
      <c r="AV245">
        <v>49</v>
      </c>
      <c r="AW245">
        <v>12</v>
      </c>
      <c r="AX245" t="s">
        <v>74</v>
      </c>
      <c r="AY245" t="s">
        <v>74</v>
      </c>
      <c r="AZ245" t="s">
        <v>74</v>
      </c>
      <c r="BA245" t="s">
        <v>74</v>
      </c>
      <c r="BB245">
        <v>3127</v>
      </c>
      <c r="BC245">
        <v>3143</v>
      </c>
      <c r="BD245" t="s">
        <v>74</v>
      </c>
      <c r="BE245" t="s">
        <v>5249</v>
      </c>
      <c r="BF245" t="str">
        <f>HYPERLINK("http://dx.doi.org/10.1175/JPO-D-19-0011.1","http://dx.doi.org/10.1175/JPO-D-19-0011.1")</f>
        <v>http://dx.doi.org/10.1175/JPO-D-19-0011.1</v>
      </c>
      <c r="BG245" t="s">
        <v>74</v>
      </c>
      <c r="BH245" t="s">
        <v>74</v>
      </c>
      <c r="BI245">
        <v>17</v>
      </c>
      <c r="BJ245" t="s">
        <v>1945</v>
      </c>
      <c r="BK245" t="s">
        <v>294</v>
      </c>
      <c r="BL245" t="s">
        <v>1945</v>
      </c>
      <c r="BM245" t="s">
        <v>5250</v>
      </c>
      <c r="BN245" t="s">
        <v>74</v>
      </c>
      <c r="BO245" t="s">
        <v>5251</v>
      </c>
      <c r="BP245" t="s">
        <v>74</v>
      </c>
      <c r="BQ245" t="s">
        <v>74</v>
      </c>
      <c r="BR245" t="s">
        <v>108</v>
      </c>
      <c r="BS245" t="s">
        <v>5252</v>
      </c>
      <c r="BT245" t="str">
        <f>HYPERLINK("https%3A%2F%2Fwww.webofscience.com%2Fwos%2Fwoscc%2Ffull-record%2FWOS:000501178100002","View Full Record in Web of Science")</f>
        <v>View Full Record in Web of Science</v>
      </c>
    </row>
    <row r="246" spans="1:72" x14ac:dyDescent="0.15">
      <c r="A246" t="s">
        <v>133</v>
      </c>
      <c r="B246" t="s">
        <v>5253</v>
      </c>
      <c r="C246" t="s">
        <v>74</v>
      </c>
      <c r="D246" t="s">
        <v>74</v>
      </c>
      <c r="E246" t="s">
        <v>74</v>
      </c>
      <c r="F246" t="s">
        <v>5254</v>
      </c>
      <c r="G246" t="s">
        <v>74</v>
      </c>
      <c r="H246" t="s">
        <v>74</v>
      </c>
      <c r="I246" t="s">
        <v>5255</v>
      </c>
      <c r="J246" t="s">
        <v>5256</v>
      </c>
      <c r="K246" t="s">
        <v>74</v>
      </c>
      <c r="L246" t="s">
        <v>74</v>
      </c>
      <c r="M246" t="s">
        <v>80</v>
      </c>
      <c r="N246" t="s">
        <v>138</v>
      </c>
      <c r="O246" t="s">
        <v>74</v>
      </c>
      <c r="P246" t="s">
        <v>74</v>
      </c>
      <c r="Q246" t="s">
        <v>74</v>
      </c>
      <c r="R246" t="s">
        <v>74</v>
      </c>
      <c r="S246" t="s">
        <v>74</v>
      </c>
      <c r="T246" t="s">
        <v>5257</v>
      </c>
      <c r="U246" t="s">
        <v>5258</v>
      </c>
      <c r="V246" t="s">
        <v>5259</v>
      </c>
      <c r="W246" t="s">
        <v>5260</v>
      </c>
      <c r="X246" t="s">
        <v>5261</v>
      </c>
      <c r="Y246" t="s">
        <v>5262</v>
      </c>
      <c r="Z246" t="s">
        <v>5263</v>
      </c>
      <c r="AA246" t="s">
        <v>74</v>
      </c>
      <c r="AB246" t="s">
        <v>74</v>
      </c>
      <c r="AC246" t="s">
        <v>5264</v>
      </c>
      <c r="AD246" t="s">
        <v>1522</v>
      </c>
      <c r="AE246" t="s">
        <v>5265</v>
      </c>
      <c r="AF246" t="s">
        <v>74</v>
      </c>
      <c r="AG246">
        <v>97</v>
      </c>
      <c r="AH246">
        <v>9</v>
      </c>
      <c r="AI246">
        <v>9</v>
      </c>
      <c r="AJ246">
        <v>0</v>
      </c>
      <c r="AK246">
        <v>6</v>
      </c>
      <c r="AL246" t="s">
        <v>284</v>
      </c>
      <c r="AM246" t="s">
        <v>285</v>
      </c>
      <c r="AN246" t="s">
        <v>286</v>
      </c>
      <c r="AO246" t="s">
        <v>5266</v>
      </c>
      <c r="AP246" t="s">
        <v>5267</v>
      </c>
      <c r="AQ246" t="s">
        <v>74</v>
      </c>
      <c r="AR246" t="s">
        <v>5268</v>
      </c>
      <c r="AS246" t="s">
        <v>5269</v>
      </c>
      <c r="AT246" t="s">
        <v>1270</v>
      </c>
      <c r="AU246">
        <v>2019</v>
      </c>
      <c r="AV246">
        <v>48</v>
      </c>
      <c r="AW246" t="s">
        <v>74</v>
      </c>
      <c r="AX246" t="s">
        <v>74</v>
      </c>
      <c r="AY246" t="s">
        <v>74</v>
      </c>
      <c r="AZ246" t="s">
        <v>74</v>
      </c>
      <c r="BA246" t="s">
        <v>74</v>
      </c>
      <c r="BB246">
        <v>5</v>
      </c>
      <c r="BC246">
        <v>13</v>
      </c>
      <c r="BD246">
        <v>100698</v>
      </c>
      <c r="BE246" t="s">
        <v>5270</v>
      </c>
      <c r="BF246" t="str">
        <f>HYPERLINK("http://dx.doi.org/10.1016/j.margen.2019.100698","http://dx.doi.org/10.1016/j.margen.2019.100698")</f>
        <v>http://dx.doi.org/10.1016/j.margen.2019.100698</v>
      </c>
      <c r="BG246" t="s">
        <v>74</v>
      </c>
      <c r="BH246" t="s">
        <v>74</v>
      </c>
      <c r="BI246">
        <v>9</v>
      </c>
      <c r="BJ246" t="s">
        <v>5271</v>
      </c>
      <c r="BK246" t="s">
        <v>294</v>
      </c>
      <c r="BL246" t="s">
        <v>5271</v>
      </c>
      <c r="BM246" t="s">
        <v>5272</v>
      </c>
      <c r="BN246">
        <v>31307923</v>
      </c>
      <c r="BO246" t="s">
        <v>559</v>
      </c>
      <c r="BP246" t="s">
        <v>74</v>
      </c>
      <c r="BQ246" t="s">
        <v>74</v>
      </c>
      <c r="BR246" t="s">
        <v>108</v>
      </c>
      <c r="BS246" t="s">
        <v>5273</v>
      </c>
      <c r="BT246" t="str">
        <f>HYPERLINK("https%3A%2F%2Fwww.webofscience.com%2Fwos%2Fwoscc%2Ffull-record%2FWOS:000500380200001","View Full Record in Web of Science")</f>
        <v>View Full Record in Web of Science</v>
      </c>
    </row>
    <row r="247" spans="1:72" x14ac:dyDescent="0.15">
      <c r="A247" t="s">
        <v>133</v>
      </c>
      <c r="B247" t="s">
        <v>5274</v>
      </c>
      <c r="C247" t="s">
        <v>74</v>
      </c>
      <c r="D247" t="s">
        <v>74</v>
      </c>
      <c r="E247" t="s">
        <v>74</v>
      </c>
      <c r="F247" t="s">
        <v>5275</v>
      </c>
      <c r="G247" t="s">
        <v>74</v>
      </c>
      <c r="H247" t="s">
        <v>74</v>
      </c>
      <c r="I247" t="s">
        <v>5276</v>
      </c>
      <c r="J247" t="s">
        <v>5256</v>
      </c>
      <c r="K247" t="s">
        <v>74</v>
      </c>
      <c r="L247" t="s">
        <v>74</v>
      </c>
      <c r="M247" t="s">
        <v>80</v>
      </c>
      <c r="N247" t="s">
        <v>138</v>
      </c>
      <c r="O247" t="s">
        <v>74</v>
      </c>
      <c r="P247" t="s">
        <v>74</v>
      </c>
      <c r="Q247" t="s">
        <v>74</v>
      </c>
      <c r="R247" t="s">
        <v>74</v>
      </c>
      <c r="S247" t="s">
        <v>74</v>
      </c>
      <c r="T247" t="s">
        <v>5277</v>
      </c>
      <c r="U247" t="s">
        <v>5278</v>
      </c>
      <c r="V247" t="s">
        <v>5279</v>
      </c>
      <c r="W247" t="s">
        <v>5280</v>
      </c>
      <c r="X247" t="s">
        <v>5281</v>
      </c>
      <c r="Y247" t="s">
        <v>5282</v>
      </c>
      <c r="Z247" t="s">
        <v>5283</v>
      </c>
      <c r="AA247" t="s">
        <v>74</v>
      </c>
      <c r="AB247" t="s">
        <v>5284</v>
      </c>
      <c r="AC247" t="s">
        <v>5285</v>
      </c>
      <c r="AD247" t="s">
        <v>5286</v>
      </c>
      <c r="AE247" t="s">
        <v>5287</v>
      </c>
      <c r="AF247" t="s">
        <v>74</v>
      </c>
      <c r="AG247">
        <v>28</v>
      </c>
      <c r="AH247">
        <v>5</v>
      </c>
      <c r="AI247">
        <v>5</v>
      </c>
      <c r="AJ247">
        <v>0</v>
      </c>
      <c r="AK247">
        <v>16</v>
      </c>
      <c r="AL247" t="s">
        <v>284</v>
      </c>
      <c r="AM247" t="s">
        <v>285</v>
      </c>
      <c r="AN247" t="s">
        <v>286</v>
      </c>
      <c r="AO247" t="s">
        <v>5266</v>
      </c>
      <c r="AP247" t="s">
        <v>5267</v>
      </c>
      <c r="AQ247" t="s">
        <v>74</v>
      </c>
      <c r="AR247" t="s">
        <v>5268</v>
      </c>
      <c r="AS247" t="s">
        <v>5269</v>
      </c>
      <c r="AT247" t="s">
        <v>1270</v>
      </c>
      <c r="AU247">
        <v>2019</v>
      </c>
      <c r="AV247">
        <v>48</v>
      </c>
      <c r="AW247" t="s">
        <v>74</v>
      </c>
      <c r="AX247" t="s">
        <v>74</v>
      </c>
      <c r="AY247" t="s">
        <v>74</v>
      </c>
      <c r="AZ247" t="s">
        <v>74</v>
      </c>
      <c r="BA247" t="s">
        <v>74</v>
      </c>
      <c r="BB247">
        <v>44</v>
      </c>
      <c r="BC247">
        <v>47</v>
      </c>
      <c r="BD247">
        <v>100684</v>
      </c>
      <c r="BE247" t="s">
        <v>5288</v>
      </c>
      <c r="BF247" t="str">
        <f>HYPERLINK("http://dx.doi.org/10.1016/j.margen.2019.04.009","http://dx.doi.org/10.1016/j.margen.2019.04.009")</f>
        <v>http://dx.doi.org/10.1016/j.margen.2019.04.009</v>
      </c>
      <c r="BG247" t="s">
        <v>74</v>
      </c>
      <c r="BH247" t="s">
        <v>74</v>
      </c>
      <c r="BI247">
        <v>4</v>
      </c>
      <c r="BJ247" t="s">
        <v>5271</v>
      </c>
      <c r="BK247" t="s">
        <v>294</v>
      </c>
      <c r="BL247" t="s">
        <v>5271</v>
      </c>
      <c r="BM247" t="s">
        <v>5272</v>
      </c>
      <c r="BN247" t="s">
        <v>74</v>
      </c>
      <c r="BO247" t="s">
        <v>74</v>
      </c>
      <c r="BP247" t="s">
        <v>74</v>
      </c>
      <c r="BQ247" t="s">
        <v>74</v>
      </c>
      <c r="BR247" t="s">
        <v>108</v>
      </c>
      <c r="BS247" t="s">
        <v>5289</v>
      </c>
      <c r="BT247" t="str">
        <f>HYPERLINK("https%3A%2F%2Fwww.webofscience.com%2Fwos%2Fwoscc%2Ffull-record%2FWOS:000500380200005","View Full Record in Web of Science")</f>
        <v>View Full Record in Web of Science</v>
      </c>
    </row>
    <row r="248" spans="1:72" x14ac:dyDescent="0.15">
      <c r="A248" t="s">
        <v>133</v>
      </c>
      <c r="B248" t="s">
        <v>5290</v>
      </c>
      <c r="C248" t="s">
        <v>74</v>
      </c>
      <c r="D248" t="s">
        <v>74</v>
      </c>
      <c r="E248" t="s">
        <v>74</v>
      </c>
      <c r="F248" t="s">
        <v>5291</v>
      </c>
      <c r="G248" t="s">
        <v>74</v>
      </c>
      <c r="H248" t="s">
        <v>74</v>
      </c>
      <c r="I248" t="s">
        <v>5292</v>
      </c>
      <c r="J248" t="s">
        <v>5293</v>
      </c>
      <c r="K248" t="s">
        <v>74</v>
      </c>
      <c r="L248" t="s">
        <v>74</v>
      </c>
      <c r="M248" t="s">
        <v>80</v>
      </c>
      <c r="N248" t="s">
        <v>138</v>
      </c>
      <c r="O248" t="s">
        <v>74</v>
      </c>
      <c r="P248" t="s">
        <v>74</v>
      </c>
      <c r="Q248" t="s">
        <v>74</v>
      </c>
      <c r="R248" t="s">
        <v>74</v>
      </c>
      <c r="S248" t="s">
        <v>74</v>
      </c>
      <c r="T248" t="s">
        <v>5294</v>
      </c>
      <c r="U248" t="s">
        <v>5295</v>
      </c>
      <c r="V248" t="s">
        <v>5296</v>
      </c>
      <c r="W248" t="s">
        <v>5297</v>
      </c>
      <c r="X248" t="s">
        <v>5298</v>
      </c>
      <c r="Y248" t="s">
        <v>5299</v>
      </c>
      <c r="Z248" t="s">
        <v>5300</v>
      </c>
      <c r="AA248" t="s">
        <v>74</v>
      </c>
      <c r="AB248" t="s">
        <v>74</v>
      </c>
      <c r="AC248" t="s">
        <v>5301</v>
      </c>
      <c r="AD248" t="s">
        <v>5302</v>
      </c>
      <c r="AE248" t="s">
        <v>5303</v>
      </c>
      <c r="AF248" t="s">
        <v>74</v>
      </c>
      <c r="AG248">
        <v>97</v>
      </c>
      <c r="AH248">
        <v>22</v>
      </c>
      <c r="AI248">
        <v>25</v>
      </c>
      <c r="AJ248">
        <v>2</v>
      </c>
      <c r="AK248">
        <v>35</v>
      </c>
      <c r="AL248" t="s">
        <v>379</v>
      </c>
      <c r="AM248" t="s">
        <v>380</v>
      </c>
      <c r="AN248" t="s">
        <v>381</v>
      </c>
      <c r="AO248" t="s">
        <v>5304</v>
      </c>
      <c r="AP248" t="s">
        <v>5305</v>
      </c>
      <c r="AQ248" t="s">
        <v>74</v>
      </c>
      <c r="AR248" t="s">
        <v>5306</v>
      </c>
      <c r="AS248" t="s">
        <v>5307</v>
      </c>
      <c r="AT248" t="s">
        <v>1270</v>
      </c>
      <c r="AU248">
        <v>2019</v>
      </c>
      <c r="AV248">
        <v>138</v>
      </c>
      <c r="AW248" t="s">
        <v>74</v>
      </c>
      <c r="AX248" t="s">
        <v>74</v>
      </c>
      <c r="AY248" t="s">
        <v>74</v>
      </c>
      <c r="AZ248" t="s">
        <v>74</v>
      </c>
      <c r="BA248" t="s">
        <v>74</v>
      </c>
      <c r="BB248" t="s">
        <v>74</v>
      </c>
      <c r="BC248" t="s">
        <v>74</v>
      </c>
      <c r="BD248">
        <v>103909</v>
      </c>
      <c r="BE248" t="s">
        <v>5308</v>
      </c>
      <c r="BF248" t="str">
        <f>HYPERLINK("http://dx.doi.org/10.1016/j.orggeochem.2019.103909","http://dx.doi.org/10.1016/j.orggeochem.2019.103909")</f>
        <v>http://dx.doi.org/10.1016/j.orggeochem.2019.103909</v>
      </c>
      <c r="BG248" t="s">
        <v>74</v>
      </c>
      <c r="BH248" t="s">
        <v>74</v>
      </c>
      <c r="BI248">
        <v>14</v>
      </c>
      <c r="BJ248" t="s">
        <v>1067</v>
      </c>
      <c r="BK248" t="s">
        <v>294</v>
      </c>
      <c r="BL248" t="s">
        <v>1067</v>
      </c>
      <c r="BM248" t="s">
        <v>5309</v>
      </c>
      <c r="BN248" t="s">
        <v>74</v>
      </c>
      <c r="BO248" t="s">
        <v>559</v>
      </c>
      <c r="BP248" t="s">
        <v>74</v>
      </c>
      <c r="BQ248" t="s">
        <v>74</v>
      </c>
      <c r="BR248" t="s">
        <v>108</v>
      </c>
      <c r="BS248" t="s">
        <v>5310</v>
      </c>
      <c r="BT248" t="str">
        <f>HYPERLINK("https%3A%2F%2Fwww.webofscience.com%2Fwos%2Fwoscc%2Ffull-record%2FWOS:000500549500013","View Full Record in Web of Science")</f>
        <v>View Full Record in Web of Science</v>
      </c>
    </row>
    <row r="249" spans="1:72" x14ac:dyDescent="0.15">
      <c r="A249" t="s">
        <v>133</v>
      </c>
      <c r="B249" t="s">
        <v>5311</v>
      </c>
      <c r="C249" t="s">
        <v>74</v>
      </c>
      <c r="D249" t="s">
        <v>74</v>
      </c>
      <c r="E249" t="s">
        <v>74</v>
      </c>
      <c r="F249" t="s">
        <v>5312</v>
      </c>
      <c r="G249" t="s">
        <v>74</v>
      </c>
      <c r="H249" t="s">
        <v>74</v>
      </c>
      <c r="I249" t="s">
        <v>5313</v>
      </c>
      <c r="J249" t="s">
        <v>5314</v>
      </c>
      <c r="K249" t="s">
        <v>74</v>
      </c>
      <c r="L249" t="s">
        <v>74</v>
      </c>
      <c r="M249" t="s">
        <v>80</v>
      </c>
      <c r="N249" t="s">
        <v>138</v>
      </c>
      <c r="O249" t="s">
        <v>74</v>
      </c>
      <c r="P249" t="s">
        <v>74</v>
      </c>
      <c r="Q249" t="s">
        <v>74</v>
      </c>
      <c r="R249" t="s">
        <v>74</v>
      </c>
      <c r="S249" t="s">
        <v>74</v>
      </c>
      <c r="T249" t="s">
        <v>5315</v>
      </c>
      <c r="U249" t="s">
        <v>5316</v>
      </c>
      <c r="V249" t="s">
        <v>5317</v>
      </c>
      <c r="W249" t="s">
        <v>5318</v>
      </c>
      <c r="X249" t="s">
        <v>5319</v>
      </c>
      <c r="Y249" t="s">
        <v>5320</v>
      </c>
      <c r="Z249" t="s">
        <v>2608</v>
      </c>
      <c r="AA249" t="s">
        <v>2609</v>
      </c>
      <c r="AB249" t="s">
        <v>74</v>
      </c>
      <c r="AC249" t="s">
        <v>5321</v>
      </c>
      <c r="AD249" t="s">
        <v>5322</v>
      </c>
      <c r="AE249" t="s">
        <v>5323</v>
      </c>
      <c r="AF249" t="s">
        <v>74</v>
      </c>
      <c r="AG249">
        <v>30</v>
      </c>
      <c r="AH249">
        <v>2</v>
      </c>
      <c r="AI249">
        <v>4</v>
      </c>
      <c r="AJ249">
        <v>0</v>
      </c>
      <c r="AK249">
        <v>16</v>
      </c>
      <c r="AL249" t="s">
        <v>284</v>
      </c>
      <c r="AM249" t="s">
        <v>285</v>
      </c>
      <c r="AN249" t="s">
        <v>286</v>
      </c>
      <c r="AO249" t="s">
        <v>5324</v>
      </c>
      <c r="AP249" t="s">
        <v>5325</v>
      </c>
      <c r="AQ249" t="s">
        <v>74</v>
      </c>
      <c r="AR249" t="s">
        <v>5326</v>
      </c>
      <c r="AS249" t="s">
        <v>5327</v>
      </c>
      <c r="AT249" t="s">
        <v>1270</v>
      </c>
      <c r="AU249">
        <v>2019</v>
      </c>
      <c r="AV249">
        <v>22</v>
      </c>
      <c r="AW249" t="s">
        <v>74</v>
      </c>
      <c r="AX249" t="s">
        <v>74</v>
      </c>
      <c r="AY249" t="s">
        <v>74</v>
      </c>
      <c r="AZ249" t="s">
        <v>74</v>
      </c>
      <c r="BA249" t="s">
        <v>74</v>
      </c>
      <c r="BB249" t="s">
        <v>74</v>
      </c>
      <c r="BC249" t="s">
        <v>74</v>
      </c>
      <c r="BD249">
        <v>100485</v>
      </c>
      <c r="BE249" t="s">
        <v>5328</v>
      </c>
      <c r="BF249" t="str">
        <f>HYPERLINK("http://dx.doi.org/10.1016/j.polar.2019.100485","http://dx.doi.org/10.1016/j.polar.2019.100485")</f>
        <v>http://dx.doi.org/10.1016/j.polar.2019.100485</v>
      </c>
      <c r="BG249" t="s">
        <v>74</v>
      </c>
      <c r="BH249" t="s">
        <v>74</v>
      </c>
      <c r="BI249">
        <v>8</v>
      </c>
      <c r="BJ249" t="s">
        <v>159</v>
      </c>
      <c r="BK249" t="s">
        <v>294</v>
      </c>
      <c r="BL249" t="s">
        <v>161</v>
      </c>
      <c r="BM249" t="s">
        <v>5329</v>
      </c>
      <c r="BN249" t="s">
        <v>74</v>
      </c>
      <c r="BO249" t="s">
        <v>559</v>
      </c>
      <c r="BP249" t="s">
        <v>74</v>
      </c>
      <c r="BQ249" t="s">
        <v>74</v>
      </c>
      <c r="BR249" t="s">
        <v>108</v>
      </c>
      <c r="BS249" t="s">
        <v>5330</v>
      </c>
      <c r="BT249" t="str">
        <f>HYPERLINK("https%3A%2F%2Fwww.webofscience.com%2Fwos%2Fwoscc%2Ffull-record%2FWOS:000500519000004","View Full Record in Web of Science")</f>
        <v>View Full Record in Web of Science</v>
      </c>
    </row>
    <row r="250" spans="1:72" x14ac:dyDescent="0.15">
      <c r="A250" t="s">
        <v>133</v>
      </c>
      <c r="B250" t="s">
        <v>5331</v>
      </c>
      <c r="C250" t="s">
        <v>74</v>
      </c>
      <c r="D250" t="s">
        <v>74</v>
      </c>
      <c r="E250" t="s">
        <v>74</v>
      </c>
      <c r="F250" t="s">
        <v>5332</v>
      </c>
      <c r="G250" t="s">
        <v>74</v>
      </c>
      <c r="H250" t="s">
        <v>74</v>
      </c>
      <c r="I250" t="s">
        <v>5333</v>
      </c>
      <c r="J250" t="s">
        <v>5314</v>
      </c>
      <c r="K250" t="s">
        <v>74</v>
      </c>
      <c r="L250" t="s">
        <v>74</v>
      </c>
      <c r="M250" t="s">
        <v>80</v>
      </c>
      <c r="N250" t="s">
        <v>138</v>
      </c>
      <c r="O250" t="s">
        <v>74</v>
      </c>
      <c r="P250" t="s">
        <v>74</v>
      </c>
      <c r="Q250" t="s">
        <v>74</v>
      </c>
      <c r="R250" t="s">
        <v>74</v>
      </c>
      <c r="S250" t="s">
        <v>74</v>
      </c>
      <c r="T250" t="s">
        <v>5334</v>
      </c>
      <c r="U250" t="s">
        <v>5335</v>
      </c>
      <c r="V250" t="s">
        <v>5336</v>
      </c>
      <c r="W250" t="s">
        <v>5337</v>
      </c>
      <c r="X250" t="s">
        <v>5338</v>
      </c>
      <c r="Y250" t="s">
        <v>5339</v>
      </c>
      <c r="Z250" t="s">
        <v>5340</v>
      </c>
      <c r="AA250" t="s">
        <v>5341</v>
      </c>
      <c r="AB250" t="s">
        <v>5342</v>
      </c>
      <c r="AC250" t="s">
        <v>74</v>
      </c>
      <c r="AD250" t="s">
        <v>74</v>
      </c>
      <c r="AE250" t="s">
        <v>74</v>
      </c>
      <c r="AF250" t="s">
        <v>74</v>
      </c>
      <c r="AG250">
        <v>63</v>
      </c>
      <c r="AH250">
        <v>8</v>
      </c>
      <c r="AI250">
        <v>8</v>
      </c>
      <c r="AJ250">
        <v>2</v>
      </c>
      <c r="AK250">
        <v>22</v>
      </c>
      <c r="AL250" t="s">
        <v>284</v>
      </c>
      <c r="AM250" t="s">
        <v>285</v>
      </c>
      <c r="AN250" t="s">
        <v>286</v>
      </c>
      <c r="AO250" t="s">
        <v>5324</v>
      </c>
      <c r="AP250" t="s">
        <v>5325</v>
      </c>
      <c r="AQ250" t="s">
        <v>74</v>
      </c>
      <c r="AR250" t="s">
        <v>5326</v>
      </c>
      <c r="AS250" t="s">
        <v>5327</v>
      </c>
      <c r="AT250" t="s">
        <v>1270</v>
      </c>
      <c r="AU250">
        <v>2019</v>
      </c>
      <c r="AV250">
        <v>22</v>
      </c>
      <c r="AW250" t="s">
        <v>74</v>
      </c>
      <c r="AX250" t="s">
        <v>74</v>
      </c>
      <c r="AY250" t="s">
        <v>74</v>
      </c>
      <c r="AZ250" t="s">
        <v>74</v>
      </c>
      <c r="BA250" t="s">
        <v>74</v>
      </c>
      <c r="BB250" t="s">
        <v>74</v>
      </c>
      <c r="BC250" t="s">
        <v>74</v>
      </c>
      <c r="BD250">
        <v>100484</v>
      </c>
      <c r="BE250" t="s">
        <v>5343</v>
      </c>
      <c r="BF250" t="str">
        <f>HYPERLINK("http://dx.doi.org/10.1016/j.polar.2019.100484","http://dx.doi.org/10.1016/j.polar.2019.100484")</f>
        <v>http://dx.doi.org/10.1016/j.polar.2019.100484</v>
      </c>
      <c r="BG250" t="s">
        <v>74</v>
      </c>
      <c r="BH250" t="s">
        <v>74</v>
      </c>
      <c r="BI250">
        <v>7</v>
      </c>
      <c r="BJ250" t="s">
        <v>159</v>
      </c>
      <c r="BK250" t="s">
        <v>360</v>
      </c>
      <c r="BL250" t="s">
        <v>161</v>
      </c>
      <c r="BM250" t="s">
        <v>5329</v>
      </c>
      <c r="BN250" t="s">
        <v>74</v>
      </c>
      <c r="BO250" t="s">
        <v>559</v>
      </c>
      <c r="BP250" t="s">
        <v>74</v>
      </c>
      <c r="BQ250" t="s">
        <v>74</v>
      </c>
      <c r="BR250" t="s">
        <v>108</v>
      </c>
      <c r="BS250" t="s">
        <v>5344</v>
      </c>
      <c r="BT250" t="str">
        <f>HYPERLINK("https%3A%2F%2Fwww.webofscience.com%2Fwos%2Fwoscc%2Ffull-record%2FWOS:000500519000010","View Full Record in Web of Science")</f>
        <v>View Full Record in Web of Science</v>
      </c>
    </row>
    <row r="251" spans="1:72" x14ac:dyDescent="0.15">
      <c r="A251" t="s">
        <v>133</v>
      </c>
      <c r="B251" t="s">
        <v>5345</v>
      </c>
      <c r="C251" t="s">
        <v>74</v>
      </c>
      <c r="D251" t="s">
        <v>74</v>
      </c>
      <c r="E251" t="s">
        <v>74</v>
      </c>
      <c r="F251" t="s">
        <v>5346</v>
      </c>
      <c r="G251" t="s">
        <v>74</v>
      </c>
      <c r="H251" t="s">
        <v>74</v>
      </c>
      <c r="I251" t="s">
        <v>5347</v>
      </c>
      <c r="J251" t="s">
        <v>5314</v>
      </c>
      <c r="K251" t="s">
        <v>74</v>
      </c>
      <c r="L251" t="s">
        <v>74</v>
      </c>
      <c r="M251" t="s">
        <v>80</v>
      </c>
      <c r="N251" t="s">
        <v>138</v>
      </c>
      <c r="O251" t="s">
        <v>74</v>
      </c>
      <c r="P251" t="s">
        <v>74</v>
      </c>
      <c r="Q251" t="s">
        <v>74</v>
      </c>
      <c r="R251" t="s">
        <v>74</v>
      </c>
      <c r="S251" t="s">
        <v>74</v>
      </c>
      <c r="T251" t="s">
        <v>5348</v>
      </c>
      <c r="U251" t="s">
        <v>5349</v>
      </c>
      <c r="V251" t="s">
        <v>5350</v>
      </c>
      <c r="W251" t="s">
        <v>5351</v>
      </c>
      <c r="X251" t="s">
        <v>74</v>
      </c>
      <c r="Y251" t="s">
        <v>5352</v>
      </c>
      <c r="Z251" t="s">
        <v>5353</v>
      </c>
      <c r="AA251" t="s">
        <v>74</v>
      </c>
      <c r="AB251" t="s">
        <v>5354</v>
      </c>
      <c r="AC251" t="s">
        <v>74</v>
      </c>
      <c r="AD251" t="s">
        <v>74</v>
      </c>
      <c r="AE251" t="s">
        <v>74</v>
      </c>
      <c r="AF251" t="s">
        <v>74</v>
      </c>
      <c r="AG251">
        <v>62</v>
      </c>
      <c r="AH251">
        <v>10</v>
      </c>
      <c r="AI251">
        <v>11</v>
      </c>
      <c r="AJ251">
        <v>0</v>
      </c>
      <c r="AK251">
        <v>18</v>
      </c>
      <c r="AL251" t="s">
        <v>284</v>
      </c>
      <c r="AM251" t="s">
        <v>285</v>
      </c>
      <c r="AN251" t="s">
        <v>286</v>
      </c>
      <c r="AO251" t="s">
        <v>5324</v>
      </c>
      <c r="AP251" t="s">
        <v>5325</v>
      </c>
      <c r="AQ251" t="s">
        <v>74</v>
      </c>
      <c r="AR251" t="s">
        <v>5326</v>
      </c>
      <c r="AS251" t="s">
        <v>5327</v>
      </c>
      <c r="AT251" t="s">
        <v>1270</v>
      </c>
      <c r="AU251">
        <v>2019</v>
      </c>
      <c r="AV251">
        <v>22</v>
      </c>
      <c r="AW251" t="s">
        <v>74</v>
      </c>
      <c r="AX251" t="s">
        <v>74</v>
      </c>
      <c r="AY251" t="s">
        <v>74</v>
      </c>
      <c r="AZ251" t="s">
        <v>74</v>
      </c>
      <c r="BA251" t="s">
        <v>74</v>
      </c>
      <c r="BB251" t="s">
        <v>74</v>
      </c>
      <c r="BC251" t="s">
        <v>74</v>
      </c>
      <c r="BD251">
        <v>100477</v>
      </c>
      <c r="BE251" t="s">
        <v>5355</v>
      </c>
      <c r="BF251" t="str">
        <f>HYPERLINK("http://dx.doi.org/10.1016/j.polar.2019.08.003","http://dx.doi.org/10.1016/j.polar.2019.08.003")</f>
        <v>http://dx.doi.org/10.1016/j.polar.2019.08.003</v>
      </c>
      <c r="BG251" t="s">
        <v>74</v>
      </c>
      <c r="BH251" t="s">
        <v>74</v>
      </c>
      <c r="BI251">
        <v>7</v>
      </c>
      <c r="BJ251" t="s">
        <v>159</v>
      </c>
      <c r="BK251" t="s">
        <v>294</v>
      </c>
      <c r="BL251" t="s">
        <v>161</v>
      </c>
      <c r="BM251" t="s">
        <v>5329</v>
      </c>
      <c r="BN251" t="s">
        <v>74</v>
      </c>
      <c r="BO251" t="s">
        <v>559</v>
      </c>
      <c r="BP251" t="s">
        <v>74</v>
      </c>
      <c r="BQ251" t="s">
        <v>74</v>
      </c>
      <c r="BR251" t="s">
        <v>108</v>
      </c>
      <c r="BS251" t="s">
        <v>5356</v>
      </c>
      <c r="BT251" t="str">
        <f>HYPERLINK("https%3A%2F%2Fwww.webofscience.com%2Fwos%2Fwoscc%2Ffull-record%2FWOS:000500519000005","View Full Record in Web of Science")</f>
        <v>View Full Record in Web of Science</v>
      </c>
    </row>
    <row r="252" spans="1:72" x14ac:dyDescent="0.15">
      <c r="A252" t="s">
        <v>133</v>
      </c>
      <c r="B252" t="s">
        <v>5357</v>
      </c>
      <c r="C252" t="s">
        <v>74</v>
      </c>
      <c r="D252" t="s">
        <v>74</v>
      </c>
      <c r="E252" t="s">
        <v>74</v>
      </c>
      <c r="F252" t="s">
        <v>5358</v>
      </c>
      <c r="G252" t="s">
        <v>74</v>
      </c>
      <c r="H252" t="s">
        <v>74</v>
      </c>
      <c r="I252" t="s">
        <v>5359</v>
      </c>
      <c r="J252" t="s">
        <v>5314</v>
      </c>
      <c r="K252" t="s">
        <v>74</v>
      </c>
      <c r="L252" t="s">
        <v>74</v>
      </c>
      <c r="M252" t="s">
        <v>80</v>
      </c>
      <c r="N252" t="s">
        <v>138</v>
      </c>
      <c r="O252" t="s">
        <v>74</v>
      </c>
      <c r="P252" t="s">
        <v>74</v>
      </c>
      <c r="Q252" t="s">
        <v>74</v>
      </c>
      <c r="R252" t="s">
        <v>74</v>
      </c>
      <c r="S252" t="s">
        <v>74</v>
      </c>
      <c r="T252" t="s">
        <v>5360</v>
      </c>
      <c r="U252" t="s">
        <v>5361</v>
      </c>
      <c r="V252" t="s">
        <v>5362</v>
      </c>
      <c r="W252" t="s">
        <v>5363</v>
      </c>
      <c r="X252" t="s">
        <v>5364</v>
      </c>
      <c r="Y252" t="s">
        <v>5365</v>
      </c>
      <c r="Z252" t="s">
        <v>5366</v>
      </c>
      <c r="AA252" t="s">
        <v>5367</v>
      </c>
      <c r="AB252" t="s">
        <v>5368</v>
      </c>
      <c r="AC252" t="s">
        <v>5369</v>
      </c>
      <c r="AD252" t="s">
        <v>4807</v>
      </c>
      <c r="AE252" t="s">
        <v>5370</v>
      </c>
      <c r="AF252" t="s">
        <v>74</v>
      </c>
      <c r="AG252">
        <v>17</v>
      </c>
      <c r="AH252">
        <v>9</v>
      </c>
      <c r="AI252">
        <v>10</v>
      </c>
      <c r="AJ252">
        <v>6</v>
      </c>
      <c r="AK252">
        <v>16</v>
      </c>
      <c r="AL252" t="s">
        <v>284</v>
      </c>
      <c r="AM252" t="s">
        <v>285</v>
      </c>
      <c r="AN252" t="s">
        <v>286</v>
      </c>
      <c r="AO252" t="s">
        <v>5324</v>
      </c>
      <c r="AP252" t="s">
        <v>5325</v>
      </c>
      <c r="AQ252" t="s">
        <v>74</v>
      </c>
      <c r="AR252" t="s">
        <v>5326</v>
      </c>
      <c r="AS252" t="s">
        <v>5327</v>
      </c>
      <c r="AT252" t="s">
        <v>1270</v>
      </c>
      <c r="AU252">
        <v>2019</v>
      </c>
      <c r="AV252">
        <v>22</v>
      </c>
      <c r="AW252" t="s">
        <v>74</v>
      </c>
      <c r="AX252" t="s">
        <v>74</v>
      </c>
      <c r="AY252" t="s">
        <v>74</v>
      </c>
      <c r="AZ252" t="s">
        <v>74</v>
      </c>
      <c r="BA252" t="s">
        <v>74</v>
      </c>
      <c r="BB252" t="s">
        <v>74</v>
      </c>
      <c r="BC252" t="s">
        <v>74</v>
      </c>
      <c r="BD252">
        <v>100478</v>
      </c>
      <c r="BE252" t="s">
        <v>5371</v>
      </c>
      <c r="BF252" t="str">
        <f>HYPERLINK("http://dx.doi.org/10.1016/j.polar.2019.08.004","http://dx.doi.org/10.1016/j.polar.2019.08.004")</f>
        <v>http://dx.doi.org/10.1016/j.polar.2019.08.004</v>
      </c>
      <c r="BG252" t="s">
        <v>74</v>
      </c>
      <c r="BH252" t="s">
        <v>74</v>
      </c>
      <c r="BI252">
        <v>11</v>
      </c>
      <c r="BJ252" t="s">
        <v>159</v>
      </c>
      <c r="BK252" t="s">
        <v>294</v>
      </c>
      <c r="BL252" t="s">
        <v>161</v>
      </c>
      <c r="BM252" t="s">
        <v>5329</v>
      </c>
      <c r="BN252" t="s">
        <v>74</v>
      </c>
      <c r="BO252" t="s">
        <v>559</v>
      </c>
      <c r="BP252" t="s">
        <v>74</v>
      </c>
      <c r="BQ252" t="s">
        <v>74</v>
      </c>
      <c r="BR252" t="s">
        <v>108</v>
      </c>
      <c r="BS252" t="s">
        <v>5372</v>
      </c>
      <c r="BT252" t="str">
        <f>HYPERLINK("https%3A%2F%2Fwww.webofscience.com%2Fwos%2Fwoscc%2Ffull-record%2FWOS:000500519000008","View Full Record in Web of Science")</f>
        <v>View Full Record in Web of Science</v>
      </c>
    </row>
    <row r="253" spans="1:72" x14ac:dyDescent="0.15">
      <c r="A253" t="s">
        <v>133</v>
      </c>
      <c r="B253" t="s">
        <v>5373</v>
      </c>
      <c r="C253" t="s">
        <v>74</v>
      </c>
      <c r="D253" t="s">
        <v>74</v>
      </c>
      <c r="E253" t="s">
        <v>74</v>
      </c>
      <c r="F253" t="s">
        <v>5374</v>
      </c>
      <c r="G253" t="s">
        <v>74</v>
      </c>
      <c r="H253" t="s">
        <v>74</v>
      </c>
      <c r="I253" t="s">
        <v>5375</v>
      </c>
      <c r="J253" t="s">
        <v>5314</v>
      </c>
      <c r="K253" t="s">
        <v>74</v>
      </c>
      <c r="L253" t="s">
        <v>74</v>
      </c>
      <c r="M253" t="s">
        <v>80</v>
      </c>
      <c r="N253" t="s">
        <v>138</v>
      </c>
      <c r="O253" t="s">
        <v>74</v>
      </c>
      <c r="P253" t="s">
        <v>74</v>
      </c>
      <c r="Q253" t="s">
        <v>74</v>
      </c>
      <c r="R253" t="s">
        <v>74</v>
      </c>
      <c r="S253" t="s">
        <v>74</v>
      </c>
      <c r="T253" t="s">
        <v>5376</v>
      </c>
      <c r="U253" t="s">
        <v>5377</v>
      </c>
      <c r="V253" t="s">
        <v>5378</v>
      </c>
      <c r="W253" t="s">
        <v>5379</v>
      </c>
      <c r="X253" t="s">
        <v>5380</v>
      </c>
      <c r="Y253" t="s">
        <v>5381</v>
      </c>
      <c r="Z253" t="s">
        <v>4612</v>
      </c>
      <c r="AA253" t="s">
        <v>74</v>
      </c>
      <c r="AB253" t="s">
        <v>4613</v>
      </c>
      <c r="AC253" t="s">
        <v>5382</v>
      </c>
      <c r="AD253" t="s">
        <v>5383</v>
      </c>
      <c r="AE253" t="s">
        <v>5384</v>
      </c>
      <c r="AF253" t="s">
        <v>74</v>
      </c>
      <c r="AG253">
        <v>32</v>
      </c>
      <c r="AH253">
        <v>4</v>
      </c>
      <c r="AI253">
        <v>6</v>
      </c>
      <c r="AJ253">
        <v>0</v>
      </c>
      <c r="AK253">
        <v>14</v>
      </c>
      <c r="AL253" t="s">
        <v>284</v>
      </c>
      <c r="AM253" t="s">
        <v>285</v>
      </c>
      <c r="AN253" t="s">
        <v>286</v>
      </c>
      <c r="AO253" t="s">
        <v>5324</v>
      </c>
      <c r="AP253" t="s">
        <v>5325</v>
      </c>
      <c r="AQ253" t="s">
        <v>74</v>
      </c>
      <c r="AR253" t="s">
        <v>5326</v>
      </c>
      <c r="AS253" t="s">
        <v>5327</v>
      </c>
      <c r="AT253" t="s">
        <v>1270</v>
      </c>
      <c r="AU253">
        <v>2019</v>
      </c>
      <c r="AV253">
        <v>22</v>
      </c>
      <c r="AW253" t="s">
        <v>74</v>
      </c>
      <c r="AX253" t="s">
        <v>74</v>
      </c>
      <c r="AY253" t="s">
        <v>74</v>
      </c>
      <c r="AZ253" t="s">
        <v>74</v>
      </c>
      <c r="BA253" t="s">
        <v>74</v>
      </c>
      <c r="BB253" t="s">
        <v>74</v>
      </c>
      <c r="BC253" t="s">
        <v>74</v>
      </c>
      <c r="BD253">
        <v>100486</v>
      </c>
      <c r="BE253" t="s">
        <v>5385</v>
      </c>
      <c r="BF253" t="str">
        <f>HYPERLINK("http://dx.doi.org/10.1016/j.polar.2019.100486","http://dx.doi.org/10.1016/j.polar.2019.100486")</f>
        <v>http://dx.doi.org/10.1016/j.polar.2019.100486</v>
      </c>
      <c r="BG253" t="s">
        <v>74</v>
      </c>
      <c r="BH253" t="s">
        <v>74</v>
      </c>
      <c r="BI253">
        <v>4</v>
      </c>
      <c r="BJ253" t="s">
        <v>159</v>
      </c>
      <c r="BK253" t="s">
        <v>294</v>
      </c>
      <c r="BL253" t="s">
        <v>161</v>
      </c>
      <c r="BM253" t="s">
        <v>5329</v>
      </c>
      <c r="BN253" t="s">
        <v>74</v>
      </c>
      <c r="BO253" t="s">
        <v>559</v>
      </c>
      <c r="BP253" t="s">
        <v>74</v>
      </c>
      <c r="BQ253" t="s">
        <v>74</v>
      </c>
      <c r="BR253" t="s">
        <v>108</v>
      </c>
      <c r="BS253" t="s">
        <v>5386</v>
      </c>
      <c r="BT253" t="str">
        <f>HYPERLINK("https%3A%2F%2Fwww.webofscience.com%2Fwos%2Fwoscc%2Ffull-record%2FWOS:000500519000006","View Full Record in Web of Science")</f>
        <v>View Full Record in Web of Science</v>
      </c>
    </row>
    <row r="254" spans="1:72" x14ac:dyDescent="0.15">
      <c r="A254" t="s">
        <v>133</v>
      </c>
      <c r="B254" t="s">
        <v>5387</v>
      </c>
      <c r="C254" t="s">
        <v>74</v>
      </c>
      <c r="D254" t="s">
        <v>74</v>
      </c>
      <c r="E254" t="s">
        <v>74</v>
      </c>
      <c r="F254" t="s">
        <v>5388</v>
      </c>
      <c r="G254" t="s">
        <v>74</v>
      </c>
      <c r="H254" t="s">
        <v>74</v>
      </c>
      <c r="I254" t="s">
        <v>5389</v>
      </c>
      <c r="J254" t="s">
        <v>5314</v>
      </c>
      <c r="K254" t="s">
        <v>74</v>
      </c>
      <c r="L254" t="s">
        <v>74</v>
      </c>
      <c r="M254" t="s">
        <v>80</v>
      </c>
      <c r="N254" t="s">
        <v>138</v>
      </c>
      <c r="O254" t="s">
        <v>74</v>
      </c>
      <c r="P254" t="s">
        <v>74</v>
      </c>
      <c r="Q254" t="s">
        <v>74</v>
      </c>
      <c r="R254" t="s">
        <v>74</v>
      </c>
      <c r="S254" t="s">
        <v>74</v>
      </c>
      <c r="T254" t="s">
        <v>74</v>
      </c>
      <c r="U254" t="s">
        <v>5390</v>
      </c>
      <c r="V254" t="s">
        <v>5391</v>
      </c>
      <c r="W254" t="s">
        <v>5392</v>
      </c>
      <c r="X254" t="s">
        <v>5393</v>
      </c>
      <c r="Y254" t="s">
        <v>5394</v>
      </c>
      <c r="Z254" t="s">
        <v>5395</v>
      </c>
      <c r="AA254" t="s">
        <v>5396</v>
      </c>
      <c r="AB254" t="s">
        <v>5397</v>
      </c>
      <c r="AC254" t="s">
        <v>5398</v>
      </c>
      <c r="AD254" t="s">
        <v>5398</v>
      </c>
      <c r="AE254" t="s">
        <v>5399</v>
      </c>
      <c r="AF254" t="s">
        <v>74</v>
      </c>
      <c r="AG254">
        <v>29</v>
      </c>
      <c r="AH254">
        <v>2</v>
      </c>
      <c r="AI254">
        <v>3</v>
      </c>
      <c r="AJ254">
        <v>1</v>
      </c>
      <c r="AK254">
        <v>24</v>
      </c>
      <c r="AL254" t="s">
        <v>284</v>
      </c>
      <c r="AM254" t="s">
        <v>285</v>
      </c>
      <c r="AN254" t="s">
        <v>286</v>
      </c>
      <c r="AO254" t="s">
        <v>5324</v>
      </c>
      <c r="AP254" t="s">
        <v>5325</v>
      </c>
      <c r="AQ254" t="s">
        <v>74</v>
      </c>
      <c r="AR254" t="s">
        <v>5326</v>
      </c>
      <c r="AS254" t="s">
        <v>5327</v>
      </c>
      <c r="AT254" t="s">
        <v>1270</v>
      </c>
      <c r="AU254">
        <v>2019</v>
      </c>
      <c r="AV254">
        <v>22</v>
      </c>
      <c r="AW254" t="s">
        <v>74</v>
      </c>
      <c r="AX254" t="s">
        <v>74</v>
      </c>
      <c r="AY254" t="s">
        <v>74</v>
      </c>
      <c r="AZ254" t="s">
        <v>74</v>
      </c>
      <c r="BA254" t="s">
        <v>74</v>
      </c>
      <c r="BB254" t="s">
        <v>74</v>
      </c>
      <c r="BC254" t="s">
        <v>74</v>
      </c>
      <c r="BD254">
        <v>100473</v>
      </c>
      <c r="BE254" t="s">
        <v>5400</v>
      </c>
      <c r="BF254" t="str">
        <f>HYPERLINK("http://dx.doi.org/10.1016/j.polar.2019.07.003","http://dx.doi.org/10.1016/j.polar.2019.07.003")</f>
        <v>http://dx.doi.org/10.1016/j.polar.2019.07.003</v>
      </c>
      <c r="BG254" t="s">
        <v>74</v>
      </c>
      <c r="BH254" t="s">
        <v>74</v>
      </c>
      <c r="BI254">
        <v>12</v>
      </c>
      <c r="BJ254" t="s">
        <v>159</v>
      </c>
      <c r="BK254" t="s">
        <v>294</v>
      </c>
      <c r="BL254" t="s">
        <v>161</v>
      </c>
      <c r="BM254" t="s">
        <v>5329</v>
      </c>
      <c r="BN254" t="s">
        <v>74</v>
      </c>
      <c r="BO254" t="s">
        <v>559</v>
      </c>
      <c r="BP254" t="s">
        <v>74</v>
      </c>
      <c r="BQ254" t="s">
        <v>74</v>
      </c>
      <c r="BR254" t="s">
        <v>108</v>
      </c>
      <c r="BS254" t="s">
        <v>5401</v>
      </c>
      <c r="BT254" t="str">
        <f>HYPERLINK("https%3A%2F%2Fwww.webofscience.com%2Fwos%2Fwoscc%2Ffull-record%2FWOS:000500519000011","View Full Record in Web of Science")</f>
        <v>View Full Record in Web of Science</v>
      </c>
    </row>
    <row r="255" spans="1:72" x14ac:dyDescent="0.15">
      <c r="A255" t="s">
        <v>133</v>
      </c>
      <c r="B255" t="s">
        <v>5402</v>
      </c>
      <c r="C255" t="s">
        <v>74</v>
      </c>
      <c r="D255" t="s">
        <v>74</v>
      </c>
      <c r="E255" t="s">
        <v>74</v>
      </c>
      <c r="F255" t="s">
        <v>5403</v>
      </c>
      <c r="G255" t="s">
        <v>74</v>
      </c>
      <c r="H255" t="s">
        <v>74</v>
      </c>
      <c r="I255" t="s">
        <v>5404</v>
      </c>
      <c r="J255" t="s">
        <v>5405</v>
      </c>
      <c r="K255" t="s">
        <v>74</v>
      </c>
      <c r="L255" t="s">
        <v>74</v>
      </c>
      <c r="M255" t="s">
        <v>80</v>
      </c>
      <c r="N255" t="s">
        <v>138</v>
      </c>
      <c r="O255" t="s">
        <v>74</v>
      </c>
      <c r="P255" t="s">
        <v>74</v>
      </c>
      <c r="Q255" t="s">
        <v>74</v>
      </c>
      <c r="R255" t="s">
        <v>74</v>
      </c>
      <c r="S255" t="s">
        <v>74</v>
      </c>
      <c r="T255" t="s">
        <v>5406</v>
      </c>
      <c r="U255" t="s">
        <v>5407</v>
      </c>
      <c r="V255" t="s">
        <v>5408</v>
      </c>
      <c r="W255" t="s">
        <v>5409</v>
      </c>
      <c r="X255" t="s">
        <v>5410</v>
      </c>
      <c r="Y255" t="s">
        <v>5411</v>
      </c>
      <c r="Z255" t="s">
        <v>5412</v>
      </c>
      <c r="AA255" t="s">
        <v>5413</v>
      </c>
      <c r="AB255" t="s">
        <v>5414</v>
      </c>
      <c r="AC255" t="s">
        <v>5415</v>
      </c>
      <c r="AD255" t="s">
        <v>5416</v>
      </c>
      <c r="AE255" t="s">
        <v>5417</v>
      </c>
      <c r="AF255" t="s">
        <v>74</v>
      </c>
      <c r="AG255">
        <v>44</v>
      </c>
      <c r="AH255">
        <v>12</v>
      </c>
      <c r="AI255">
        <v>12</v>
      </c>
      <c r="AJ255">
        <v>0</v>
      </c>
      <c r="AK255">
        <v>3</v>
      </c>
      <c r="AL255" t="s">
        <v>5418</v>
      </c>
      <c r="AM255" t="s">
        <v>5419</v>
      </c>
      <c r="AN255" t="s">
        <v>5420</v>
      </c>
      <c r="AO255" t="s">
        <v>5421</v>
      </c>
      <c r="AP255" t="s">
        <v>5422</v>
      </c>
      <c r="AQ255" t="s">
        <v>74</v>
      </c>
      <c r="AR255" t="s">
        <v>5423</v>
      </c>
      <c r="AS255" t="s">
        <v>5424</v>
      </c>
      <c r="AT255" t="s">
        <v>1270</v>
      </c>
      <c r="AU255">
        <v>2019</v>
      </c>
      <c r="AV255">
        <v>93</v>
      </c>
      <c r="AW255" t="s">
        <v>74</v>
      </c>
      <c r="AX255" t="s">
        <v>74</v>
      </c>
      <c r="AY255" t="s">
        <v>74</v>
      </c>
      <c r="AZ255" t="s">
        <v>74</v>
      </c>
      <c r="BA255" t="s">
        <v>74</v>
      </c>
      <c r="BB255" t="s">
        <v>74</v>
      </c>
      <c r="BC255" t="s">
        <v>74</v>
      </c>
      <c r="BD255">
        <v>103336</v>
      </c>
      <c r="BE255" t="s">
        <v>5425</v>
      </c>
      <c r="BF255" t="str">
        <f>HYPERLINK("http://dx.doi.org/10.1016/j.bioorg.2019.103336","http://dx.doi.org/10.1016/j.bioorg.2019.103336")</f>
        <v>http://dx.doi.org/10.1016/j.bioorg.2019.103336</v>
      </c>
      <c r="BG255" t="s">
        <v>74</v>
      </c>
      <c r="BH255" t="s">
        <v>74</v>
      </c>
      <c r="BI255">
        <v>6</v>
      </c>
      <c r="BJ255" t="s">
        <v>5426</v>
      </c>
      <c r="BK255" t="s">
        <v>294</v>
      </c>
      <c r="BL255" t="s">
        <v>5427</v>
      </c>
      <c r="BM255" t="s">
        <v>5428</v>
      </c>
      <c r="BN255">
        <v>31604186</v>
      </c>
      <c r="BO255" t="s">
        <v>74</v>
      </c>
      <c r="BP255" t="s">
        <v>74</v>
      </c>
      <c r="BQ255" t="s">
        <v>74</v>
      </c>
      <c r="BR255" t="s">
        <v>108</v>
      </c>
      <c r="BS255" t="s">
        <v>5429</v>
      </c>
      <c r="BT255" t="str">
        <f>HYPERLINK("https%3A%2F%2Fwww.webofscience.com%2Fwos%2Fwoscc%2Ffull-record%2FWOS:000499717000057","View Full Record in Web of Science")</f>
        <v>View Full Record in Web of Science</v>
      </c>
    </row>
    <row r="256" spans="1:72" x14ac:dyDescent="0.15">
      <c r="A256" t="s">
        <v>133</v>
      </c>
      <c r="B256" t="s">
        <v>5430</v>
      </c>
      <c r="C256" t="s">
        <v>74</v>
      </c>
      <c r="D256" t="s">
        <v>74</v>
      </c>
      <c r="E256" t="s">
        <v>74</v>
      </c>
      <c r="F256" t="s">
        <v>5431</v>
      </c>
      <c r="G256" t="s">
        <v>74</v>
      </c>
      <c r="H256" t="s">
        <v>74</v>
      </c>
      <c r="I256" t="s">
        <v>5432</v>
      </c>
      <c r="J256" t="s">
        <v>5433</v>
      </c>
      <c r="K256" t="s">
        <v>74</v>
      </c>
      <c r="L256" t="s">
        <v>74</v>
      </c>
      <c r="M256" t="s">
        <v>80</v>
      </c>
      <c r="N256" t="s">
        <v>138</v>
      </c>
      <c r="O256" t="s">
        <v>74</v>
      </c>
      <c r="P256" t="s">
        <v>74</v>
      </c>
      <c r="Q256" t="s">
        <v>74</v>
      </c>
      <c r="R256" t="s">
        <v>74</v>
      </c>
      <c r="S256" t="s">
        <v>74</v>
      </c>
      <c r="T256" t="s">
        <v>5434</v>
      </c>
      <c r="U256" t="s">
        <v>5435</v>
      </c>
      <c r="V256" t="s">
        <v>5436</v>
      </c>
      <c r="W256" t="s">
        <v>5437</v>
      </c>
      <c r="X256" t="s">
        <v>5438</v>
      </c>
      <c r="Y256" t="s">
        <v>5439</v>
      </c>
      <c r="Z256" t="s">
        <v>5440</v>
      </c>
      <c r="AA256" t="s">
        <v>5441</v>
      </c>
      <c r="AB256" t="s">
        <v>5442</v>
      </c>
      <c r="AC256" t="s">
        <v>5443</v>
      </c>
      <c r="AD256" t="s">
        <v>5444</v>
      </c>
      <c r="AE256" t="s">
        <v>5445</v>
      </c>
      <c r="AF256" t="s">
        <v>74</v>
      </c>
      <c r="AG256">
        <v>72</v>
      </c>
      <c r="AH256">
        <v>26</v>
      </c>
      <c r="AI256">
        <v>26</v>
      </c>
      <c r="AJ256">
        <v>7</v>
      </c>
      <c r="AK256">
        <v>57</v>
      </c>
      <c r="AL256" t="s">
        <v>709</v>
      </c>
      <c r="AM256" t="s">
        <v>380</v>
      </c>
      <c r="AN256" t="s">
        <v>710</v>
      </c>
      <c r="AO256" t="s">
        <v>5446</v>
      </c>
      <c r="AP256" t="s">
        <v>5447</v>
      </c>
      <c r="AQ256" t="s">
        <v>74</v>
      </c>
      <c r="AR256" t="s">
        <v>5448</v>
      </c>
      <c r="AS256" t="s">
        <v>5449</v>
      </c>
      <c r="AT256" t="s">
        <v>1270</v>
      </c>
      <c r="AU256">
        <v>2019</v>
      </c>
      <c r="AV256">
        <v>255</v>
      </c>
      <c r="AW256" t="s">
        <v>74</v>
      </c>
      <c r="AX256">
        <v>1</v>
      </c>
      <c r="AY256" t="s">
        <v>74</v>
      </c>
      <c r="AZ256" t="s">
        <v>74</v>
      </c>
      <c r="BA256" t="s">
        <v>74</v>
      </c>
      <c r="BB256" t="s">
        <v>74</v>
      </c>
      <c r="BC256" t="s">
        <v>74</v>
      </c>
      <c r="BD256">
        <v>113239</v>
      </c>
      <c r="BE256" t="s">
        <v>5450</v>
      </c>
      <c r="BF256" t="str">
        <f>HYPERLINK("http://dx.doi.org/10.1016/j.envpol.2019.113239","http://dx.doi.org/10.1016/j.envpol.2019.113239")</f>
        <v>http://dx.doi.org/10.1016/j.envpol.2019.113239</v>
      </c>
      <c r="BG256" t="s">
        <v>74</v>
      </c>
      <c r="BH256" t="s">
        <v>74</v>
      </c>
      <c r="BI256">
        <v>12</v>
      </c>
      <c r="BJ256" t="s">
        <v>387</v>
      </c>
      <c r="BK256" t="s">
        <v>294</v>
      </c>
      <c r="BL256" t="s">
        <v>388</v>
      </c>
      <c r="BM256" t="s">
        <v>5451</v>
      </c>
      <c r="BN256">
        <v>31542666</v>
      </c>
      <c r="BO256" t="s">
        <v>74</v>
      </c>
      <c r="BP256" t="s">
        <v>74</v>
      </c>
      <c r="BQ256" t="s">
        <v>74</v>
      </c>
      <c r="BR256" t="s">
        <v>108</v>
      </c>
      <c r="BS256" t="s">
        <v>5452</v>
      </c>
      <c r="BT256" t="str">
        <f>HYPERLINK("https%3A%2F%2Fwww.webofscience.com%2Fwos%2Fwoscc%2Ffull-record%2FWOS:000499733500086","View Full Record in Web of Science")</f>
        <v>View Full Record in Web of Science</v>
      </c>
    </row>
    <row r="257" spans="1:72" x14ac:dyDescent="0.15">
      <c r="A257" t="s">
        <v>133</v>
      </c>
      <c r="B257" t="s">
        <v>5453</v>
      </c>
      <c r="C257" t="s">
        <v>74</v>
      </c>
      <c r="D257" t="s">
        <v>74</v>
      </c>
      <c r="E257" t="s">
        <v>74</v>
      </c>
      <c r="F257" t="s">
        <v>5454</v>
      </c>
      <c r="G257" t="s">
        <v>74</v>
      </c>
      <c r="H257" t="s">
        <v>74</v>
      </c>
      <c r="I257" t="s">
        <v>5455</v>
      </c>
      <c r="J257" t="s">
        <v>5433</v>
      </c>
      <c r="K257" t="s">
        <v>74</v>
      </c>
      <c r="L257" t="s">
        <v>74</v>
      </c>
      <c r="M257" t="s">
        <v>80</v>
      </c>
      <c r="N257" t="s">
        <v>138</v>
      </c>
      <c r="O257" t="s">
        <v>74</v>
      </c>
      <c r="P257" t="s">
        <v>74</v>
      </c>
      <c r="Q257" t="s">
        <v>74</v>
      </c>
      <c r="R257" t="s">
        <v>74</v>
      </c>
      <c r="S257" t="s">
        <v>74</v>
      </c>
      <c r="T257" t="s">
        <v>5456</v>
      </c>
      <c r="U257" t="s">
        <v>5457</v>
      </c>
      <c r="V257" t="s">
        <v>5458</v>
      </c>
      <c r="W257" t="s">
        <v>5459</v>
      </c>
      <c r="X257" t="s">
        <v>5460</v>
      </c>
      <c r="Y257" t="s">
        <v>5461</v>
      </c>
      <c r="Z257" t="s">
        <v>5462</v>
      </c>
      <c r="AA257" t="s">
        <v>74</v>
      </c>
      <c r="AB257" t="s">
        <v>5463</v>
      </c>
      <c r="AC257" t="s">
        <v>5464</v>
      </c>
      <c r="AD257" t="s">
        <v>5464</v>
      </c>
      <c r="AE257" t="s">
        <v>5465</v>
      </c>
      <c r="AF257" t="s">
        <v>74</v>
      </c>
      <c r="AG257">
        <v>53</v>
      </c>
      <c r="AH257">
        <v>5</v>
      </c>
      <c r="AI257">
        <v>7</v>
      </c>
      <c r="AJ257">
        <v>2</v>
      </c>
      <c r="AK257">
        <v>22</v>
      </c>
      <c r="AL257" t="s">
        <v>709</v>
      </c>
      <c r="AM257" t="s">
        <v>380</v>
      </c>
      <c r="AN257" t="s">
        <v>710</v>
      </c>
      <c r="AO257" t="s">
        <v>5446</v>
      </c>
      <c r="AP257" t="s">
        <v>5447</v>
      </c>
      <c r="AQ257" t="s">
        <v>74</v>
      </c>
      <c r="AR257" t="s">
        <v>5448</v>
      </c>
      <c r="AS257" t="s">
        <v>5449</v>
      </c>
      <c r="AT257" t="s">
        <v>1270</v>
      </c>
      <c r="AU257">
        <v>2019</v>
      </c>
      <c r="AV257">
        <v>255</v>
      </c>
      <c r="AW257" t="s">
        <v>74</v>
      </c>
      <c r="AX257">
        <v>1</v>
      </c>
      <c r="AY257" t="s">
        <v>74</v>
      </c>
      <c r="AZ257" t="s">
        <v>74</v>
      </c>
      <c r="BA257" t="s">
        <v>74</v>
      </c>
      <c r="BB257" t="s">
        <v>74</v>
      </c>
      <c r="BC257" t="s">
        <v>74</v>
      </c>
      <c r="BD257">
        <v>113126</v>
      </c>
      <c r="BE257" t="s">
        <v>5466</v>
      </c>
      <c r="BF257" t="str">
        <f>HYPERLINK("http://dx.doi.org/10.1016/j.envpol.2019.113126","http://dx.doi.org/10.1016/j.envpol.2019.113126")</f>
        <v>http://dx.doi.org/10.1016/j.envpol.2019.113126</v>
      </c>
      <c r="BG257" t="s">
        <v>74</v>
      </c>
      <c r="BH257" t="s">
        <v>74</v>
      </c>
      <c r="BI257">
        <v>9</v>
      </c>
      <c r="BJ257" t="s">
        <v>387</v>
      </c>
      <c r="BK257" t="s">
        <v>294</v>
      </c>
      <c r="BL257" t="s">
        <v>388</v>
      </c>
      <c r="BM257" t="s">
        <v>5451</v>
      </c>
      <c r="BN257">
        <v>31542663</v>
      </c>
      <c r="BO257" t="s">
        <v>74</v>
      </c>
      <c r="BP257" t="s">
        <v>74</v>
      </c>
      <c r="BQ257" t="s">
        <v>74</v>
      </c>
      <c r="BR257" t="s">
        <v>108</v>
      </c>
      <c r="BS257" t="s">
        <v>5467</v>
      </c>
      <c r="BT257" t="str">
        <f>HYPERLINK("https%3A%2F%2Fwww.webofscience.com%2Fwos%2Fwoscc%2Ffull-record%2FWOS:000499733500090","View Full Record in Web of Science")</f>
        <v>View Full Record in Web of Science</v>
      </c>
    </row>
    <row r="258" spans="1:72" x14ac:dyDescent="0.15">
      <c r="A258" t="s">
        <v>133</v>
      </c>
      <c r="B258" t="s">
        <v>5468</v>
      </c>
      <c r="C258" t="s">
        <v>74</v>
      </c>
      <c r="D258" t="s">
        <v>74</v>
      </c>
      <c r="E258" t="s">
        <v>74</v>
      </c>
      <c r="F258" t="s">
        <v>5469</v>
      </c>
      <c r="G258" t="s">
        <v>74</v>
      </c>
      <c r="H258" t="s">
        <v>74</v>
      </c>
      <c r="I258" t="s">
        <v>5470</v>
      </c>
      <c r="J258" t="s">
        <v>5433</v>
      </c>
      <c r="K258" t="s">
        <v>74</v>
      </c>
      <c r="L258" t="s">
        <v>74</v>
      </c>
      <c r="M258" t="s">
        <v>80</v>
      </c>
      <c r="N258" t="s">
        <v>138</v>
      </c>
      <c r="O258" t="s">
        <v>74</v>
      </c>
      <c r="P258" t="s">
        <v>74</v>
      </c>
      <c r="Q258" t="s">
        <v>74</v>
      </c>
      <c r="R258" t="s">
        <v>74</v>
      </c>
      <c r="S258" t="s">
        <v>74</v>
      </c>
      <c r="T258" t="s">
        <v>5471</v>
      </c>
      <c r="U258" t="s">
        <v>5472</v>
      </c>
      <c r="V258" t="s">
        <v>5473</v>
      </c>
      <c r="W258" t="s">
        <v>5474</v>
      </c>
      <c r="X258" t="s">
        <v>5475</v>
      </c>
      <c r="Y258" t="s">
        <v>5476</v>
      </c>
      <c r="Z258" t="s">
        <v>5477</v>
      </c>
      <c r="AA258" t="s">
        <v>5478</v>
      </c>
      <c r="AB258" t="s">
        <v>5479</v>
      </c>
      <c r="AC258" t="s">
        <v>5480</v>
      </c>
      <c r="AD258" t="s">
        <v>5480</v>
      </c>
      <c r="AE258" t="s">
        <v>5481</v>
      </c>
      <c r="AF258" t="s">
        <v>74</v>
      </c>
      <c r="AG258">
        <v>78</v>
      </c>
      <c r="AH258">
        <v>29</v>
      </c>
      <c r="AI258">
        <v>29</v>
      </c>
      <c r="AJ258">
        <v>1</v>
      </c>
      <c r="AK258">
        <v>25</v>
      </c>
      <c r="AL258" t="s">
        <v>709</v>
      </c>
      <c r="AM258" t="s">
        <v>380</v>
      </c>
      <c r="AN258" t="s">
        <v>710</v>
      </c>
      <c r="AO258" t="s">
        <v>5446</v>
      </c>
      <c r="AP258" t="s">
        <v>5447</v>
      </c>
      <c r="AQ258" t="s">
        <v>74</v>
      </c>
      <c r="AR258" t="s">
        <v>5448</v>
      </c>
      <c r="AS258" t="s">
        <v>5449</v>
      </c>
      <c r="AT258" t="s">
        <v>1270</v>
      </c>
      <c r="AU258">
        <v>2019</v>
      </c>
      <c r="AV258">
        <v>255</v>
      </c>
      <c r="AW258" t="s">
        <v>74</v>
      </c>
      <c r="AX258">
        <v>1</v>
      </c>
      <c r="AY258" t="s">
        <v>74</v>
      </c>
      <c r="AZ258" t="s">
        <v>74</v>
      </c>
      <c r="BA258" t="s">
        <v>74</v>
      </c>
      <c r="BB258" t="s">
        <v>74</v>
      </c>
      <c r="BC258" t="s">
        <v>74</v>
      </c>
      <c r="BD258">
        <v>113152</v>
      </c>
      <c r="BE258" t="s">
        <v>5482</v>
      </c>
      <c r="BF258" t="str">
        <f>HYPERLINK("http://dx.doi.org/10.1016/j.envpol.2019.113152","http://dx.doi.org/10.1016/j.envpol.2019.113152")</f>
        <v>http://dx.doi.org/10.1016/j.envpol.2019.113152</v>
      </c>
      <c r="BG258" t="s">
        <v>74</v>
      </c>
      <c r="BH258" t="s">
        <v>74</v>
      </c>
      <c r="BI258">
        <v>10</v>
      </c>
      <c r="BJ258" t="s">
        <v>387</v>
      </c>
      <c r="BK258" t="s">
        <v>294</v>
      </c>
      <c r="BL258" t="s">
        <v>388</v>
      </c>
      <c r="BM258" t="s">
        <v>5451</v>
      </c>
      <c r="BN258">
        <v>31521999</v>
      </c>
      <c r="BO258" t="s">
        <v>638</v>
      </c>
      <c r="BP258" t="s">
        <v>74</v>
      </c>
      <c r="BQ258" t="s">
        <v>74</v>
      </c>
      <c r="BR258" t="s">
        <v>108</v>
      </c>
      <c r="BS258" t="s">
        <v>5483</v>
      </c>
      <c r="BT258" t="str">
        <f>HYPERLINK("https%3A%2F%2Fwww.webofscience.com%2Fwos%2Fwoscc%2Ffull-record%2FWOS:000499733500028","View Full Record in Web of Science")</f>
        <v>View Full Record in Web of Science</v>
      </c>
    </row>
    <row r="259" spans="1:72" x14ac:dyDescent="0.15">
      <c r="A259" t="s">
        <v>133</v>
      </c>
      <c r="B259" t="s">
        <v>5484</v>
      </c>
      <c r="C259" t="s">
        <v>74</v>
      </c>
      <c r="D259" t="s">
        <v>74</v>
      </c>
      <c r="E259" t="s">
        <v>74</v>
      </c>
      <c r="F259" t="s">
        <v>5485</v>
      </c>
      <c r="G259" t="s">
        <v>74</v>
      </c>
      <c r="H259" t="s">
        <v>74</v>
      </c>
      <c r="I259" t="s">
        <v>5486</v>
      </c>
      <c r="J259" t="s">
        <v>3507</v>
      </c>
      <c r="K259" t="s">
        <v>74</v>
      </c>
      <c r="L259" t="s">
        <v>74</v>
      </c>
      <c r="M259" t="s">
        <v>80</v>
      </c>
      <c r="N259" t="s">
        <v>138</v>
      </c>
      <c r="O259" t="s">
        <v>74</v>
      </c>
      <c r="P259" t="s">
        <v>74</v>
      </c>
      <c r="Q259" t="s">
        <v>74</v>
      </c>
      <c r="R259" t="s">
        <v>74</v>
      </c>
      <c r="S259" t="s">
        <v>74</v>
      </c>
      <c r="T259" t="s">
        <v>5487</v>
      </c>
      <c r="U259" t="s">
        <v>5488</v>
      </c>
      <c r="V259" t="s">
        <v>5489</v>
      </c>
      <c r="W259" t="s">
        <v>5490</v>
      </c>
      <c r="X259" t="s">
        <v>5491</v>
      </c>
      <c r="Y259" t="s">
        <v>5492</v>
      </c>
      <c r="Z259" t="s">
        <v>5493</v>
      </c>
      <c r="AA259" t="s">
        <v>5494</v>
      </c>
      <c r="AB259" t="s">
        <v>5495</v>
      </c>
      <c r="AC259" t="s">
        <v>74</v>
      </c>
      <c r="AD259" t="s">
        <v>74</v>
      </c>
      <c r="AE259" t="s">
        <v>74</v>
      </c>
      <c r="AF259" t="s">
        <v>74</v>
      </c>
      <c r="AG259">
        <v>58</v>
      </c>
      <c r="AH259">
        <v>11</v>
      </c>
      <c r="AI259">
        <v>12</v>
      </c>
      <c r="AJ259">
        <v>2</v>
      </c>
      <c r="AK259">
        <v>14</v>
      </c>
      <c r="AL259" t="s">
        <v>1964</v>
      </c>
      <c r="AM259" t="s">
        <v>1965</v>
      </c>
      <c r="AN259" t="s">
        <v>1966</v>
      </c>
      <c r="AO259" t="s">
        <v>3519</v>
      </c>
      <c r="AP259" t="s">
        <v>3520</v>
      </c>
      <c r="AQ259" t="s">
        <v>74</v>
      </c>
      <c r="AR259" t="s">
        <v>3521</v>
      </c>
      <c r="AS259" t="s">
        <v>3522</v>
      </c>
      <c r="AT259" t="s">
        <v>1270</v>
      </c>
      <c r="AU259">
        <v>2019</v>
      </c>
      <c r="AV259">
        <v>42</v>
      </c>
      <c r="AW259">
        <v>12</v>
      </c>
      <c r="AX259" t="s">
        <v>74</v>
      </c>
      <c r="AY259" t="s">
        <v>74</v>
      </c>
      <c r="AZ259" t="s">
        <v>74</v>
      </c>
      <c r="BA259" t="s">
        <v>74</v>
      </c>
      <c r="BB259">
        <v>2177</v>
      </c>
      <c r="BC259">
        <v>2191</v>
      </c>
      <c r="BD259" t="s">
        <v>74</v>
      </c>
      <c r="BE259" t="s">
        <v>5496</v>
      </c>
      <c r="BF259" t="str">
        <f>HYPERLINK("http://dx.doi.org/10.1007/s00300-019-02590-5","http://dx.doi.org/10.1007/s00300-019-02590-5")</f>
        <v>http://dx.doi.org/10.1007/s00300-019-02590-5</v>
      </c>
      <c r="BG259" t="s">
        <v>74</v>
      </c>
      <c r="BH259" t="s">
        <v>74</v>
      </c>
      <c r="BI259">
        <v>15</v>
      </c>
      <c r="BJ259" t="s">
        <v>3524</v>
      </c>
      <c r="BK259" t="s">
        <v>294</v>
      </c>
      <c r="BL259" t="s">
        <v>295</v>
      </c>
      <c r="BM259" t="s">
        <v>5497</v>
      </c>
      <c r="BN259" t="s">
        <v>74</v>
      </c>
      <c r="BO259" t="s">
        <v>1482</v>
      </c>
      <c r="BP259" t="s">
        <v>74</v>
      </c>
      <c r="BQ259" t="s">
        <v>74</v>
      </c>
      <c r="BR259" t="s">
        <v>108</v>
      </c>
      <c r="BS259" t="s">
        <v>5498</v>
      </c>
      <c r="BT259" t="str">
        <f>HYPERLINK("https%3A%2F%2Fwww.webofscience.com%2Fwos%2Fwoscc%2Ffull-record%2FWOS:000500079300001","View Full Record in Web of Science")</f>
        <v>View Full Record in Web of Science</v>
      </c>
    </row>
    <row r="260" spans="1:72" x14ac:dyDescent="0.15">
      <c r="A260" t="s">
        <v>133</v>
      </c>
      <c r="B260" t="s">
        <v>5499</v>
      </c>
      <c r="C260" t="s">
        <v>74</v>
      </c>
      <c r="D260" t="s">
        <v>74</v>
      </c>
      <c r="E260" t="s">
        <v>74</v>
      </c>
      <c r="F260" t="s">
        <v>5500</v>
      </c>
      <c r="G260" t="s">
        <v>74</v>
      </c>
      <c r="H260" t="s">
        <v>74</v>
      </c>
      <c r="I260" t="s">
        <v>5501</v>
      </c>
      <c r="J260" t="s">
        <v>3507</v>
      </c>
      <c r="K260" t="s">
        <v>74</v>
      </c>
      <c r="L260" t="s">
        <v>74</v>
      </c>
      <c r="M260" t="s">
        <v>80</v>
      </c>
      <c r="N260" t="s">
        <v>138</v>
      </c>
      <c r="O260" t="s">
        <v>74</v>
      </c>
      <c r="P260" t="s">
        <v>74</v>
      </c>
      <c r="Q260" t="s">
        <v>74</v>
      </c>
      <c r="R260" t="s">
        <v>74</v>
      </c>
      <c r="S260" t="s">
        <v>74</v>
      </c>
      <c r="T260" t="s">
        <v>5502</v>
      </c>
      <c r="U260" t="s">
        <v>5503</v>
      </c>
      <c r="V260" t="s">
        <v>5504</v>
      </c>
      <c r="W260" t="s">
        <v>5505</v>
      </c>
      <c r="X260" t="s">
        <v>5506</v>
      </c>
      <c r="Y260" t="s">
        <v>5507</v>
      </c>
      <c r="Z260" t="s">
        <v>5508</v>
      </c>
      <c r="AA260" t="s">
        <v>5509</v>
      </c>
      <c r="AB260" t="s">
        <v>5510</v>
      </c>
      <c r="AC260" t="s">
        <v>74</v>
      </c>
      <c r="AD260" t="s">
        <v>74</v>
      </c>
      <c r="AE260" t="s">
        <v>74</v>
      </c>
      <c r="AF260" t="s">
        <v>74</v>
      </c>
      <c r="AG260">
        <v>51</v>
      </c>
      <c r="AH260">
        <v>1</v>
      </c>
      <c r="AI260">
        <v>1</v>
      </c>
      <c r="AJ260">
        <v>0</v>
      </c>
      <c r="AK260">
        <v>17</v>
      </c>
      <c r="AL260" t="s">
        <v>1964</v>
      </c>
      <c r="AM260" t="s">
        <v>1965</v>
      </c>
      <c r="AN260" t="s">
        <v>1966</v>
      </c>
      <c r="AO260" t="s">
        <v>3519</v>
      </c>
      <c r="AP260" t="s">
        <v>3520</v>
      </c>
      <c r="AQ260" t="s">
        <v>74</v>
      </c>
      <c r="AR260" t="s">
        <v>3521</v>
      </c>
      <c r="AS260" t="s">
        <v>3522</v>
      </c>
      <c r="AT260" t="s">
        <v>1270</v>
      </c>
      <c r="AU260">
        <v>2019</v>
      </c>
      <c r="AV260">
        <v>42</v>
      </c>
      <c r="AW260">
        <v>12</v>
      </c>
      <c r="AX260" t="s">
        <v>74</v>
      </c>
      <c r="AY260" t="s">
        <v>74</v>
      </c>
      <c r="AZ260" t="s">
        <v>74</v>
      </c>
      <c r="BA260" t="s">
        <v>74</v>
      </c>
      <c r="BB260">
        <v>2193</v>
      </c>
      <c r="BC260">
        <v>2203</v>
      </c>
      <c r="BD260" t="s">
        <v>74</v>
      </c>
      <c r="BE260" t="s">
        <v>5511</v>
      </c>
      <c r="BF260" t="str">
        <f>HYPERLINK("http://dx.doi.org/10.1007/s00300-019-02591-4","http://dx.doi.org/10.1007/s00300-019-02591-4")</f>
        <v>http://dx.doi.org/10.1007/s00300-019-02591-4</v>
      </c>
      <c r="BG260" t="s">
        <v>74</v>
      </c>
      <c r="BH260" t="s">
        <v>74</v>
      </c>
      <c r="BI260">
        <v>11</v>
      </c>
      <c r="BJ260" t="s">
        <v>3524</v>
      </c>
      <c r="BK260" t="s">
        <v>294</v>
      </c>
      <c r="BL260" t="s">
        <v>295</v>
      </c>
      <c r="BM260" t="s">
        <v>5497</v>
      </c>
      <c r="BN260" t="s">
        <v>74</v>
      </c>
      <c r="BO260" t="s">
        <v>74</v>
      </c>
      <c r="BP260" t="s">
        <v>74</v>
      </c>
      <c r="BQ260" t="s">
        <v>74</v>
      </c>
      <c r="BR260" t="s">
        <v>108</v>
      </c>
      <c r="BS260" t="s">
        <v>5512</v>
      </c>
      <c r="BT260" t="str">
        <f>HYPERLINK("https%3A%2F%2Fwww.webofscience.com%2Fwos%2Fwoscc%2Ffull-record%2FWOS:000500079300002","View Full Record in Web of Science")</f>
        <v>View Full Record in Web of Science</v>
      </c>
    </row>
    <row r="261" spans="1:72" x14ac:dyDescent="0.15">
      <c r="A261" t="s">
        <v>133</v>
      </c>
      <c r="B261" t="s">
        <v>5513</v>
      </c>
      <c r="C261" t="s">
        <v>74</v>
      </c>
      <c r="D261" t="s">
        <v>74</v>
      </c>
      <c r="E261" t="s">
        <v>74</v>
      </c>
      <c r="F261" t="s">
        <v>5514</v>
      </c>
      <c r="G261" t="s">
        <v>74</v>
      </c>
      <c r="H261" t="s">
        <v>74</v>
      </c>
      <c r="I261" t="s">
        <v>5515</v>
      </c>
      <c r="J261" t="s">
        <v>3507</v>
      </c>
      <c r="K261" t="s">
        <v>74</v>
      </c>
      <c r="L261" t="s">
        <v>74</v>
      </c>
      <c r="M261" t="s">
        <v>80</v>
      </c>
      <c r="N261" t="s">
        <v>138</v>
      </c>
      <c r="O261" t="s">
        <v>74</v>
      </c>
      <c r="P261" t="s">
        <v>74</v>
      </c>
      <c r="Q261" t="s">
        <v>74</v>
      </c>
      <c r="R261" t="s">
        <v>74</v>
      </c>
      <c r="S261" t="s">
        <v>74</v>
      </c>
      <c r="T261" t="s">
        <v>74</v>
      </c>
      <c r="U261" t="s">
        <v>5516</v>
      </c>
      <c r="V261" t="s">
        <v>5517</v>
      </c>
      <c r="W261" t="s">
        <v>5518</v>
      </c>
      <c r="X261" t="s">
        <v>5519</v>
      </c>
      <c r="Y261" t="s">
        <v>5520</v>
      </c>
      <c r="Z261" t="s">
        <v>5521</v>
      </c>
      <c r="AA261" t="s">
        <v>5522</v>
      </c>
      <c r="AB261" t="s">
        <v>5523</v>
      </c>
      <c r="AC261" t="s">
        <v>74</v>
      </c>
      <c r="AD261" t="s">
        <v>74</v>
      </c>
      <c r="AE261" t="s">
        <v>74</v>
      </c>
      <c r="AF261" t="s">
        <v>74</v>
      </c>
      <c r="AG261">
        <v>37</v>
      </c>
      <c r="AH261">
        <v>1</v>
      </c>
      <c r="AI261">
        <v>1</v>
      </c>
      <c r="AJ261">
        <v>0</v>
      </c>
      <c r="AK261">
        <v>18</v>
      </c>
      <c r="AL261" t="s">
        <v>1964</v>
      </c>
      <c r="AM261" t="s">
        <v>1965</v>
      </c>
      <c r="AN261" t="s">
        <v>3452</v>
      </c>
      <c r="AO261" t="s">
        <v>3519</v>
      </c>
      <c r="AP261" t="s">
        <v>3520</v>
      </c>
      <c r="AQ261" t="s">
        <v>74</v>
      </c>
      <c r="AR261" t="s">
        <v>3521</v>
      </c>
      <c r="AS261" t="s">
        <v>3522</v>
      </c>
      <c r="AT261" t="s">
        <v>1270</v>
      </c>
      <c r="AU261">
        <v>2019</v>
      </c>
      <c r="AV261">
        <v>42</v>
      </c>
      <c r="AW261">
        <v>12</v>
      </c>
      <c r="AX261" t="s">
        <v>74</v>
      </c>
      <c r="AY261" t="s">
        <v>74</v>
      </c>
      <c r="AZ261" t="s">
        <v>74</v>
      </c>
      <c r="BA261" t="s">
        <v>74</v>
      </c>
      <c r="BB261">
        <v>2237</v>
      </c>
      <c r="BC261">
        <v>2247</v>
      </c>
      <c r="BD261" t="s">
        <v>74</v>
      </c>
      <c r="BE261" t="s">
        <v>5524</v>
      </c>
      <c r="BF261" t="str">
        <f>HYPERLINK("http://dx.doi.org/10.1007/s00300-019-02602-4","http://dx.doi.org/10.1007/s00300-019-02602-4")</f>
        <v>http://dx.doi.org/10.1007/s00300-019-02602-4</v>
      </c>
      <c r="BG261" t="s">
        <v>74</v>
      </c>
      <c r="BH261" t="s">
        <v>74</v>
      </c>
      <c r="BI261">
        <v>11</v>
      </c>
      <c r="BJ261" t="s">
        <v>3524</v>
      </c>
      <c r="BK261" t="s">
        <v>294</v>
      </c>
      <c r="BL261" t="s">
        <v>295</v>
      </c>
      <c r="BM261" t="s">
        <v>5497</v>
      </c>
      <c r="BN261" t="s">
        <v>74</v>
      </c>
      <c r="BO261" t="s">
        <v>74</v>
      </c>
      <c r="BP261" t="s">
        <v>74</v>
      </c>
      <c r="BQ261" t="s">
        <v>74</v>
      </c>
      <c r="BR261" t="s">
        <v>108</v>
      </c>
      <c r="BS261" t="s">
        <v>5525</v>
      </c>
      <c r="BT261" t="str">
        <f>HYPERLINK("https%3A%2F%2Fwww.webofscience.com%2Fwos%2Fwoscc%2Ffull-record%2FWOS:000500079300006","View Full Record in Web of Science")</f>
        <v>View Full Record in Web of Science</v>
      </c>
    </row>
    <row r="262" spans="1:72" x14ac:dyDescent="0.15">
      <c r="A262" t="s">
        <v>133</v>
      </c>
      <c r="B262" t="s">
        <v>5526</v>
      </c>
      <c r="C262" t="s">
        <v>74</v>
      </c>
      <c r="D262" t="s">
        <v>74</v>
      </c>
      <c r="E262" t="s">
        <v>74</v>
      </c>
      <c r="F262" t="s">
        <v>5527</v>
      </c>
      <c r="G262" t="s">
        <v>74</v>
      </c>
      <c r="H262" t="s">
        <v>74</v>
      </c>
      <c r="I262" t="s">
        <v>5528</v>
      </c>
      <c r="J262" t="s">
        <v>3507</v>
      </c>
      <c r="K262" t="s">
        <v>74</v>
      </c>
      <c r="L262" t="s">
        <v>74</v>
      </c>
      <c r="M262" t="s">
        <v>80</v>
      </c>
      <c r="N262" t="s">
        <v>138</v>
      </c>
      <c r="O262" t="s">
        <v>74</v>
      </c>
      <c r="P262" t="s">
        <v>74</v>
      </c>
      <c r="Q262" t="s">
        <v>74</v>
      </c>
      <c r="R262" t="s">
        <v>74</v>
      </c>
      <c r="S262" t="s">
        <v>74</v>
      </c>
      <c r="T262" t="s">
        <v>5529</v>
      </c>
      <c r="U262" t="s">
        <v>5530</v>
      </c>
      <c r="V262" t="s">
        <v>5531</v>
      </c>
      <c r="W262" t="s">
        <v>5532</v>
      </c>
      <c r="X262" t="s">
        <v>5533</v>
      </c>
      <c r="Y262" t="s">
        <v>5534</v>
      </c>
      <c r="Z262" t="s">
        <v>5535</v>
      </c>
      <c r="AA262" t="s">
        <v>5536</v>
      </c>
      <c r="AB262" t="s">
        <v>5537</v>
      </c>
      <c r="AC262" t="s">
        <v>74</v>
      </c>
      <c r="AD262" t="s">
        <v>74</v>
      </c>
      <c r="AE262" t="s">
        <v>74</v>
      </c>
      <c r="AF262" t="s">
        <v>74</v>
      </c>
      <c r="AG262">
        <v>47</v>
      </c>
      <c r="AH262">
        <v>7</v>
      </c>
      <c r="AI262">
        <v>7</v>
      </c>
      <c r="AJ262">
        <v>3</v>
      </c>
      <c r="AK262">
        <v>16</v>
      </c>
      <c r="AL262" t="s">
        <v>1964</v>
      </c>
      <c r="AM262" t="s">
        <v>1965</v>
      </c>
      <c r="AN262" t="s">
        <v>3452</v>
      </c>
      <c r="AO262" t="s">
        <v>3519</v>
      </c>
      <c r="AP262" t="s">
        <v>3520</v>
      </c>
      <c r="AQ262" t="s">
        <v>74</v>
      </c>
      <c r="AR262" t="s">
        <v>3521</v>
      </c>
      <c r="AS262" t="s">
        <v>3522</v>
      </c>
      <c r="AT262" t="s">
        <v>1270</v>
      </c>
      <c r="AU262">
        <v>2019</v>
      </c>
      <c r="AV262">
        <v>42</v>
      </c>
      <c r="AW262">
        <v>12</v>
      </c>
      <c r="AX262" t="s">
        <v>74</v>
      </c>
      <c r="AY262" t="s">
        <v>74</v>
      </c>
      <c r="AZ262" t="s">
        <v>74</v>
      </c>
      <c r="BA262" t="s">
        <v>74</v>
      </c>
      <c r="BB262">
        <v>2249</v>
      </c>
      <c r="BC262">
        <v>2258</v>
      </c>
      <c r="BD262" t="s">
        <v>74</v>
      </c>
      <c r="BE262" t="s">
        <v>5538</v>
      </c>
      <c r="BF262" t="str">
        <f>HYPERLINK("http://dx.doi.org/10.1007/s00300-019-02603-3","http://dx.doi.org/10.1007/s00300-019-02603-3")</f>
        <v>http://dx.doi.org/10.1007/s00300-019-02603-3</v>
      </c>
      <c r="BG262" t="s">
        <v>74</v>
      </c>
      <c r="BH262" t="s">
        <v>74</v>
      </c>
      <c r="BI262">
        <v>10</v>
      </c>
      <c r="BJ262" t="s">
        <v>3524</v>
      </c>
      <c r="BK262" t="s">
        <v>294</v>
      </c>
      <c r="BL262" t="s">
        <v>295</v>
      </c>
      <c r="BM262" t="s">
        <v>5497</v>
      </c>
      <c r="BN262" t="s">
        <v>74</v>
      </c>
      <c r="BO262" t="s">
        <v>74</v>
      </c>
      <c r="BP262" t="s">
        <v>74</v>
      </c>
      <c r="BQ262" t="s">
        <v>74</v>
      </c>
      <c r="BR262" t="s">
        <v>108</v>
      </c>
      <c r="BS262" t="s">
        <v>5539</v>
      </c>
      <c r="BT262" t="str">
        <f>HYPERLINK("https%3A%2F%2Fwww.webofscience.com%2Fwos%2Fwoscc%2Ffull-record%2FWOS:000500079300007","View Full Record in Web of Science")</f>
        <v>View Full Record in Web of Science</v>
      </c>
    </row>
    <row r="263" spans="1:72" x14ac:dyDescent="0.15">
      <c r="A263" t="s">
        <v>133</v>
      </c>
      <c r="B263" t="s">
        <v>5540</v>
      </c>
      <c r="C263" t="s">
        <v>74</v>
      </c>
      <c r="D263" t="s">
        <v>74</v>
      </c>
      <c r="E263" t="s">
        <v>74</v>
      </c>
      <c r="F263" t="s">
        <v>5541</v>
      </c>
      <c r="G263" t="s">
        <v>74</v>
      </c>
      <c r="H263" t="s">
        <v>74</v>
      </c>
      <c r="I263" t="s">
        <v>5542</v>
      </c>
      <c r="J263" t="s">
        <v>2990</v>
      </c>
      <c r="K263" t="s">
        <v>74</v>
      </c>
      <c r="L263" t="s">
        <v>74</v>
      </c>
      <c r="M263" t="s">
        <v>80</v>
      </c>
      <c r="N263" t="s">
        <v>138</v>
      </c>
      <c r="O263" t="s">
        <v>74</v>
      </c>
      <c r="P263" t="s">
        <v>74</v>
      </c>
      <c r="Q263" t="s">
        <v>74</v>
      </c>
      <c r="R263" t="s">
        <v>74</v>
      </c>
      <c r="S263" t="s">
        <v>74</v>
      </c>
      <c r="T263" t="s">
        <v>5543</v>
      </c>
      <c r="U263" t="s">
        <v>5544</v>
      </c>
      <c r="V263" t="s">
        <v>5545</v>
      </c>
      <c r="W263" t="s">
        <v>5546</v>
      </c>
      <c r="X263" t="s">
        <v>2071</v>
      </c>
      <c r="Y263" t="s">
        <v>5547</v>
      </c>
      <c r="Z263" t="s">
        <v>5548</v>
      </c>
      <c r="AA263" t="s">
        <v>74</v>
      </c>
      <c r="AB263" t="s">
        <v>5549</v>
      </c>
      <c r="AC263" t="s">
        <v>74</v>
      </c>
      <c r="AD263" t="s">
        <v>74</v>
      </c>
      <c r="AE263" t="s">
        <v>74</v>
      </c>
      <c r="AF263" t="s">
        <v>74</v>
      </c>
      <c r="AG263">
        <v>46</v>
      </c>
      <c r="AH263">
        <v>4</v>
      </c>
      <c r="AI263">
        <v>5</v>
      </c>
      <c r="AJ263">
        <v>0</v>
      </c>
      <c r="AK263">
        <v>8</v>
      </c>
      <c r="AL263" t="s">
        <v>429</v>
      </c>
      <c r="AM263" t="s">
        <v>430</v>
      </c>
      <c r="AN263" t="s">
        <v>431</v>
      </c>
      <c r="AO263" t="s">
        <v>3003</v>
      </c>
      <c r="AP263" t="s">
        <v>3004</v>
      </c>
      <c r="AQ263" t="s">
        <v>74</v>
      </c>
      <c r="AR263" t="s">
        <v>3005</v>
      </c>
      <c r="AS263" t="s">
        <v>3006</v>
      </c>
      <c r="AT263" t="s">
        <v>1270</v>
      </c>
      <c r="AU263">
        <v>2019</v>
      </c>
      <c r="AV263">
        <v>95</v>
      </c>
      <c r="AW263">
        <v>6</v>
      </c>
      <c r="AX263" t="s">
        <v>74</v>
      </c>
      <c r="AY263" t="s">
        <v>74</v>
      </c>
      <c r="AZ263" t="s">
        <v>74</v>
      </c>
      <c r="BA263" t="s">
        <v>74</v>
      </c>
      <c r="BB263">
        <v>1374</v>
      </c>
      <c r="BC263">
        <v>1384</v>
      </c>
      <c r="BD263" t="s">
        <v>74</v>
      </c>
      <c r="BE263" t="s">
        <v>5550</v>
      </c>
      <c r="BF263" t="str">
        <f>HYPERLINK("http://dx.doi.org/10.1111/jfb.14142","http://dx.doi.org/10.1111/jfb.14142")</f>
        <v>http://dx.doi.org/10.1111/jfb.14142</v>
      </c>
      <c r="BG263" t="s">
        <v>74</v>
      </c>
      <c r="BH263" t="s">
        <v>74</v>
      </c>
      <c r="BI263">
        <v>11</v>
      </c>
      <c r="BJ263" t="s">
        <v>3008</v>
      </c>
      <c r="BK263" t="s">
        <v>294</v>
      </c>
      <c r="BL263" t="s">
        <v>3008</v>
      </c>
      <c r="BM263" t="s">
        <v>5551</v>
      </c>
      <c r="BN263">
        <v>31568574</v>
      </c>
      <c r="BO263" t="s">
        <v>74</v>
      </c>
      <c r="BP263" t="s">
        <v>74</v>
      </c>
      <c r="BQ263" t="s">
        <v>74</v>
      </c>
      <c r="BR263" t="s">
        <v>108</v>
      </c>
      <c r="BS263" t="s">
        <v>5552</v>
      </c>
      <c r="BT263" t="str">
        <f>HYPERLINK("https%3A%2F%2Fwww.webofscience.com%2Fwos%2Fwoscc%2Ffull-record%2FWOS:000499787600003","View Full Record in Web of Science")</f>
        <v>View Full Record in Web of Science</v>
      </c>
    </row>
    <row r="264" spans="1:72" x14ac:dyDescent="0.15">
      <c r="A264" t="s">
        <v>133</v>
      </c>
      <c r="B264" t="s">
        <v>5553</v>
      </c>
      <c r="C264" t="s">
        <v>74</v>
      </c>
      <c r="D264" t="s">
        <v>74</v>
      </c>
      <c r="E264" t="s">
        <v>74</v>
      </c>
      <c r="F264" t="s">
        <v>5554</v>
      </c>
      <c r="G264" t="s">
        <v>74</v>
      </c>
      <c r="H264" t="s">
        <v>74</v>
      </c>
      <c r="I264" t="s">
        <v>5555</v>
      </c>
      <c r="J264" t="s">
        <v>5556</v>
      </c>
      <c r="K264" t="s">
        <v>74</v>
      </c>
      <c r="L264" t="s">
        <v>74</v>
      </c>
      <c r="M264" t="s">
        <v>80</v>
      </c>
      <c r="N264" t="s">
        <v>138</v>
      </c>
      <c r="O264" t="s">
        <v>74</v>
      </c>
      <c r="P264" t="s">
        <v>74</v>
      </c>
      <c r="Q264" t="s">
        <v>74</v>
      </c>
      <c r="R264" t="s">
        <v>74</v>
      </c>
      <c r="S264" t="s">
        <v>74</v>
      </c>
      <c r="T264" t="s">
        <v>5557</v>
      </c>
      <c r="U264" t="s">
        <v>5558</v>
      </c>
      <c r="V264" t="s">
        <v>5559</v>
      </c>
      <c r="W264" t="s">
        <v>5560</v>
      </c>
      <c r="X264" t="s">
        <v>5561</v>
      </c>
      <c r="Y264" t="s">
        <v>5562</v>
      </c>
      <c r="Z264" t="s">
        <v>5563</v>
      </c>
      <c r="AA264" t="s">
        <v>5564</v>
      </c>
      <c r="AB264" t="s">
        <v>5565</v>
      </c>
      <c r="AC264" t="s">
        <v>5566</v>
      </c>
      <c r="AD264" t="s">
        <v>5567</v>
      </c>
      <c r="AE264" t="s">
        <v>5568</v>
      </c>
      <c r="AF264" t="s">
        <v>74</v>
      </c>
      <c r="AG264">
        <v>152</v>
      </c>
      <c r="AH264">
        <v>6</v>
      </c>
      <c r="AI264">
        <v>6</v>
      </c>
      <c r="AJ264">
        <v>1</v>
      </c>
      <c r="AK264">
        <v>37</v>
      </c>
      <c r="AL264" t="s">
        <v>709</v>
      </c>
      <c r="AM264" t="s">
        <v>380</v>
      </c>
      <c r="AN264" t="s">
        <v>710</v>
      </c>
      <c r="AO264" t="s">
        <v>5569</v>
      </c>
      <c r="AP264" t="s">
        <v>5570</v>
      </c>
      <c r="AQ264" t="s">
        <v>74</v>
      </c>
      <c r="AR264" t="s">
        <v>5571</v>
      </c>
      <c r="AS264" t="s">
        <v>5572</v>
      </c>
      <c r="AT264" t="s">
        <v>1270</v>
      </c>
      <c r="AU264">
        <v>2019</v>
      </c>
      <c r="AV264">
        <v>152</v>
      </c>
      <c r="AW264" t="s">
        <v>74</v>
      </c>
      <c r="AX264" t="s">
        <v>74</v>
      </c>
      <c r="AY264" t="s">
        <v>74</v>
      </c>
      <c r="AZ264" t="s">
        <v>74</v>
      </c>
      <c r="BA264" t="s">
        <v>74</v>
      </c>
      <c r="BB264" t="s">
        <v>74</v>
      </c>
      <c r="BC264" t="s">
        <v>74</v>
      </c>
      <c r="BD264">
        <v>104790</v>
      </c>
      <c r="BE264" t="s">
        <v>5573</v>
      </c>
      <c r="BF264" t="str">
        <f>HYPERLINK("http://dx.doi.org/10.1016/j.marenvres.2019.104790","http://dx.doi.org/10.1016/j.marenvres.2019.104790")</f>
        <v>http://dx.doi.org/10.1016/j.marenvres.2019.104790</v>
      </c>
      <c r="BG264" t="s">
        <v>74</v>
      </c>
      <c r="BH264" t="s">
        <v>74</v>
      </c>
      <c r="BI264">
        <v>15</v>
      </c>
      <c r="BJ264" t="s">
        <v>5574</v>
      </c>
      <c r="BK264" t="s">
        <v>294</v>
      </c>
      <c r="BL264" t="s">
        <v>5575</v>
      </c>
      <c r="BM264" t="s">
        <v>5576</v>
      </c>
      <c r="BN264">
        <v>31537412</v>
      </c>
      <c r="BO264" t="s">
        <v>1482</v>
      </c>
      <c r="BP264" t="s">
        <v>74</v>
      </c>
      <c r="BQ264" t="s">
        <v>74</v>
      </c>
      <c r="BR264" t="s">
        <v>108</v>
      </c>
      <c r="BS264" t="s">
        <v>5577</v>
      </c>
      <c r="BT264" t="str">
        <f>HYPERLINK("https%3A%2F%2Fwww.webofscience.com%2Fwos%2Fwoscc%2Ffull-record%2FWOS:000499736700004","View Full Record in Web of Science")</f>
        <v>View Full Record in Web of Science</v>
      </c>
    </row>
    <row r="265" spans="1:72" x14ac:dyDescent="0.15">
      <c r="A265" t="s">
        <v>133</v>
      </c>
      <c r="B265" t="s">
        <v>5578</v>
      </c>
      <c r="C265" t="s">
        <v>74</v>
      </c>
      <c r="D265" t="s">
        <v>74</v>
      </c>
      <c r="E265" t="s">
        <v>74</v>
      </c>
      <c r="F265" t="s">
        <v>5579</v>
      </c>
      <c r="G265" t="s">
        <v>74</v>
      </c>
      <c r="H265" t="s">
        <v>74</v>
      </c>
      <c r="I265" t="s">
        <v>5580</v>
      </c>
      <c r="J265" t="s">
        <v>828</v>
      </c>
      <c r="K265" t="s">
        <v>74</v>
      </c>
      <c r="L265" t="s">
        <v>74</v>
      </c>
      <c r="M265" t="s">
        <v>80</v>
      </c>
      <c r="N265" t="s">
        <v>138</v>
      </c>
      <c r="O265" t="s">
        <v>74</v>
      </c>
      <c r="P265" t="s">
        <v>74</v>
      </c>
      <c r="Q265" t="s">
        <v>74</v>
      </c>
      <c r="R265" t="s">
        <v>74</v>
      </c>
      <c r="S265" t="s">
        <v>74</v>
      </c>
      <c r="T265" t="s">
        <v>74</v>
      </c>
      <c r="U265" t="s">
        <v>5581</v>
      </c>
      <c r="V265" t="s">
        <v>5582</v>
      </c>
      <c r="W265" t="s">
        <v>5583</v>
      </c>
      <c r="X265" t="s">
        <v>5584</v>
      </c>
      <c r="Y265" t="s">
        <v>5585</v>
      </c>
      <c r="Z265" t="s">
        <v>5586</v>
      </c>
      <c r="AA265" t="s">
        <v>5587</v>
      </c>
      <c r="AB265" t="s">
        <v>5588</v>
      </c>
      <c r="AC265" t="s">
        <v>5589</v>
      </c>
      <c r="AD265" t="s">
        <v>5590</v>
      </c>
      <c r="AE265" t="s">
        <v>5591</v>
      </c>
      <c r="AF265" t="s">
        <v>74</v>
      </c>
      <c r="AG265">
        <v>64</v>
      </c>
      <c r="AH265">
        <v>26</v>
      </c>
      <c r="AI265">
        <v>28</v>
      </c>
      <c r="AJ265">
        <v>4</v>
      </c>
      <c r="AK265">
        <v>36</v>
      </c>
      <c r="AL265" t="s">
        <v>2038</v>
      </c>
      <c r="AM265" t="s">
        <v>1965</v>
      </c>
      <c r="AN265" t="s">
        <v>4141</v>
      </c>
      <c r="AO265" t="s">
        <v>843</v>
      </c>
      <c r="AP265" t="s">
        <v>844</v>
      </c>
      <c r="AQ265" t="s">
        <v>74</v>
      </c>
      <c r="AR265" t="s">
        <v>845</v>
      </c>
      <c r="AS265" t="s">
        <v>846</v>
      </c>
      <c r="AT265" t="s">
        <v>1270</v>
      </c>
      <c r="AU265">
        <v>2019</v>
      </c>
      <c r="AV265">
        <v>12</v>
      </c>
      <c r="AW265">
        <v>12</v>
      </c>
      <c r="AX265" t="s">
        <v>74</v>
      </c>
      <c r="AY265" t="s">
        <v>74</v>
      </c>
      <c r="AZ265" t="s">
        <v>74</v>
      </c>
      <c r="BA265" t="s">
        <v>74</v>
      </c>
      <c r="BB265">
        <v>995</v>
      </c>
      <c r="BC265" t="s">
        <v>847</v>
      </c>
      <c r="BD265" t="s">
        <v>74</v>
      </c>
      <c r="BE265" t="s">
        <v>5592</v>
      </c>
      <c r="BF265" t="str">
        <f>HYPERLINK("http://dx.doi.org/10.1038/s41561-019-0476-6","http://dx.doi.org/10.1038/s41561-019-0476-6")</f>
        <v>http://dx.doi.org/10.1038/s41561-019-0476-6</v>
      </c>
      <c r="BG265" t="s">
        <v>74</v>
      </c>
      <c r="BH265" t="s">
        <v>74</v>
      </c>
      <c r="BI265">
        <v>9</v>
      </c>
      <c r="BJ265" t="s">
        <v>849</v>
      </c>
      <c r="BK265" t="s">
        <v>294</v>
      </c>
      <c r="BL265" t="s">
        <v>850</v>
      </c>
      <c r="BM265" t="s">
        <v>4143</v>
      </c>
      <c r="BN265" t="s">
        <v>74</v>
      </c>
      <c r="BO265" t="s">
        <v>666</v>
      </c>
      <c r="BP265" t="s">
        <v>74</v>
      </c>
      <c r="BQ265" t="s">
        <v>74</v>
      </c>
      <c r="BR265" t="s">
        <v>108</v>
      </c>
      <c r="BS265" t="s">
        <v>5593</v>
      </c>
      <c r="BT265" t="str">
        <f>HYPERLINK("https%3A%2F%2Fwww.webofscience.com%2Fwos%2Fwoscc%2Ffull-record%2FWOS:000499653700009","View Full Record in Web of Science")</f>
        <v>View Full Record in Web of Science</v>
      </c>
    </row>
    <row r="266" spans="1:72" x14ac:dyDescent="0.15">
      <c r="A266" t="s">
        <v>133</v>
      </c>
      <c r="B266" t="s">
        <v>5594</v>
      </c>
      <c r="C266" t="s">
        <v>74</v>
      </c>
      <c r="D266" t="s">
        <v>74</v>
      </c>
      <c r="E266" t="s">
        <v>74</v>
      </c>
      <c r="F266" t="s">
        <v>5595</v>
      </c>
      <c r="G266" t="s">
        <v>74</v>
      </c>
      <c r="H266" t="s">
        <v>74</v>
      </c>
      <c r="I266" t="s">
        <v>5596</v>
      </c>
      <c r="J266" t="s">
        <v>5597</v>
      </c>
      <c r="K266" t="s">
        <v>74</v>
      </c>
      <c r="L266" t="s">
        <v>74</v>
      </c>
      <c r="M266" t="s">
        <v>80</v>
      </c>
      <c r="N266" t="s">
        <v>3074</v>
      </c>
      <c r="O266" t="s">
        <v>74</v>
      </c>
      <c r="P266" t="s">
        <v>74</v>
      </c>
      <c r="Q266" t="s">
        <v>74</v>
      </c>
      <c r="R266" t="s">
        <v>74</v>
      </c>
      <c r="S266" t="s">
        <v>74</v>
      </c>
      <c r="T266" t="s">
        <v>74</v>
      </c>
      <c r="U266" t="s">
        <v>5598</v>
      </c>
      <c r="V266" t="s">
        <v>5599</v>
      </c>
      <c r="W266" t="s">
        <v>5600</v>
      </c>
      <c r="X266" t="s">
        <v>5601</v>
      </c>
      <c r="Y266" t="s">
        <v>5602</v>
      </c>
      <c r="Z266" t="s">
        <v>5603</v>
      </c>
      <c r="AA266" t="s">
        <v>5604</v>
      </c>
      <c r="AB266" t="s">
        <v>5605</v>
      </c>
      <c r="AC266" t="s">
        <v>5606</v>
      </c>
      <c r="AD266" t="s">
        <v>5607</v>
      </c>
      <c r="AE266" t="s">
        <v>5608</v>
      </c>
      <c r="AF266" t="s">
        <v>74</v>
      </c>
      <c r="AG266">
        <v>46</v>
      </c>
      <c r="AH266">
        <v>11</v>
      </c>
      <c r="AI266">
        <v>12</v>
      </c>
      <c r="AJ266">
        <v>1</v>
      </c>
      <c r="AK266">
        <v>9</v>
      </c>
      <c r="AL266" t="s">
        <v>429</v>
      </c>
      <c r="AM266" t="s">
        <v>430</v>
      </c>
      <c r="AN266" t="s">
        <v>431</v>
      </c>
      <c r="AO266" t="s">
        <v>74</v>
      </c>
      <c r="AP266" t="s">
        <v>5609</v>
      </c>
      <c r="AQ266" t="s">
        <v>74</v>
      </c>
      <c r="AR266" t="s">
        <v>5610</v>
      </c>
      <c r="AS266" t="s">
        <v>5611</v>
      </c>
      <c r="AT266" t="s">
        <v>1270</v>
      </c>
      <c r="AU266">
        <v>2019</v>
      </c>
      <c r="AV266">
        <v>4</v>
      </c>
      <c r="AW266">
        <v>6</v>
      </c>
      <c r="AX266" t="s">
        <v>74</v>
      </c>
      <c r="AY266" t="s">
        <v>74</v>
      </c>
      <c r="AZ266" t="s">
        <v>74</v>
      </c>
      <c r="BA266" t="s">
        <v>74</v>
      </c>
      <c r="BB266">
        <v>193</v>
      </c>
      <c r="BC266">
        <v>204</v>
      </c>
      <c r="BD266" t="s">
        <v>74</v>
      </c>
      <c r="BE266" t="s">
        <v>5612</v>
      </c>
      <c r="BF266" t="str">
        <f>HYPERLINK("http://dx.doi.org/10.1002/lol2.10121","http://dx.doi.org/10.1002/lol2.10121")</f>
        <v>http://dx.doi.org/10.1002/lol2.10121</v>
      </c>
      <c r="BG266" t="s">
        <v>74</v>
      </c>
      <c r="BH266" t="s">
        <v>74</v>
      </c>
      <c r="BI266">
        <v>12</v>
      </c>
      <c r="BJ266" t="s">
        <v>5613</v>
      </c>
      <c r="BK266" t="s">
        <v>294</v>
      </c>
      <c r="BL266" t="s">
        <v>1814</v>
      </c>
      <c r="BM266" t="s">
        <v>5614</v>
      </c>
      <c r="BN266" t="s">
        <v>74</v>
      </c>
      <c r="BO266" t="s">
        <v>2107</v>
      </c>
      <c r="BP266" t="s">
        <v>74</v>
      </c>
      <c r="BQ266" t="s">
        <v>74</v>
      </c>
      <c r="BR266" t="s">
        <v>108</v>
      </c>
      <c r="BS266" t="s">
        <v>5615</v>
      </c>
      <c r="BT266" t="str">
        <f>HYPERLINK("https%3A%2F%2Fwww.webofscience.com%2Fwos%2Fwoscc%2Ffull-record%2FWOS:000497651700002","View Full Record in Web of Science")</f>
        <v>View Full Record in Web of Science</v>
      </c>
    </row>
    <row r="267" spans="1:72" x14ac:dyDescent="0.15">
      <c r="A267" t="s">
        <v>133</v>
      </c>
      <c r="B267" t="s">
        <v>5616</v>
      </c>
      <c r="C267" t="s">
        <v>74</v>
      </c>
      <c r="D267" t="s">
        <v>74</v>
      </c>
      <c r="E267" t="s">
        <v>74</v>
      </c>
      <c r="F267" t="s">
        <v>5617</v>
      </c>
      <c r="G267" t="s">
        <v>74</v>
      </c>
      <c r="H267" t="s">
        <v>74</v>
      </c>
      <c r="I267" t="s">
        <v>5618</v>
      </c>
      <c r="J267" t="s">
        <v>5619</v>
      </c>
      <c r="K267" t="s">
        <v>74</v>
      </c>
      <c r="L267" t="s">
        <v>74</v>
      </c>
      <c r="M267" t="s">
        <v>80</v>
      </c>
      <c r="N267" t="s">
        <v>930</v>
      </c>
      <c r="O267" t="s">
        <v>74</v>
      </c>
      <c r="P267" t="s">
        <v>74</v>
      </c>
      <c r="Q267" t="s">
        <v>74</v>
      </c>
      <c r="R267" t="s">
        <v>74</v>
      </c>
      <c r="S267" t="s">
        <v>74</v>
      </c>
      <c r="T267" t="s">
        <v>5620</v>
      </c>
      <c r="U267" t="s">
        <v>5621</v>
      </c>
      <c r="V267" t="s">
        <v>5622</v>
      </c>
      <c r="W267" t="s">
        <v>5623</v>
      </c>
      <c r="X267" t="s">
        <v>5624</v>
      </c>
      <c r="Y267" t="s">
        <v>5625</v>
      </c>
      <c r="Z267" t="s">
        <v>5626</v>
      </c>
      <c r="AA267" t="s">
        <v>5627</v>
      </c>
      <c r="AB267" t="s">
        <v>5628</v>
      </c>
      <c r="AC267" t="s">
        <v>5629</v>
      </c>
      <c r="AD267" t="s">
        <v>5630</v>
      </c>
      <c r="AE267" t="s">
        <v>5631</v>
      </c>
      <c r="AF267" t="s">
        <v>74</v>
      </c>
      <c r="AG267">
        <v>108</v>
      </c>
      <c r="AH267">
        <v>21</v>
      </c>
      <c r="AI267">
        <v>21</v>
      </c>
      <c r="AJ267">
        <v>5</v>
      </c>
      <c r="AK267">
        <v>43</v>
      </c>
      <c r="AL267" t="s">
        <v>683</v>
      </c>
      <c r="AM267" t="s">
        <v>684</v>
      </c>
      <c r="AN267" t="s">
        <v>685</v>
      </c>
      <c r="AO267" t="s">
        <v>5632</v>
      </c>
      <c r="AP267" t="s">
        <v>74</v>
      </c>
      <c r="AQ267" t="s">
        <v>74</v>
      </c>
      <c r="AR267" t="s">
        <v>5619</v>
      </c>
      <c r="AS267" t="s">
        <v>5633</v>
      </c>
      <c r="AT267" t="s">
        <v>1270</v>
      </c>
      <c r="AU267">
        <v>2019</v>
      </c>
      <c r="AV267">
        <v>8</v>
      </c>
      <c r="AW267">
        <v>4</v>
      </c>
      <c r="AX267" t="s">
        <v>74</v>
      </c>
      <c r="AY267" t="s">
        <v>74</v>
      </c>
      <c r="AZ267" t="s">
        <v>74</v>
      </c>
      <c r="BA267" t="s">
        <v>74</v>
      </c>
      <c r="BB267" t="s">
        <v>74</v>
      </c>
      <c r="BC267" t="s">
        <v>74</v>
      </c>
      <c r="BD267">
        <v>205</v>
      </c>
      <c r="BE267" t="s">
        <v>5634</v>
      </c>
      <c r="BF267" t="str">
        <f>HYPERLINK("http://dx.doi.org/10.3390/antibiotics8040205","http://dx.doi.org/10.3390/antibiotics8040205")</f>
        <v>http://dx.doi.org/10.3390/antibiotics8040205</v>
      </c>
      <c r="BG267" t="s">
        <v>74</v>
      </c>
      <c r="BH267" t="s">
        <v>74</v>
      </c>
      <c r="BI267">
        <v>24</v>
      </c>
      <c r="BJ267" t="s">
        <v>5635</v>
      </c>
      <c r="BK267" t="s">
        <v>294</v>
      </c>
      <c r="BL267" t="s">
        <v>5635</v>
      </c>
      <c r="BM267" t="s">
        <v>5636</v>
      </c>
      <c r="BN267">
        <v>31683523</v>
      </c>
      <c r="BO267" t="s">
        <v>693</v>
      </c>
      <c r="BP267" t="s">
        <v>74</v>
      </c>
      <c r="BQ267" t="s">
        <v>74</v>
      </c>
      <c r="BR267" t="s">
        <v>108</v>
      </c>
      <c r="BS267" t="s">
        <v>5637</v>
      </c>
      <c r="BT267" t="str">
        <f>HYPERLINK("https%3A%2F%2Fwww.webofscience.com%2Fwos%2Fwoscc%2Ffull-record%2FWOS:000506678800050","View Full Record in Web of Science")</f>
        <v>View Full Record in Web of Science</v>
      </c>
    </row>
    <row r="268" spans="1:72" x14ac:dyDescent="0.15">
      <c r="A268" t="s">
        <v>133</v>
      </c>
      <c r="B268" t="s">
        <v>5638</v>
      </c>
      <c r="C268" t="s">
        <v>74</v>
      </c>
      <c r="D268" t="s">
        <v>74</v>
      </c>
      <c r="E268" t="s">
        <v>74</v>
      </c>
      <c r="F268" t="s">
        <v>5639</v>
      </c>
      <c r="G268" t="s">
        <v>74</v>
      </c>
      <c r="H268" t="s">
        <v>74</v>
      </c>
      <c r="I268" t="s">
        <v>5640</v>
      </c>
      <c r="J268" t="s">
        <v>5641</v>
      </c>
      <c r="K268" t="s">
        <v>74</v>
      </c>
      <c r="L268" t="s">
        <v>74</v>
      </c>
      <c r="M268" t="s">
        <v>80</v>
      </c>
      <c r="N268" t="s">
        <v>138</v>
      </c>
      <c r="O268" t="s">
        <v>74</v>
      </c>
      <c r="P268" t="s">
        <v>74</v>
      </c>
      <c r="Q268" t="s">
        <v>74</v>
      </c>
      <c r="R268" t="s">
        <v>74</v>
      </c>
      <c r="S268" t="s">
        <v>74</v>
      </c>
      <c r="T268" t="s">
        <v>5642</v>
      </c>
      <c r="U268" t="s">
        <v>5643</v>
      </c>
      <c r="V268" t="s">
        <v>5644</v>
      </c>
      <c r="W268" t="s">
        <v>5645</v>
      </c>
      <c r="X268" t="s">
        <v>5646</v>
      </c>
      <c r="Y268" t="s">
        <v>5647</v>
      </c>
      <c r="Z268" t="s">
        <v>5648</v>
      </c>
      <c r="AA268" t="s">
        <v>5649</v>
      </c>
      <c r="AB268" t="s">
        <v>5650</v>
      </c>
      <c r="AC268" t="s">
        <v>5651</v>
      </c>
      <c r="AD268" t="s">
        <v>74</v>
      </c>
      <c r="AE268" t="s">
        <v>5652</v>
      </c>
      <c r="AF268" t="s">
        <v>74</v>
      </c>
      <c r="AG268">
        <v>76</v>
      </c>
      <c r="AH268">
        <v>22</v>
      </c>
      <c r="AI268">
        <v>24</v>
      </c>
      <c r="AJ268">
        <v>1</v>
      </c>
      <c r="AK268">
        <v>23</v>
      </c>
      <c r="AL268" t="s">
        <v>1964</v>
      </c>
      <c r="AM268" t="s">
        <v>4096</v>
      </c>
      <c r="AN268" t="s">
        <v>4097</v>
      </c>
      <c r="AO268" t="s">
        <v>5653</v>
      </c>
      <c r="AP268" t="s">
        <v>5654</v>
      </c>
      <c r="AQ268" t="s">
        <v>74</v>
      </c>
      <c r="AR268" t="s">
        <v>5655</v>
      </c>
      <c r="AS268" t="s">
        <v>5656</v>
      </c>
      <c r="AT268" t="s">
        <v>1270</v>
      </c>
      <c r="AU268">
        <v>2019</v>
      </c>
      <c r="AV268">
        <v>53</v>
      </c>
      <c r="AW268">
        <v>4</v>
      </c>
      <c r="AX268" t="s">
        <v>74</v>
      </c>
      <c r="AY268" t="s">
        <v>74</v>
      </c>
      <c r="AZ268" t="s">
        <v>74</v>
      </c>
      <c r="BA268" t="s">
        <v>74</v>
      </c>
      <c r="BB268">
        <v>543</v>
      </c>
      <c r="BC268">
        <v>556</v>
      </c>
      <c r="BD268" t="s">
        <v>74</v>
      </c>
      <c r="BE268" t="s">
        <v>5657</v>
      </c>
      <c r="BF268" t="str">
        <f>HYPERLINK("http://dx.doi.org/10.1007/s10452-019-09707-2","http://dx.doi.org/10.1007/s10452-019-09707-2")</f>
        <v>http://dx.doi.org/10.1007/s10452-019-09707-2</v>
      </c>
      <c r="BG268" t="s">
        <v>74</v>
      </c>
      <c r="BH268" t="s">
        <v>74</v>
      </c>
      <c r="BI268">
        <v>14</v>
      </c>
      <c r="BJ268" t="s">
        <v>5658</v>
      </c>
      <c r="BK268" t="s">
        <v>294</v>
      </c>
      <c r="BL268" t="s">
        <v>2739</v>
      </c>
      <c r="BM268" t="s">
        <v>5659</v>
      </c>
      <c r="BN268" t="s">
        <v>74</v>
      </c>
      <c r="BO268" t="s">
        <v>2403</v>
      </c>
      <c r="BP268" t="s">
        <v>74</v>
      </c>
      <c r="BQ268" t="s">
        <v>74</v>
      </c>
      <c r="BR268" t="s">
        <v>108</v>
      </c>
      <c r="BS268" t="s">
        <v>5660</v>
      </c>
      <c r="BT268" t="str">
        <f>HYPERLINK("https%3A%2F%2Fwww.webofscience.com%2Fwos%2Fwoscc%2Ffull-record%2FWOS:000495242000003","View Full Record in Web of Science")</f>
        <v>View Full Record in Web of Science</v>
      </c>
    </row>
    <row r="269" spans="1:72" x14ac:dyDescent="0.15">
      <c r="A269" t="s">
        <v>133</v>
      </c>
      <c r="B269" t="s">
        <v>5661</v>
      </c>
      <c r="C269" t="s">
        <v>74</v>
      </c>
      <c r="D269" t="s">
        <v>74</v>
      </c>
      <c r="E269" t="s">
        <v>74</v>
      </c>
      <c r="F269" t="s">
        <v>5662</v>
      </c>
      <c r="G269" t="s">
        <v>74</v>
      </c>
      <c r="H269" t="s">
        <v>74</v>
      </c>
      <c r="I269" t="s">
        <v>5663</v>
      </c>
      <c r="J269" t="s">
        <v>5664</v>
      </c>
      <c r="K269" t="s">
        <v>74</v>
      </c>
      <c r="L269" t="s">
        <v>74</v>
      </c>
      <c r="M269" t="s">
        <v>80</v>
      </c>
      <c r="N269" t="s">
        <v>138</v>
      </c>
      <c r="O269" t="s">
        <v>74</v>
      </c>
      <c r="P269" t="s">
        <v>74</v>
      </c>
      <c r="Q269" t="s">
        <v>74</v>
      </c>
      <c r="R269" t="s">
        <v>74</v>
      </c>
      <c r="S269" t="s">
        <v>74</v>
      </c>
      <c r="T269" t="s">
        <v>74</v>
      </c>
      <c r="U269" t="s">
        <v>5665</v>
      </c>
      <c r="V269" t="s">
        <v>5666</v>
      </c>
      <c r="W269" t="s">
        <v>5667</v>
      </c>
      <c r="X269" t="s">
        <v>5668</v>
      </c>
      <c r="Y269" t="s">
        <v>5669</v>
      </c>
      <c r="Z269" t="s">
        <v>5670</v>
      </c>
      <c r="AA269" t="s">
        <v>5671</v>
      </c>
      <c r="AB269" t="s">
        <v>5672</v>
      </c>
      <c r="AC269" t="s">
        <v>5673</v>
      </c>
      <c r="AD269" t="s">
        <v>5674</v>
      </c>
      <c r="AE269" t="s">
        <v>5675</v>
      </c>
      <c r="AF269" t="s">
        <v>74</v>
      </c>
      <c r="AG269">
        <v>101</v>
      </c>
      <c r="AH269">
        <v>17</v>
      </c>
      <c r="AI269">
        <v>18</v>
      </c>
      <c r="AJ269">
        <v>0</v>
      </c>
      <c r="AK269">
        <v>16</v>
      </c>
      <c r="AL269" t="s">
        <v>1016</v>
      </c>
      <c r="AM269" t="s">
        <v>1017</v>
      </c>
      <c r="AN269" t="s">
        <v>4703</v>
      </c>
      <c r="AO269" t="s">
        <v>5676</v>
      </c>
      <c r="AP269" t="s">
        <v>5677</v>
      </c>
      <c r="AQ269" t="s">
        <v>74</v>
      </c>
      <c r="AR269" t="s">
        <v>5678</v>
      </c>
      <c r="AS269" t="s">
        <v>5679</v>
      </c>
      <c r="AT269" t="s">
        <v>1270</v>
      </c>
      <c r="AU269">
        <v>2019</v>
      </c>
      <c r="AV269">
        <v>100</v>
      </c>
      <c r="AW269">
        <v>12</v>
      </c>
      <c r="AX269" t="s">
        <v>74</v>
      </c>
      <c r="AY269" t="s">
        <v>74</v>
      </c>
      <c r="AZ269" t="s">
        <v>74</v>
      </c>
      <c r="BA269" t="s">
        <v>74</v>
      </c>
      <c r="BB269">
        <v>2634</v>
      </c>
      <c r="BC269">
        <v>2664</v>
      </c>
      <c r="BD269" t="s">
        <v>74</v>
      </c>
      <c r="BE269" t="s">
        <v>5680</v>
      </c>
      <c r="BF269" t="str">
        <f>HYPERLINK("http://dx.doi.org/10.1175/BAMS-D-18-0181.1","http://dx.doi.org/10.1175/BAMS-D-18-0181.1")</f>
        <v>http://dx.doi.org/10.1175/BAMS-D-18-0181.1</v>
      </c>
      <c r="BG269" t="s">
        <v>74</v>
      </c>
      <c r="BH269" t="s">
        <v>74</v>
      </c>
      <c r="BI269">
        <v>31</v>
      </c>
      <c r="BJ269" t="s">
        <v>1024</v>
      </c>
      <c r="BK269" t="s">
        <v>294</v>
      </c>
      <c r="BL269" t="s">
        <v>1024</v>
      </c>
      <c r="BM269" t="s">
        <v>5681</v>
      </c>
      <c r="BN269" t="s">
        <v>74</v>
      </c>
      <c r="BO269" t="s">
        <v>439</v>
      </c>
      <c r="BP269" t="s">
        <v>74</v>
      </c>
      <c r="BQ269" t="s">
        <v>74</v>
      </c>
      <c r="BR269" t="s">
        <v>108</v>
      </c>
      <c r="BS269" t="s">
        <v>5682</v>
      </c>
      <c r="BT269" t="str">
        <f>HYPERLINK("https%3A%2F%2Fwww.webofscience.com%2Fwos%2Fwoscc%2Ffull-record%2FWOS:000506029100023","View Full Record in Web of Science")</f>
        <v>View Full Record in Web of Science</v>
      </c>
    </row>
    <row r="270" spans="1:72" x14ac:dyDescent="0.15">
      <c r="A270" t="s">
        <v>133</v>
      </c>
      <c r="B270" t="s">
        <v>5683</v>
      </c>
      <c r="C270" t="s">
        <v>74</v>
      </c>
      <c r="D270" t="s">
        <v>74</v>
      </c>
      <c r="E270" t="s">
        <v>74</v>
      </c>
      <c r="F270" t="s">
        <v>5684</v>
      </c>
      <c r="G270" t="s">
        <v>74</v>
      </c>
      <c r="H270" t="s">
        <v>74</v>
      </c>
      <c r="I270" t="s">
        <v>5685</v>
      </c>
      <c r="J270" t="s">
        <v>5686</v>
      </c>
      <c r="K270" t="s">
        <v>74</v>
      </c>
      <c r="L270" t="s">
        <v>74</v>
      </c>
      <c r="M270" t="s">
        <v>5687</v>
      </c>
      <c r="N270" t="s">
        <v>5688</v>
      </c>
      <c r="O270" t="s">
        <v>74</v>
      </c>
      <c r="P270" t="s">
        <v>74</v>
      </c>
      <c r="Q270" t="s">
        <v>74</v>
      </c>
      <c r="R270" t="s">
        <v>74</v>
      </c>
      <c r="S270" t="s">
        <v>74</v>
      </c>
      <c r="T270" t="s">
        <v>74</v>
      </c>
      <c r="U270" t="s">
        <v>74</v>
      </c>
      <c r="V270" t="s">
        <v>74</v>
      </c>
      <c r="W270" t="s">
        <v>5689</v>
      </c>
      <c r="X270" t="s">
        <v>5690</v>
      </c>
      <c r="Y270" t="s">
        <v>5691</v>
      </c>
      <c r="Z270" t="s">
        <v>5692</v>
      </c>
      <c r="AA270" t="s">
        <v>74</v>
      </c>
      <c r="AB270" t="s">
        <v>74</v>
      </c>
      <c r="AC270" t="s">
        <v>74</v>
      </c>
      <c r="AD270" t="s">
        <v>74</v>
      </c>
      <c r="AE270" t="s">
        <v>74</v>
      </c>
      <c r="AF270" t="s">
        <v>74</v>
      </c>
      <c r="AG270">
        <v>7</v>
      </c>
      <c r="AH270">
        <v>0</v>
      </c>
      <c r="AI270">
        <v>0</v>
      </c>
      <c r="AJ270">
        <v>0</v>
      </c>
      <c r="AK270">
        <v>3</v>
      </c>
      <c r="AL270" t="s">
        <v>5693</v>
      </c>
      <c r="AM270" t="s">
        <v>5694</v>
      </c>
      <c r="AN270" t="s">
        <v>5695</v>
      </c>
      <c r="AO270" t="s">
        <v>5696</v>
      </c>
      <c r="AP270" t="s">
        <v>5697</v>
      </c>
      <c r="AQ270" t="s">
        <v>74</v>
      </c>
      <c r="AR270" t="s">
        <v>5698</v>
      </c>
      <c r="AS270" t="s">
        <v>5699</v>
      </c>
      <c r="AT270" t="s">
        <v>5700</v>
      </c>
      <c r="AU270">
        <v>2019</v>
      </c>
      <c r="AV270">
        <v>41</v>
      </c>
      <c r="AW270">
        <v>4</v>
      </c>
      <c r="AX270" t="s">
        <v>74</v>
      </c>
      <c r="AY270" t="s">
        <v>110</v>
      </c>
      <c r="AZ270" t="s">
        <v>74</v>
      </c>
      <c r="BA270" t="s">
        <v>74</v>
      </c>
      <c r="BB270">
        <v>219</v>
      </c>
      <c r="BC270">
        <v>224</v>
      </c>
      <c r="BD270" t="s">
        <v>74</v>
      </c>
      <c r="BE270" t="s">
        <v>74</v>
      </c>
      <c r="BF270" t="s">
        <v>74</v>
      </c>
      <c r="BG270" t="s">
        <v>74</v>
      </c>
      <c r="BH270" t="s">
        <v>74</v>
      </c>
      <c r="BI270">
        <v>6</v>
      </c>
      <c r="BJ270" t="s">
        <v>5701</v>
      </c>
      <c r="BK270" t="s">
        <v>717</v>
      </c>
      <c r="BL270" t="s">
        <v>5702</v>
      </c>
      <c r="BM270" t="s">
        <v>5703</v>
      </c>
      <c r="BN270" t="s">
        <v>74</v>
      </c>
      <c r="BO270" t="s">
        <v>74</v>
      </c>
      <c r="BP270" t="s">
        <v>74</v>
      </c>
      <c r="BQ270" t="s">
        <v>74</v>
      </c>
      <c r="BR270" t="s">
        <v>108</v>
      </c>
      <c r="BS270" t="s">
        <v>5704</v>
      </c>
      <c r="BT270" t="str">
        <f>HYPERLINK("https%3A%2F%2Fwww.webofscience.com%2Fwos%2Fwoscc%2Ffull-record%2FWOS:000591853100007","View Full Record in Web of Science")</f>
        <v>View Full Record in Web of Science</v>
      </c>
    </row>
    <row r="271" spans="1:72" x14ac:dyDescent="0.15">
      <c r="A271" t="s">
        <v>133</v>
      </c>
      <c r="B271" t="s">
        <v>5705</v>
      </c>
      <c r="C271" t="s">
        <v>74</v>
      </c>
      <c r="D271" t="s">
        <v>74</v>
      </c>
      <c r="E271" t="s">
        <v>74</v>
      </c>
      <c r="F271" t="s">
        <v>5706</v>
      </c>
      <c r="G271" t="s">
        <v>74</v>
      </c>
      <c r="H271" t="s">
        <v>74</v>
      </c>
      <c r="I271" t="s">
        <v>5707</v>
      </c>
      <c r="J271" t="s">
        <v>5433</v>
      </c>
      <c r="K271" t="s">
        <v>74</v>
      </c>
      <c r="L271" t="s">
        <v>74</v>
      </c>
      <c r="M271" t="s">
        <v>80</v>
      </c>
      <c r="N271" t="s">
        <v>138</v>
      </c>
      <c r="O271" t="s">
        <v>74</v>
      </c>
      <c r="P271" t="s">
        <v>74</v>
      </c>
      <c r="Q271" t="s">
        <v>74</v>
      </c>
      <c r="R271" t="s">
        <v>74</v>
      </c>
      <c r="S271" t="s">
        <v>74</v>
      </c>
      <c r="T271" t="s">
        <v>5708</v>
      </c>
      <c r="U271" t="s">
        <v>5709</v>
      </c>
      <c r="V271" t="s">
        <v>5710</v>
      </c>
      <c r="W271" t="s">
        <v>5711</v>
      </c>
      <c r="X271" t="s">
        <v>5712</v>
      </c>
      <c r="Y271" t="s">
        <v>5713</v>
      </c>
      <c r="Z271" t="s">
        <v>5714</v>
      </c>
      <c r="AA271" t="s">
        <v>5715</v>
      </c>
      <c r="AB271" t="s">
        <v>5716</v>
      </c>
      <c r="AC271" t="s">
        <v>5717</v>
      </c>
      <c r="AD271" t="s">
        <v>5718</v>
      </c>
      <c r="AE271" t="s">
        <v>5719</v>
      </c>
      <c r="AF271" t="s">
        <v>74</v>
      </c>
      <c r="AG271">
        <v>69</v>
      </c>
      <c r="AH271">
        <v>15</v>
      </c>
      <c r="AI271">
        <v>15</v>
      </c>
      <c r="AJ271">
        <v>1</v>
      </c>
      <c r="AK271">
        <v>48</v>
      </c>
      <c r="AL271" t="s">
        <v>709</v>
      </c>
      <c r="AM271" t="s">
        <v>380</v>
      </c>
      <c r="AN271" t="s">
        <v>710</v>
      </c>
      <c r="AO271" t="s">
        <v>5446</v>
      </c>
      <c r="AP271" t="s">
        <v>5447</v>
      </c>
      <c r="AQ271" t="s">
        <v>74</v>
      </c>
      <c r="AR271" t="s">
        <v>5448</v>
      </c>
      <c r="AS271" t="s">
        <v>5449</v>
      </c>
      <c r="AT271" t="s">
        <v>1270</v>
      </c>
      <c r="AU271">
        <v>2019</v>
      </c>
      <c r="AV271">
        <v>255</v>
      </c>
      <c r="AW271" t="s">
        <v>74</v>
      </c>
      <c r="AX271">
        <v>2</v>
      </c>
      <c r="AY271" t="s">
        <v>74</v>
      </c>
      <c r="AZ271" t="s">
        <v>74</v>
      </c>
      <c r="BA271" t="s">
        <v>74</v>
      </c>
      <c r="BB271" t="s">
        <v>74</v>
      </c>
      <c r="BC271" t="s">
        <v>74</v>
      </c>
      <c r="BD271">
        <v>113240</v>
      </c>
      <c r="BE271" t="s">
        <v>5720</v>
      </c>
      <c r="BF271" t="str">
        <f>HYPERLINK("http://dx.doi.org/10.1016/j.envpol.2019.113240","http://dx.doi.org/10.1016/j.envpol.2019.113240")</f>
        <v>http://dx.doi.org/10.1016/j.envpol.2019.113240</v>
      </c>
      <c r="BG271" t="s">
        <v>74</v>
      </c>
      <c r="BH271" t="s">
        <v>74</v>
      </c>
      <c r="BI271">
        <v>12</v>
      </c>
      <c r="BJ271" t="s">
        <v>387</v>
      </c>
      <c r="BK271" t="s">
        <v>294</v>
      </c>
      <c r="BL271" t="s">
        <v>388</v>
      </c>
      <c r="BM271" t="s">
        <v>5721</v>
      </c>
      <c r="BN271">
        <v>31550653</v>
      </c>
      <c r="BO271" t="s">
        <v>74</v>
      </c>
      <c r="BP271" t="s">
        <v>74</v>
      </c>
      <c r="BQ271" t="s">
        <v>74</v>
      </c>
      <c r="BR271" t="s">
        <v>108</v>
      </c>
      <c r="BS271" t="s">
        <v>5722</v>
      </c>
      <c r="BT271" t="str">
        <f>HYPERLINK("https%3A%2F%2Fwww.webofscience.com%2Fwos%2Fwoscc%2Ffull-record%2FWOS:000498340400023","View Full Record in Web of Science")</f>
        <v>View Full Record in Web of Science</v>
      </c>
    </row>
    <row r="272" spans="1:72" x14ac:dyDescent="0.15">
      <c r="A272" t="s">
        <v>133</v>
      </c>
      <c r="B272" t="s">
        <v>5723</v>
      </c>
      <c r="C272" t="s">
        <v>74</v>
      </c>
      <c r="D272" t="s">
        <v>74</v>
      </c>
      <c r="E272" t="s">
        <v>74</v>
      </c>
      <c r="F272" t="s">
        <v>5724</v>
      </c>
      <c r="G272" t="s">
        <v>74</v>
      </c>
      <c r="H272" t="s">
        <v>74</v>
      </c>
      <c r="I272" t="s">
        <v>5725</v>
      </c>
      <c r="J272" t="s">
        <v>4330</v>
      </c>
      <c r="K272" t="s">
        <v>74</v>
      </c>
      <c r="L272" t="s">
        <v>74</v>
      </c>
      <c r="M272" t="s">
        <v>80</v>
      </c>
      <c r="N272" t="s">
        <v>138</v>
      </c>
      <c r="O272" t="s">
        <v>74</v>
      </c>
      <c r="P272" t="s">
        <v>74</v>
      </c>
      <c r="Q272" t="s">
        <v>74</v>
      </c>
      <c r="R272" t="s">
        <v>74</v>
      </c>
      <c r="S272" t="s">
        <v>74</v>
      </c>
      <c r="T272" t="s">
        <v>5726</v>
      </c>
      <c r="U272" t="s">
        <v>5727</v>
      </c>
      <c r="V272" t="s">
        <v>5728</v>
      </c>
      <c r="W272" t="s">
        <v>5729</v>
      </c>
      <c r="X272" t="s">
        <v>5730</v>
      </c>
      <c r="Y272" t="s">
        <v>5731</v>
      </c>
      <c r="Z272" t="s">
        <v>5732</v>
      </c>
      <c r="AA272" t="s">
        <v>5733</v>
      </c>
      <c r="AB272" t="s">
        <v>5734</v>
      </c>
      <c r="AC272" t="s">
        <v>5735</v>
      </c>
      <c r="AD272" t="s">
        <v>5736</v>
      </c>
      <c r="AE272" t="s">
        <v>5737</v>
      </c>
      <c r="AF272" t="s">
        <v>74</v>
      </c>
      <c r="AG272">
        <v>64</v>
      </c>
      <c r="AH272">
        <v>17</v>
      </c>
      <c r="AI272">
        <v>20</v>
      </c>
      <c r="AJ272">
        <v>0</v>
      </c>
      <c r="AK272">
        <v>17</v>
      </c>
      <c r="AL272" t="s">
        <v>429</v>
      </c>
      <c r="AM272" t="s">
        <v>430</v>
      </c>
      <c r="AN272" t="s">
        <v>431</v>
      </c>
      <c r="AO272" t="s">
        <v>4343</v>
      </c>
      <c r="AP272" t="s">
        <v>4344</v>
      </c>
      <c r="AQ272" t="s">
        <v>74</v>
      </c>
      <c r="AR272" t="s">
        <v>4345</v>
      </c>
      <c r="AS272" t="s">
        <v>4346</v>
      </c>
      <c r="AT272" t="s">
        <v>1270</v>
      </c>
      <c r="AU272">
        <v>2019</v>
      </c>
      <c r="AV272">
        <v>50</v>
      </c>
      <c r="AW272">
        <v>12</v>
      </c>
      <c r="AX272" t="s">
        <v>74</v>
      </c>
      <c r="AY272" t="s">
        <v>74</v>
      </c>
      <c r="AZ272" t="s">
        <v>74</v>
      </c>
      <c r="BA272" t="s">
        <v>74</v>
      </c>
      <c r="BB272" t="s">
        <v>74</v>
      </c>
      <c r="BC272" t="s">
        <v>74</v>
      </c>
      <c r="BD272" t="s">
        <v>5738</v>
      </c>
      <c r="BE272" t="s">
        <v>5739</v>
      </c>
      <c r="BF272" t="str">
        <f>HYPERLINK("http://dx.doi.org/10.1111/jav.02156","http://dx.doi.org/10.1111/jav.02156")</f>
        <v>http://dx.doi.org/10.1111/jav.02156</v>
      </c>
      <c r="BG272" t="s">
        <v>74</v>
      </c>
      <c r="BH272" t="s">
        <v>74</v>
      </c>
      <c r="BI272">
        <v>10</v>
      </c>
      <c r="BJ272" t="s">
        <v>3568</v>
      </c>
      <c r="BK272" t="s">
        <v>294</v>
      </c>
      <c r="BL272" t="s">
        <v>1219</v>
      </c>
      <c r="BM272" t="s">
        <v>4349</v>
      </c>
      <c r="BN272" t="s">
        <v>74</v>
      </c>
      <c r="BO272" t="s">
        <v>638</v>
      </c>
      <c r="BP272" t="s">
        <v>74</v>
      </c>
      <c r="BQ272" t="s">
        <v>74</v>
      </c>
      <c r="BR272" t="s">
        <v>108</v>
      </c>
      <c r="BS272" t="s">
        <v>5740</v>
      </c>
      <c r="BT272" t="str">
        <f>HYPERLINK("https%3A%2F%2Fwww.webofscience.com%2Fwos%2Fwoscc%2Ffull-record%2FWOS:000505535700005","View Full Record in Web of Science")</f>
        <v>View Full Record in Web of Science</v>
      </c>
    </row>
    <row r="273" spans="1:72" x14ac:dyDescent="0.15">
      <c r="A273" t="s">
        <v>133</v>
      </c>
      <c r="B273" t="s">
        <v>5741</v>
      </c>
      <c r="C273" t="s">
        <v>74</v>
      </c>
      <c r="D273" t="s">
        <v>74</v>
      </c>
      <c r="E273" t="s">
        <v>74</v>
      </c>
      <c r="F273" t="s">
        <v>5742</v>
      </c>
      <c r="G273" t="s">
        <v>74</v>
      </c>
      <c r="H273" t="s">
        <v>74</v>
      </c>
      <c r="I273" t="s">
        <v>5743</v>
      </c>
      <c r="J273" t="s">
        <v>5744</v>
      </c>
      <c r="K273" t="s">
        <v>74</v>
      </c>
      <c r="L273" t="s">
        <v>74</v>
      </c>
      <c r="M273" t="s">
        <v>80</v>
      </c>
      <c r="N273" t="s">
        <v>138</v>
      </c>
      <c r="O273" t="s">
        <v>74</v>
      </c>
      <c r="P273" t="s">
        <v>74</v>
      </c>
      <c r="Q273" t="s">
        <v>74</v>
      </c>
      <c r="R273" t="s">
        <v>74</v>
      </c>
      <c r="S273" t="s">
        <v>74</v>
      </c>
      <c r="T273" t="s">
        <v>74</v>
      </c>
      <c r="U273" t="s">
        <v>74</v>
      </c>
      <c r="V273" t="s">
        <v>5745</v>
      </c>
      <c r="W273" t="s">
        <v>5746</v>
      </c>
      <c r="X273" t="s">
        <v>5747</v>
      </c>
      <c r="Y273" t="s">
        <v>5748</v>
      </c>
      <c r="Z273" t="s">
        <v>74</v>
      </c>
      <c r="AA273" t="s">
        <v>74</v>
      </c>
      <c r="AB273" t="s">
        <v>5749</v>
      </c>
      <c r="AC273" t="s">
        <v>5750</v>
      </c>
      <c r="AD273" t="s">
        <v>5751</v>
      </c>
      <c r="AE273" t="s">
        <v>5752</v>
      </c>
      <c r="AF273" t="s">
        <v>74</v>
      </c>
      <c r="AG273">
        <v>44</v>
      </c>
      <c r="AH273">
        <v>1</v>
      </c>
      <c r="AI273">
        <v>1</v>
      </c>
      <c r="AJ273">
        <v>0</v>
      </c>
      <c r="AK273">
        <v>3</v>
      </c>
      <c r="AL273" t="s">
        <v>5753</v>
      </c>
      <c r="AM273" t="s">
        <v>5754</v>
      </c>
      <c r="AN273" t="s">
        <v>5755</v>
      </c>
      <c r="AO273" t="s">
        <v>5756</v>
      </c>
      <c r="AP273" t="s">
        <v>5757</v>
      </c>
      <c r="AQ273" t="s">
        <v>74</v>
      </c>
      <c r="AR273" t="s">
        <v>5758</v>
      </c>
      <c r="AS273" t="s">
        <v>5759</v>
      </c>
      <c r="AT273" t="s">
        <v>1270</v>
      </c>
      <c r="AU273">
        <v>2019</v>
      </c>
      <c r="AV273">
        <v>20</v>
      </c>
      <c r="AW273">
        <v>2</v>
      </c>
      <c r="AX273" t="s">
        <v>74</v>
      </c>
      <c r="AY273" t="s">
        <v>74</v>
      </c>
      <c r="AZ273" t="s">
        <v>74</v>
      </c>
      <c r="BA273" t="s">
        <v>74</v>
      </c>
      <c r="BB273" t="s">
        <v>74</v>
      </c>
      <c r="BC273" t="s">
        <v>74</v>
      </c>
      <c r="BD273" t="s">
        <v>74</v>
      </c>
      <c r="BE273" t="s">
        <v>74</v>
      </c>
      <c r="BF273" t="s">
        <v>74</v>
      </c>
      <c r="BG273" t="s">
        <v>74</v>
      </c>
      <c r="BH273" t="s">
        <v>74</v>
      </c>
      <c r="BI273">
        <v>26</v>
      </c>
      <c r="BJ273" t="s">
        <v>4323</v>
      </c>
      <c r="BK273" t="s">
        <v>160</v>
      </c>
      <c r="BL273" t="s">
        <v>4324</v>
      </c>
      <c r="BM273" t="s">
        <v>5760</v>
      </c>
      <c r="BN273" t="s">
        <v>74</v>
      </c>
      <c r="BO273" t="s">
        <v>74</v>
      </c>
      <c r="BP273" t="s">
        <v>74</v>
      </c>
      <c r="BQ273" t="s">
        <v>74</v>
      </c>
      <c r="BR273" t="s">
        <v>108</v>
      </c>
      <c r="BS273" t="s">
        <v>5761</v>
      </c>
      <c r="BT273" t="str">
        <f>HYPERLINK("https%3A%2F%2Fwww.webofscience.com%2Fwos%2Fwoscc%2Ffull-record%2FWOS:000605979400009","View Full Record in Web of Science")</f>
        <v>View Full Record in Web of Science</v>
      </c>
    </row>
    <row r="274" spans="1:72" x14ac:dyDescent="0.15">
      <c r="A274" t="s">
        <v>133</v>
      </c>
      <c r="B274" t="s">
        <v>5762</v>
      </c>
      <c r="C274" t="s">
        <v>74</v>
      </c>
      <c r="D274" t="s">
        <v>74</v>
      </c>
      <c r="E274" t="s">
        <v>74</v>
      </c>
      <c r="F274" t="s">
        <v>5763</v>
      </c>
      <c r="G274" t="s">
        <v>74</v>
      </c>
      <c r="H274" t="s">
        <v>74</v>
      </c>
      <c r="I274" t="s">
        <v>5764</v>
      </c>
      <c r="J274" t="s">
        <v>5765</v>
      </c>
      <c r="K274" t="s">
        <v>74</v>
      </c>
      <c r="L274" t="s">
        <v>74</v>
      </c>
      <c r="M274" t="s">
        <v>80</v>
      </c>
      <c r="N274" t="s">
        <v>138</v>
      </c>
      <c r="O274" t="s">
        <v>74</v>
      </c>
      <c r="P274" t="s">
        <v>74</v>
      </c>
      <c r="Q274" t="s">
        <v>74</v>
      </c>
      <c r="R274" t="s">
        <v>74</v>
      </c>
      <c r="S274" t="s">
        <v>74</v>
      </c>
      <c r="T274" t="s">
        <v>74</v>
      </c>
      <c r="U274" t="s">
        <v>5766</v>
      </c>
      <c r="V274" t="s">
        <v>5767</v>
      </c>
      <c r="W274" t="s">
        <v>5768</v>
      </c>
      <c r="X274" t="s">
        <v>5769</v>
      </c>
      <c r="Y274" t="s">
        <v>5770</v>
      </c>
      <c r="Z274" t="s">
        <v>5771</v>
      </c>
      <c r="AA274" t="s">
        <v>5772</v>
      </c>
      <c r="AB274" t="s">
        <v>5773</v>
      </c>
      <c r="AC274" t="s">
        <v>5774</v>
      </c>
      <c r="AD274" t="s">
        <v>5775</v>
      </c>
      <c r="AE274" t="s">
        <v>5776</v>
      </c>
      <c r="AF274" t="s">
        <v>74</v>
      </c>
      <c r="AG274">
        <v>43</v>
      </c>
      <c r="AH274">
        <v>122</v>
      </c>
      <c r="AI274">
        <v>126</v>
      </c>
      <c r="AJ274">
        <v>7</v>
      </c>
      <c r="AK274">
        <v>80</v>
      </c>
      <c r="AL274" t="s">
        <v>2635</v>
      </c>
      <c r="AM274" t="s">
        <v>841</v>
      </c>
      <c r="AN274" t="s">
        <v>842</v>
      </c>
      <c r="AO274" t="s">
        <v>5777</v>
      </c>
      <c r="AP274" t="s">
        <v>5778</v>
      </c>
      <c r="AQ274" t="s">
        <v>74</v>
      </c>
      <c r="AR274" t="s">
        <v>5779</v>
      </c>
      <c r="AS274" t="s">
        <v>5780</v>
      </c>
      <c r="AT274" t="s">
        <v>1270</v>
      </c>
      <c r="AU274">
        <v>2019</v>
      </c>
      <c r="AV274">
        <v>9</v>
      </c>
      <c r="AW274">
        <v>12</v>
      </c>
      <c r="AX274" t="s">
        <v>74</v>
      </c>
      <c r="AY274" t="s">
        <v>74</v>
      </c>
      <c r="AZ274" t="s">
        <v>74</v>
      </c>
      <c r="BA274" t="s">
        <v>74</v>
      </c>
      <c r="BB274">
        <v>959</v>
      </c>
      <c r="BC274" t="s">
        <v>847</v>
      </c>
      <c r="BD274" t="s">
        <v>74</v>
      </c>
      <c r="BE274" t="s">
        <v>5781</v>
      </c>
      <c r="BF274" t="str">
        <f>HYPERLINK("http://dx.doi.org/10.1038/s41558-019-0631-5","http://dx.doi.org/10.1038/s41558-019-0631-5")</f>
        <v>http://dx.doi.org/10.1038/s41558-019-0631-5</v>
      </c>
      <c r="BG274" t="s">
        <v>74</v>
      </c>
      <c r="BH274" t="s">
        <v>74</v>
      </c>
      <c r="BI274">
        <v>8</v>
      </c>
      <c r="BJ274" t="s">
        <v>5782</v>
      </c>
      <c r="BK274" t="s">
        <v>360</v>
      </c>
      <c r="BL274" t="s">
        <v>105</v>
      </c>
      <c r="BM274" t="s">
        <v>5783</v>
      </c>
      <c r="BN274" t="s">
        <v>74</v>
      </c>
      <c r="BO274" t="s">
        <v>666</v>
      </c>
      <c r="BP274" t="s">
        <v>74</v>
      </c>
      <c r="BQ274" t="s">
        <v>74</v>
      </c>
      <c r="BR274" t="s">
        <v>108</v>
      </c>
      <c r="BS274" t="s">
        <v>5784</v>
      </c>
      <c r="BT274" t="str">
        <f>HYPERLINK("https%3A%2F%2Fwww.webofscience.com%2Fwos%2Fwoscc%2Ffull-record%2FWOS:000499106300022","View Full Record in Web of Science")</f>
        <v>View Full Record in Web of Science</v>
      </c>
    </row>
    <row r="275" spans="1:72" x14ac:dyDescent="0.15">
      <c r="A275" t="s">
        <v>133</v>
      </c>
      <c r="B275" t="s">
        <v>5785</v>
      </c>
      <c r="C275" t="s">
        <v>74</v>
      </c>
      <c r="D275" t="s">
        <v>74</v>
      </c>
      <c r="E275" t="s">
        <v>74</v>
      </c>
      <c r="F275" t="s">
        <v>5786</v>
      </c>
      <c r="G275" t="s">
        <v>74</v>
      </c>
      <c r="H275" t="s">
        <v>74</v>
      </c>
      <c r="I275" t="s">
        <v>5787</v>
      </c>
      <c r="J275" t="s">
        <v>828</v>
      </c>
      <c r="K275" t="s">
        <v>74</v>
      </c>
      <c r="L275" t="s">
        <v>74</v>
      </c>
      <c r="M275" t="s">
        <v>80</v>
      </c>
      <c r="N275" t="s">
        <v>138</v>
      </c>
      <c r="O275" t="s">
        <v>74</v>
      </c>
      <c r="P275" t="s">
        <v>74</v>
      </c>
      <c r="Q275" t="s">
        <v>74</v>
      </c>
      <c r="R275" t="s">
        <v>74</v>
      </c>
      <c r="S275" t="s">
        <v>74</v>
      </c>
      <c r="T275" t="s">
        <v>74</v>
      </c>
      <c r="U275" t="s">
        <v>5788</v>
      </c>
      <c r="V275" t="s">
        <v>5789</v>
      </c>
      <c r="W275" t="s">
        <v>5790</v>
      </c>
      <c r="X275" t="s">
        <v>5791</v>
      </c>
      <c r="Y275" t="s">
        <v>5792</v>
      </c>
      <c r="Z275" t="s">
        <v>5793</v>
      </c>
      <c r="AA275" t="s">
        <v>5794</v>
      </c>
      <c r="AB275" t="s">
        <v>5795</v>
      </c>
      <c r="AC275" t="s">
        <v>5796</v>
      </c>
      <c r="AD275" t="s">
        <v>5797</v>
      </c>
      <c r="AE275" t="s">
        <v>5798</v>
      </c>
      <c r="AF275" t="s">
        <v>74</v>
      </c>
      <c r="AG275">
        <v>77</v>
      </c>
      <c r="AH275">
        <v>16</v>
      </c>
      <c r="AI275">
        <v>16</v>
      </c>
      <c r="AJ275">
        <v>3</v>
      </c>
      <c r="AK275">
        <v>37</v>
      </c>
      <c r="AL275" t="s">
        <v>2038</v>
      </c>
      <c r="AM275" t="s">
        <v>1965</v>
      </c>
      <c r="AN275" t="s">
        <v>4141</v>
      </c>
      <c r="AO275" t="s">
        <v>843</v>
      </c>
      <c r="AP275" t="s">
        <v>844</v>
      </c>
      <c r="AQ275" t="s">
        <v>74</v>
      </c>
      <c r="AR275" t="s">
        <v>845</v>
      </c>
      <c r="AS275" t="s">
        <v>846</v>
      </c>
      <c r="AT275" t="s">
        <v>1270</v>
      </c>
      <c r="AU275">
        <v>2019</v>
      </c>
      <c r="AV275">
        <v>12</v>
      </c>
      <c r="AW275">
        <v>12</v>
      </c>
      <c r="AX275" t="s">
        <v>74</v>
      </c>
      <c r="AY275" t="s">
        <v>74</v>
      </c>
      <c r="AZ275" t="s">
        <v>74</v>
      </c>
      <c r="BA275" t="s">
        <v>74</v>
      </c>
      <c r="BB275">
        <v>1006</v>
      </c>
      <c r="BC275" t="s">
        <v>847</v>
      </c>
      <c r="BD275" t="s">
        <v>74</v>
      </c>
      <c r="BE275" t="s">
        <v>5799</v>
      </c>
      <c r="BF275" t="str">
        <f>HYPERLINK("http://dx.doi.org/10.1038/s41561-019-0473-9","http://dx.doi.org/10.1038/s41561-019-0473-9")</f>
        <v>http://dx.doi.org/10.1038/s41561-019-0473-9</v>
      </c>
      <c r="BG275" t="s">
        <v>74</v>
      </c>
      <c r="BH275" t="s">
        <v>74</v>
      </c>
      <c r="BI275">
        <v>8</v>
      </c>
      <c r="BJ275" t="s">
        <v>849</v>
      </c>
      <c r="BK275" t="s">
        <v>294</v>
      </c>
      <c r="BL275" t="s">
        <v>850</v>
      </c>
      <c r="BM275" t="s">
        <v>4143</v>
      </c>
      <c r="BN275" t="s">
        <v>74</v>
      </c>
      <c r="BO275" t="s">
        <v>789</v>
      </c>
      <c r="BP275" t="s">
        <v>74</v>
      </c>
      <c r="BQ275" t="s">
        <v>74</v>
      </c>
      <c r="BR275" t="s">
        <v>108</v>
      </c>
      <c r="BS275" t="s">
        <v>5800</v>
      </c>
      <c r="BT275" t="str">
        <f>HYPERLINK("https%3A%2F%2Fwww.webofscience.com%2Fwos%2Fwoscc%2Ffull-record%2FWOS:000499653700011","View Full Record in Web of Science")</f>
        <v>View Full Record in Web of Science</v>
      </c>
    </row>
    <row r="276" spans="1:72" x14ac:dyDescent="0.15">
      <c r="A276" t="s">
        <v>133</v>
      </c>
      <c r="B276" t="s">
        <v>5801</v>
      </c>
      <c r="C276" t="s">
        <v>74</v>
      </c>
      <c r="D276" t="s">
        <v>74</v>
      </c>
      <c r="E276" t="s">
        <v>74</v>
      </c>
      <c r="F276" t="s">
        <v>5802</v>
      </c>
      <c r="G276" t="s">
        <v>74</v>
      </c>
      <c r="H276" t="s">
        <v>74</v>
      </c>
      <c r="I276" t="s">
        <v>5803</v>
      </c>
      <c r="J276" t="s">
        <v>3420</v>
      </c>
      <c r="K276" t="s">
        <v>74</v>
      </c>
      <c r="L276" t="s">
        <v>74</v>
      </c>
      <c r="M276" t="s">
        <v>80</v>
      </c>
      <c r="N276" t="s">
        <v>138</v>
      </c>
      <c r="O276" t="s">
        <v>74</v>
      </c>
      <c r="P276" t="s">
        <v>74</v>
      </c>
      <c r="Q276" t="s">
        <v>74</v>
      </c>
      <c r="R276" t="s">
        <v>74</v>
      </c>
      <c r="S276" t="s">
        <v>74</v>
      </c>
      <c r="T276" t="s">
        <v>5804</v>
      </c>
      <c r="U276" t="s">
        <v>5805</v>
      </c>
      <c r="V276" t="s">
        <v>5806</v>
      </c>
      <c r="W276" t="s">
        <v>5807</v>
      </c>
      <c r="X276" t="s">
        <v>5808</v>
      </c>
      <c r="Y276" t="s">
        <v>5809</v>
      </c>
      <c r="Z276" t="s">
        <v>5810</v>
      </c>
      <c r="AA276" t="s">
        <v>5811</v>
      </c>
      <c r="AB276" t="s">
        <v>5812</v>
      </c>
      <c r="AC276" t="s">
        <v>5813</v>
      </c>
      <c r="AD276" t="s">
        <v>5814</v>
      </c>
      <c r="AE276" t="s">
        <v>5815</v>
      </c>
      <c r="AF276" t="s">
        <v>74</v>
      </c>
      <c r="AG276">
        <v>48</v>
      </c>
      <c r="AH276">
        <v>10</v>
      </c>
      <c r="AI276">
        <v>11</v>
      </c>
      <c r="AJ276">
        <v>0</v>
      </c>
      <c r="AK276">
        <v>4</v>
      </c>
      <c r="AL276" t="s">
        <v>683</v>
      </c>
      <c r="AM276" t="s">
        <v>684</v>
      </c>
      <c r="AN276" t="s">
        <v>685</v>
      </c>
      <c r="AO276" t="s">
        <v>74</v>
      </c>
      <c r="AP276" t="s">
        <v>3432</v>
      </c>
      <c r="AQ276" t="s">
        <v>74</v>
      </c>
      <c r="AR276" t="s">
        <v>3433</v>
      </c>
      <c r="AS276" t="s">
        <v>3434</v>
      </c>
      <c r="AT276" t="s">
        <v>3909</v>
      </c>
      <c r="AU276">
        <v>2019</v>
      </c>
      <c r="AV276">
        <v>11</v>
      </c>
      <c r="AW276">
        <v>23</v>
      </c>
      <c r="AX276" t="s">
        <v>74</v>
      </c>
      <c r="AY276" t="s">
        <v>74</v>
      </c>
      <c r="AZ276" t="s">
        <v>74</v>
      </c>
      <c r="BA276" t="s">
        <v>74</v>
      </c>
      <c r="BB276" t="s">
        <v>74</v>
      </c>
      <c r="BC276" t="s">
        <v>74</v>
      </c>
      <c r="BD276">
        <v>2761</v>
      </c>
      <c r="BE276" t="s">
        <v>5816</v>
      </c>
      <c r="BF276" t="str">
        <f>HYPERLINK("http://dx.doi.org/10.3390/rs11232761","http://dx.doi.org/10.3390/rs11232761")</f>
        <v>http://dx.doi.org/10.3390/rs11232761</v>
      </c>
      <c r="BG276" t="s">
        <v>74</v>
      </c>
      <c r="BH276" t="s">
        <v>74</v>
      </c>
      <c r="BI276">
        <v>17</v>
      </c>
      <c r="BJ276" t="s">
        <v>3436</v>
      </c>
      <c r="BK276" t="s">
        <v>294</v>
      </c>
      <c r="BL276" t="s">
        <v>3437</v>
      </c>
      <c r="BM276" t="s">
        <v>3911</v>
      </c>
      <c r="BN276" t="s">
        <v>74</v>
      </c>
      <c r="BO276" t="s">
        <v>2934</v>
      </c>
      <c r="BP276" t="s">
        <v>74</v>
      </c>
      <c r="BQ276" t="s">
        <v>74</v>
      </c>
      <c r="BR276" t="s">
        <v>108</v>
      </c>
      <c r="BS276" t="s">
        <v>5817</v>
      </c>
      <c r="BT276" t="str">
        <f>HYPERLINK("https%3A%2F%2Fwww.webofscience.com%2Fwos%2Fwoscc%2Ffull-record%2FWOS:000508382100042","View Full Record in Web of Science")</f>
        <v>View Full Record in Web of Science</v>
      </c>
    </row>
    <row r="277" spans="1:72" x14ac:dyDescent="0.15">
      <c r="A277" t="s">
        <v>133</v>
      </c>
      <c r="B277" t="s">
        <v>5818</v>
      </c>
      <c r="C277" t="s">
        <v>74</v>
      </c>
      <c r="D277" t="s">
        <v>74</v>
      </c>
      <c r="E277" t="s">
        <v>74</v>
      </c>
      <c r="F277" t="s">
        <v>5819</v>
      </c>
      <c r="G277" t="s">
        <v>74</v>
      </c>
      <c r="H277" t="s">
        <v>74</v>
      </c>
      <c r="I277" t="s">
        <v>5820</v>
      </c>
      <c r="J277" t="s">
        <v>5821</v>
      </c>
      <c r="K277" t="s">
        <v>74</v>
      </c>
      <c r="L277" t="s">
        <v>74</v>
      </c>
      <c r="M277" t="s">
        <v>80</v>
      </c>
      <c r="N277" t="s">
        <v>138</v>
      </c>
      <c r="O277" t="s">
        <v>74</v>
      </c>
      <c r="P277" t="s">
        <v>74</v>
      </c>
      <c r="Q277" t="s">
        <v>74</v>
      </c>
      <c r="R277" t="s">
        <v>74</v>
      </c>
      <c r="S277" t="s">
        <v>74</v>
      </c>
      <c r="T277" t="s">
        <v>5822</v>
      </c>
      <c r="U277" t="s">
        <v>74</v>
      </c>
      <c r="V277" t="s">
        <v>5823</v>
      </c>
      <c r="W277" t="s">
        <v>5824</v>
      </c>
      <c r="X277" t="s">
        <v>5825</v>
      </c>
      <c r="Y277" t="s">
        <v>5826</v>
      </c>
      <c r="Z277" t="s">
        <v>5827</v>
      </c>
      <c r="AA277" t="s">
        <v>5828</v>
      </c>
      <c r="AB277" t="s">
        <v>5829</v>
      </c>
      <c r="AC277" t="s">
        <v>5830</v>
      </c>
      <c r="AD277" t="s">
        <v>2693</v>
      </c>
      <c r="AE277" t="s">
        <v>5831</v>
      </c>
      <c r="AF277" t="s">
        <v>74</v>
      </c>
      <c r="AG277">
        <v>9</v>
      </c>
      <c r="AH277">
        <v>4</v>
      </c>
      <c r="AI277">
        <v>4</v>
      </c>
      <c r="AJ277">
        <v>0</v>
      </c>
      <c r="AK277">
        <v>0</v>
      </c>
      <c r="AL277" t="s">
        <v>284</v>
      </c>
      <c r="AM277" t="s">
        <v>285</v>
      </c>
      <c r="AN277" t="s">
        <v>286</v>
      </c>
      <c r="AO277" t="s">
        <v>5832</v>
      </c>
      <c r="AP277" t="s">
        <v>74</v>
      </c>
      <c r="AQ277" t="s">
        <v>74</v>
      </c>
      <c r="AR277" t="s">
        <v>5833</v>
      </c>
      <c r="AS277" t="s">
        <v>5834</v>
      </c>
      <c r="AT277" t="s">
        <v>1270</v>
      </c>
      <c r="AU277">
        <v>2019</v>
      </c>
      <c r="AV277">
        <v>4</v>
      </c>
      <c r="AW277" t="s">
        <v>74</v>
      </c>
      <c r="AX277" t="s">
        <v>74</v>
      </c>
      <c r="AY277" t="s">
        <v>74</v>
      </c>
      <c r="AZ277" t="s">
        <v>74</v>
      </c>
      <c r="BA277" t="s">
        <v>74</v>
      </c>
      <c r="BB277" t="s">
        <v>74</v>
      </c>
      <c r="BC277" t="s">
        <v>74</v>
      </c>
      <c r="BD277">
        <v>100078</v>
      </c>
      <c r="BE277" t="s">
        <v>5835</v>
      </c>
      <c r="BF277" t="str">
        <f>HYPERLINK("http://dx.doi.org/10.1016/j.rinam.2019.100078","http://dx.doi.org/10.1016/j.rinam.2019.100078")</f>
        <v>http://dx.doi.org/10.1016/j.rinam.2019.100078</v>
      </c>
      <c r="BG277" t="s">
        <v>74</v>
      </c>
      <c r="BH277" t="s">
        <v>74</v>
      </c>
      <c r="BI277">
        <v>10</v>
      </c>
      <c r="BJ277" t="s">
        <v>3066</v>
      </c>
      <c r="BK277" t="s">
        <v>160</v>
      </c>
      <c r="BL277" t="s">
        <v>3067</v>
      </c>
      <c r="BM277" t="s">
        <v>5836</v>
      </c>
      <c r="BN277" t="s">
        <v>74</v>
      </c>
      <c r="BO277" t="s">
        <v>107</v>
      </c>
      <c r="BP277" t="s">
        <v>74</v>
      </c>
      <c r="BQ277" t="s">
        <v>74</v>
      </c>
      <c r="BR277" t="s">
        <v>108</v>
      </c>
      <c r="BS277" t="s">
        <v>5837</v>
      </c>
      <c r="BT277" t="str">
        <f>HYPERLINK("https%3A%2F%2Fwww.webofscience.com%2Fwos%2Fwoscc%2Ffull-record%2FWOS:000646631100004","View Full Record in Web of Science")</f>
        <v>View Full Record in Web of Science</v>
      </c>
    </row>
    <row r="278" spans="1:72" x14ac:dyDescent="0.15">
      <c r="A278" t="s">
        <v>133</v>
      </c>
      <c r="B278" t="s">
        <v>5838</v>
      </c>
      <c r="C278" t="s">
        <v>74</v>
      </c>
      <c r="D278" t="s">
        <v>74</v>
      </c>
      <c r="E278" t="s">
        <v>74</v>
      </c>
      <c r="F278" t="s">
        <v>5839</v>
      </c>
      <c r="G278" t="s">
        <v>74</v>
      </c>
      <c r="H278" t="s">
        <v>74</v>
      </c>
      <c r="I278" t="s">
        <v>5840</v>
      </c>
      <c r="J278" t="s">
        <v>5841</v>
      </c>
      <c r="K278" t="s">
        <v>74</v>
      </c>
      <c r="L278" t="s">
        <v>74</v>
      </c>
      <c r="M278" t="s">
        <v>80</v>
      </c>
      <c r="N278" t="s">
        <v>138</v>
      </c>
      <c r="O278" t="s">
        <v>74</v>
      </c>
      <c r="P278" t="s">
        <v>74</v>
      </c>
      <c r="Q278" t="s">
        <v>74</v>
      </c>
      <c r="R278" t="s">
        <v>74</v>
      </c>
      <c r="S278" t="s">
        <v>74</v>
      </c>
      <c r="T278" t="s">
        <v>5842</v>
      </c>
      <c r="U278" t="s">
        <v>5843</v>
      </c>
      <c r="V278" t="s">
        <v>5844</v>
      </c>
      <c r="W278" t="s">
        <v>5845</v>
      </c>
      <c r="X278" t="s">
        <v>5846</v>
      </c>
      <c r="Y278" t="s">
        <v>5847</v>
      </c>
      <c r="Z278" t="s">
        <v>5848</v>
      </c>
      <c r="AA278" t="s">
        <v>5849</v>
      </c>
      <c r="AB278" t="s">
        <v>5850</v>
      </c>
      <c r="AC278" t="s">
        <v>5851</v>
      </c>
      <c r="AD278" t="s">
        <v>5852</v>
      </c>
      <c r="AE278" t="s">
        <v>5853</v>
      </c>
      <c r="AF278" t="s">
        <v>74</v>
      </c>
      <c r="AG278">
        <v>71</v>
      </c>
      <c r="AH278">
        <v>11</v>
      </c>
      <c r="AI278">
        <v>12</v>
      </c>
      <c r="AJ278">
        <v>1</v>
      </c>
      <c r="AK278">
        <v>13</v>
      </c>
      <c r="AL278" t="s">
        <v>1964</v>
      </c>
      <c r="AM278" t="s">
        <v>4096</v>
      </c>
      <c r="AN278" t="s">
        <v>4097</v>
      </c>
      <c r="AO278" t="s">
        <v>5854</v>
      </c>
      <c r="AP278" t="s">
        <v>5855</v>
      </c>
      <c r="AQ278" t="s">
        <v>74</v>
      </c>
      <c r="AR278" t="s">
        <v>5856</v>
      </c>
      <c r="AS278" t="s">
        <v>5857</v>
      </c>
      <c r="AT278" t="s">
        <v>1270</v>
      </c>
      <c r="AU278">
        <v>2019</v>
      </c>
      <c r="AV278">
        <v>29</v>
      </c>
      <c r="AW278">
        <v>4</v>
      </c>
      <c r="AX278" t="s">
        <v>74</v>
      </c>
      <c r="AY278" t="s">
        <v>74</v>
      </c>
      <c r="AZ278" t="s">
        <v>74</v>
      </c>
      <c r="BA278" t="s">
        <v>74</v>
      </c>
      <c r="BB278">
        <v>877</v>
      </c>
      <c r="BC278">
        <v>894</v>
      </c>
      <c r="BD278" t="s">
        <v>74</v>
      </c>
      <c r="BE278" t="s">
        <v>5858</v>
      </c>
      <c r="BF278" t="str">
        <f>HYPERLINK("http://dx.doi.org/10.1007/s11160-019-09579-7","http://dx.doi.org/10.1007/s11160-019-09579-7")</f>
        <v>http://dx.doi.org/10.1007/s11160-019-09579-7</v>
      </c>
      <c r="BG278" t="s">
        <v>74</v>
      </c>
      <c r="BH278" t="s">
        <v>74</v>
      </c>
      <c r="BI278">
        <v>18</v>
      </c>
      <c r="BJ278" t="s">
        <v>3008</v>
      </c>
      <c r="BK278" t="s">
        <v>360</v>
      </c>
      <c r="BL278" t="s">
        <v>3008</v>
      </c>
      <c r="BM278" t="s">
        <v>5859</v>
      </c>
      <c r="BN278" t="s">
        <v>74</v>
      </c>
      <c r="BO278" t="s">
        <v>74</v>
      </c>
      <c r="BP278" t="s">
        <v>74</v>
      </c>
      <c r="BQ278" t="s">
        <v>74</v>
      </c>
      <c r="BR278" t="s">
        <v>108</v>
      </c>
      <c r="BS278" t="s">
        <v>5860</v>
      </c>
      <c r="BT278" t="str">
        <f>HYPERLINK("https%3A%2F%2Fwww.webofscience.com%2Fwos%2Fwoscc%2Ffull-record%2FWOS:000517112600008","View Full Record in Web of Science")</f>
        <v>View Full Record in Web of Science</v>
      </c>
    </row>
    <row r="279" spans="1:72" x14ac:dyDescent="0.15">
      <c r="A279" t="s">
        <v>133</v>
      </c>
      <c r="B279" t="s">
        <v>5861</v>
      </c>
      <c r="C279" t="s">
        <v>74</v>
      </c>
      <c r="D279" t="s">
        <v>74</v>
      </c>
      <c r="E279" t="s">
        <v>74</v>
      </c>
      <c r="F279" t="s">
        <v>5862</v>
      </c>
      <c r="G279" t="s">
        <v>74</v>
      </c>
      <c r="H279" t="s">
        <v>74</v>
      </c>
      <c r="I279" t="s">
        <v>5863</v>
      </c>
      <c r="J279" t="s">
        <v>5864</v>
      </c>
      <c r="K279" t="s">
        <v>74</v>
      </c>
      <c r="L279" t="s">
        <v>74</v>
      </c>
      <c r="M279" t="s">
        <v>80</v>
      </c>
      <c r="N279" t="s">
        <v>930</v>
      </c>
      <c r="O279" t="s">
        <v>74</v>
      </c>
      <c r="P279" t="s">
        <v>74</v>
      </c>
      <c r="Q279" t="s">
        <v>74</v>
      </c>
      <c r="R279" t="s">
        <v>74</v>
      </c>
      <c r="S279" t="s">
        <v>74</v>
      </c>
      <c r="T279" t="s">
        <v>74</v>
      </c>
      <c r="U279" t="s">
        <v>5865</v>
      </c>
      <c r="V279" t="s">
        <v>5866</v>
      </c>
      <c r="W279" t="s">
        <v>5867</v>
      </c>
      <c r="X279" t="s">
        <v>5868</v>
      </c>
      <c r="Y279" t="s">
        <v>5869</v>
      </c>
      <c r="Z279" t="s">
        <v>5870</v>
      </c>
      <c r="AA279" t="s">
        <v>5871</v>
      </c>
      <c r="AB279" t="s">
        <v>5872</v>
      </c>
      <c r="AC279" t="s">
        <v>5873</v>
      </c>
      <c r="AD279" t="s">
        <v>5874</v>
      </c>
      <c r="AE279" t="s">
        <v>5875</v>
      </c>
      <c r="AF279" t="s">
        <v>74</v>
      </c>
      <c r="AG279">
        <v>153</v>
      </c>
      <c r="AH279">
        <v>274</v>
      </c>
      <c r="AI279">
        <v>303</v>
      </c>
      <c r="AJ279">
        <v>35</v>
      </c>
      <c r="AK279">
        <v>281</v>
      </c>
      <c r="AL279" t="s">
        <v>1892</v>
      </c>
      <c r="AM279" t="s">
        <v>1265</v>
      </c>
      <c r="AN279" t="s">
        <v>1893</v>
      </c>
      <c r="AO279" t="s">
        <v>5876</v>
      </c>
      <c r="AP279" t="s">
        <v>74</v>
      </c>
      <c r="AQ279" t="s">
        <v>74</v>
      </c>
      <c r="AR279" t="s">
        <v>5877</v>
      </c>
      <c r="AS279" t="s">
        <v>5878</v>
      </c>
      <c r="AT279" t="s">
        <v>1270</v>
      </c>
      <c r="AU279">
        <v>2019</v>
      </c>
      <c r="AV279">
        <v>5</v>
      </c>
      <c r="AW279">
        <v>12</v>
      </c>
      <c r="AX279" t="s">
        <v>74</v>
      </c>
      <c r="AY279" t="s">
        <v>74</v>
      </c>
      <c r="AZ279" t="s">
        <v>74</v>
      </c>
      <c r="BA279" t="s">
        <v>74</v>
      </c>
      <c r="BB279" t="s">
        <v>74</v>
      </c>
      <c r="BC279" t="s">
        <v>74</v>
      </c>
      <c r="BD279" t="s">
        <v>5879</v>
      </c>
      <c r="BE279" t="s">
        <v>5880</v>
      </c>
      <c r="BF279" t="str">
        <f>HYPERLINK("http://dx.doi.org/10.1126/sciadv.aaw9883","http://dx.doi.org/10.1126/sciadv.aaw9883")</f>
        <v>http://dx.doi.org/10.1126/sciadv.aaw9883</v>
      </c>
      <c r="BG279" t="s">
        <v>74</v>
      </c>
      <c r="BH279" t="s">
        <v>74</v>
      </c>
      <c r="BI279">
        <v>12</v>
      </c>
      <c r="BJ279" t="s">
        <v>1245</v>
      </c>
      <c r="BK279" t="s">
        <v>294</v>
      </c>
      <c r="BL279" t="s">
        <v>1246</v>
      </c>
      <c r="BM279" t="s">
        <v>5881</v>
      </c>
      <c r="BN279">
        <v>31840060</v>
      </c>
      <c r="BO279" t="s">
        <v>693</v>
      </c>
      <c r="BP279" t="s">
        <v>560</v>
      </c>
      <c r="BQ279" t="s">
        <v>561</v>
      </c>
      <c r="BR279" t="s">
        <v>108</v>
      </c>
      <c r="BS279" t="s">
        <v>5882</v>
      </c>
      <c r="BT279" t="str">
        <f>HYPERLINK("https%3A%2F%2Fwww.webofscience.com%2Fwos%2Fwoscc%2Ffull-record%2FWOS:000505069600023","View Full Record in Web of Science")</f>
        <v>View Full Record in Web of Science</v>
      </c>
    </row>
    <row r="280" spans="1:72" x14ac:dyDescent="0.15">
      <c r="A280" t="s">
        <v>133</v>
      </c>
      <c r="B280" t="s">
        <v>5883</v>
      </c>
      <c r="C280" t="s">
        <v>74</v>
      </c>
      <c r="D280" t="s">
        <v>74</v>
      </c>
      <c r="E280" t="s">
        <v>74</v>
      </c>
      <c r="F280" t="s">
        <v>5884</v>
      </c>
      <c r="G280" t="s">
        <v>74</v>
      </c>
      <c r="H280" t="s">
        <v>74</v>
      </c>
      <c r="I280" t="s">
        <v>5885</v>
      </c>
      <c r="J280" t="s">
        <v>5886</v>
      </c>
      <c r="K280" t="s">
        <v>74</v>
      </c>
      <c r="L280" t="s">
        <v>74</v>
      </c>
      <c r="M280" t="s">
        <v>80</v>
      </c>
      <c r="N280" t="s">
        <v>138</v>
      </c>
      <c r="O280" t="s">
        <v>74</v>
      </c>
      <c r="P280" t="s">
        <v>74</v>
      </c>
      <c r="Q280" t="s">
        <v>74</v>
      </c>
      <c r="R280" t="s">
        <v>74</v>
      </c>
      <c r="S280" t="s">
        <v>74</v>
      </c>
      <c r="T280" t="s">
        <v>5887</v>
      </c>
      <c r="U280" t="s">
        <v>5888</v>
      </c>
      <c r="V280" t="s">
        <v>5889</v>
      </c>
      <c r="W280" t="s">
        <v>5890</v>
      </c>
      <c r="X280" t="s">
        <v>5891</v>
      </c>
      <c r="Y280" t="s">
        <v>5892</v>
      </c>
      <c r="Z280" t="s">
        <v>5893</v>
      </c>
      <c r="AA280" t="s">
        <v>5894</v>
      </c>
      <c r="AB280" t="s">
        <v>5895</v>
      </c>
      <c r="AC280" t="s">
        <v>5896</v>
      </c>
      <c r="AD280" t="s">
        <v>5896</v>
      </c>
      <c r="AE280" t="s">
        <v>5897</v>
      </c>
      <c r="AF280" t="s">
        <v>74</v>
      </c>
      <c r="AG280">
        <v>67</v>
      </c>
      <c r="AH280">
        <v>11</v>
      </c>
      <c r="AI280">
        <v>11</v>
      </c>
      <c r="AJ280">
        <v>2</v>
      </c>
      <c r="AK280">
        <v>34</v>
      </c>
      <c r="AL280" t="s">
        <v>5898</v>
      </c>
      <c r="AM280" t="s">
        <v>1965</v>
      </c>
      <c r="AN280" t="s">
        <v>5899</v>
      </c>
      <c r="AO280" t="s">
        <v>5900</v>
      </c>
      <c r="AP280" t="s">
        <v>5901</v>
      </c>
      <c r="AQ280" t="s">
        <v>74</v>
      </c>
      <c r="AR280" t="s">
        <v>5902</v>
      </c>
      <c r="AS280" t="s">
        <v>5903</v>
      </c>
      <c r="AT280" t="s">
        <v>1270</v>
      </c>
      <c r="AU280">
        <v>2019</v>
      </c>
      <c r="AV280">
        <v>131</v>
      </c>
      <c r="AW280" t="s">
        <v>74</v>
      </c>
      <c r="AX280" t="s">
        <v>74</v>
      </c>
      <c r="AY280" t="s">
        <v>74</v>
      </c>
      <c r="AZ280" t="s">
        <v>74</v>
      </c>
      <c r="BA280" t="s">
        <v>74</v>
      </c>
      <c r="BB280" t="s">
        <v>74</v>
      </c>
      <c r="BC280" t="s">
        <v>74</v>
      </c>
      <c r="BD280">
        <v>109423</v>
      </c>
      <c r="BE280" t="s">
        <v>5904</v>
      </c>
      <c r="BF280" t="str">
        <f>HYPERLINK("http://dx.doi.org/10.1016/j.enzmictec.2019.109423","http://dx.doi.org/10.1016/j.enzmictec.2019.109423")</f>
        <v>http://dx.doi.org/10.1016/j.enzmictec.2019.109423</v>
      </c>
      <c r="BG280" t="s">
        <v>74</v>
      </c>
      <c r="BH280" t="s">
        <v>74</v>
      </c>
      <c r="BI280">
        <v>11</v>
      </c>
      <c r="BJ280" t="s">
        <v>5905</v>
      </c>
      <c r="BK280" t="s">
        <v>294</v>
      </c>
      <c r="BL280" t="s">
        <v>5905</v>
      </c>
      <c r="BM280" t="s">
        <v>5906</v>
      </c>
      <c r="BN280">
        <v>31615676</v>
      </c>
      <c r="BO280" t="s">
        <v>74</v>
      </c>
      <c r="BP280" t="s">
        <v>74</v>
      </c>
      <c r="BQ280" t="s">
        <v>74</v>
      </c>
      <c r="BR280" t="s">
        <v>108</v>
      </c>
      <c r="BS280" t="s">
        <v>5907</v>
      </c>
      <c r="BT280" t="str">
        <f>HYPERLINK("https%3A%2F%2Fwww.webofscience.com%2Fwos%2Fwoscc%2Ffull-record%2FWOS:000496607400028","View Full Record in Web of Science")</f>
        <v>View Full Record in Web of Science</v>
      </c>
    </row>
    <row r="281" spans="1:72" x14ac:dyDescent="0.15">
      <c r="A281" t="s">
        <v>133</v>
      </c>
      <c r="B281" t="s">
        <v>5908</v>
      </c>
      <c r="C281" t="s">
        <v>74</v>
      </c>
      <c r="D281" t="s">
        <v>74</v>
      </c>
      <c r="E281" t="s">
        <v>74</v>
      </c>
      <c r="F281" t="s">
        <v>5909</v>
      </c>
      <c r="G281" t="s">
        <v>74</v>
      </c>
      <c r="H281" t="s">
        <v>74</v>
      </c>
      <c r="I281" t="s">
        <v>5910</v>
      </c>
      <c r="J281" t="s">
        <v>5886</v>
      </c>
      <c r="K281" t="s">
        <v>74</v>
      </c>
      <c r="L281" t="s">
        <v>74</v>
      </c>
      <c r="M281" t="s">
        <v>80</v>
      </c>
      <c r="N281" t="s">
        <v>138</v>
      </c>
      <c r="O281" t="s">
        <v>74</v>
      </c>
      <c r="P281" t="s">
        <v>74</v>
      </c>
      <c r="Q281" t="s">
        <v>74</v>
      </c>
      <c r="R281" t="s">
        <v>74</v>
      </c>
      <c r="S281" t="s">
        <v>74</v>
      </c>
      <c r="T281" t="s">
        <v>5911</v>
      </c>
      <c r="U281" t="s">
        <v>5912</v>
      </c>
      <c r="V281" t="s">
        <v>5913</v>
      </c>
      <c r="W281" t="s">
        <v>5914</v>
      </c>
      <c r="X281" t="s">
        <v>5915</v>
      </c>
      <c r="Y281" t="s">
        <v>5916</v>
      </c>
      <c r="Z281" t="s">
        <v>5917</v>
      </c>
      <c r="AA281" t="s">
        <v>5918</v>
      </c>
      <c r="AB281" t="s">
        <v>5919</v>
      </c>
      <c r="AC281" t="s">
        <v>5920</v>
      </c>
      <c r="AD281" t="s">
        <v>5921</v>
      </c>
      <c r="AE281" t="s">
        <v>5922</v>
      </c>
      <c r="AF281" t="s">
        <v>74</v>
      </c>
      <c r="AG281">
        <v>49</v>
      </c>
      <c r="AH281">
        <v>13</v>
      </c>
      <c r="AI281">
        <v>13</v>
      </c>
      <c r="AJ281">
        <v>8</v>
      </c>
      <c r="AK281">
        <v>77</v>
      </c>
      <c r="AL281" t="s">
        <v>5898</v>
      </c>
      <c r="AM281" t="s">
        <v>1965</v>
      </c>
      <c r="AN281" t="s">
        <v>5899</v>
      </c>
      <c r="AO281" t="s">
        <v>5900</v>
      </c>
      <c r="AP281" t="s">
        <v>5901</v>
      </c>
      <c r="AQ281" t="s">
        <v>74</v>
      </c>
      <c r="AR281" t="s">
        <v>5902</v>
      </c>
      <c r="AS281" t="s">
        <v>5903</v>
      </c>
      <c r="AT281" t="s">
        <v>1270</v>
      </c>
      <c r="AU281">
        <v>2019</v>
      </c>
      <c r="AV281">
        <v>131</v>
      </c>
      <c r="AW281" t="s">
        <v>74</v>
      </c>
      <c r="AX281" t="s">
        <v>74</v>
      </c>
      <c r="AY281" t="s">
        <v>74</v>
      </c>
      <c r="AZ281" t="s">
        <v>74</v>
      </c>
      <c r="BA281" t="s">
        <v>74</v>
      </c>
      <c r="BB281" t="s">
        <v>74</v>
      </c>
      <c r="BC281" t="s">
        <v>74</v>
      </c>
      <c r="BD281">
        <v>109434</v>
      </c>
      <c r="BE281" t="s">
        <v>5923</v>
      </c>
      <c r="BF281" t="str">
        <f>HYPERLINK("http://dx.doi.org/10.1016/j.enzmictec.2019.109434","http://dx.doi.org/10.1016/j.enzmictec.2019.109434")</f>
        <v>http://dx.doi.org/10.1016/j.enzmictec.2019.109434</v>
      </c>
      <c r="BG281" t="s">
        <v>74</v>
      </c>
      <c r="BH281" t="s">
        <v>74</v>
      </c>
      <c r="BI281">
        <v>9</v>
      </c>
      <c r="BJ281" t="s">
        <v>5905</v>
      </c>
      <c r="BK281" t="s">
        <v>294</v>
      </c>
      <c r="BL281" t="s">
        <v>5905</v>
      </c>
      <c r="BM281" t="s">
        <v>5906</v>
      </c>
      <c r="BN281">
        <v>31615682</v>
      </c>
      <c r="BO281" t="s">
        <v>74</v>
      </c>
      <c r="BP281" t="s">
        <v>74</v>
      </c>
      <c r="BQ281" t="s">
        <v>74</v>
      </c>
      <c r="BR281" t="s">
        <v>108</v>
      </c>
      <c r="BS281" t="s">
        <v>5924</v>
      </c>
      <c r="BT281" t="str">
        <f>HYPERLINK("https%3A%2F%2Fwww.webofscience.com%2Fwos%2Fwoscc%2Ffull-record%2FWOS:000496607400022","View Full Record in Web of Science")</f>
        <v>View Full Record in Web of Science</v>
      </c>
    </row>
    <row r="282" spans="1:72" x14ac:dyDescent="0.15">
      <c r="A282" t="s">
        <v>133</v>
      </c>
      <c r="B282" t="s">
        <v>5925</v>
      </c>
      <c r="C282" t="s">
        <v>74</v>
      </c>
      <c r="D282" t="s">
        <v>74</v>
      </c>
      <c r="E282" t="s">
        <v>74</v>
      </c>
      <c r="F282" t="s">
        <v>5926</v>
      </c>
      <c r="G282" t="s">
        <v>74</v>
      </c>
      <c r="H282" t="s">
        <v>74</v>
      </c>
      <c r="I282" t="s">
        <v>5927</v>
      </c>
      <c r="J282" t="s">
        <v>5928</v>
      </c>
      <c r="K282" t="s">
        <v>74</v>
      </c>
      <c r="L282" t="s">
        <v>74</v>
      </c>
      <c r="M282" t="s">
        <v>80</v>
      </c>
      <c r="N282" t="s">
        <v>138</v>
      </c>
      <c r="O282" t="s">
        <v>74</v>
      </c>
      <c r="P282" t="s">
        <v>74</v>
      </c>
      <c r="Q282" t="s">
        <v>74</v>
      </c>
      <c r="R282" t="s">
        <v>74</v>
      </c>
      <c r="S282" t="s">
        <v>74</v>
      </c>
      <c r="T282" t="s">
        <v>74</v>
      </c>
      <c r="U282" t="s">
        <v>5929</v>
      </c>
      <c r="V282" t="s">
        <v>5930</v>
      </c>
      <c r="W282" t="s">
        <v>5931</v>
      </c>
      <c r="X282" t="s">
        <v>5932</v>
      </c>
      <c r="Y282" t="s">
        <v>5933</v>
      </c>
      <c r="Z282" t="s">
        <v>5934</v>
      </c>
      <c r="AA282" t="s">
        <v>74</v>
      </c>
      <c r="AB282" t="s">
        <v>5935</v>
      </c>
      <c r="AC282" t="s">
        <v>5936</v>
      </c>
      <c r="AD282" t="s">
        <v>5937</v>
      </c>
      <c r="AE282" t="s">
        <v>5938</v>
      </c>
      <c r="AF282" t="s">
        <v>74</v>
      </c>
      <c r="AG282">
        <v>71</v>
      </c>
      <c r="AH282">
        <v>14</v>
      </c>
      <c r="AI282">
        <v>14</v>
      </c>
      <c r="AJ282">
        <v>1</v>
      </c>
      <c r="AK282">
        <v>22</v>
      </c>
      <c r="AL282" t="s">
        <v>3493</v>
      </c>
      <c r="AM282" t="s">
        <v>3494</v>
      </c>
      <c r="AN282" t="s">
        <v>3495</v>
      </c>
      <c r="AO282" t="s">
        <v>5939</v>
      </c>
      <c r="AP282" t="s">
        <v>5940</v>
      </c>
      <c r="AQ282" t="s">
        <v>74</v>
      </c>
      <c r="AR282" t="s">
        <v>5941</v>
      </c>
      <c r="AS282" t="s">
        <v>5942</v>
      </c>
      <c r="AT282" t="s">
        <v>1270</v>
      </c>
      <c r="AU282">
        <v>2019</v>
      </c>
      <c r="AV282">
        <v>166</v>
      </c>
      <c r="AW282">
        <v>12</v>
      </c>
      <c r="AX282" t="s">
        <v>74</v>
      </c>
      <c r="AY282" t="s">
        <v>74</v>
      </c>
      <c r="AZ282" t="s">
        <v>74</v>
      </c>
      <c r="BA282" t="s">
        <v>74</v>
      </c>
      <c r="BB282" t="s">
        <v>74</v>
      </c>
      <c r="BC282" t="s">
        <v>74</v>
      </c>
      <c r="BD282">
        <v>161</v>
      </c>
      <c r="BE282" t="s">
        <v>5943</v>
      </c>
      <c r="BF282" t="str">
        <f>HYPERLINK("http://dx.doi.org/10.1007/s00227-019-3600-7","http://dx.doi.org/10.1007/s00227-019-3600-7")</f>
        <v>http://dx.doi.org/10.1007/s00227-019-3600-7</v>
      </c>
      <c r="BG282" t="s">
        <v>74</v>
      </c>
      <c r="BH282" t="s">
        <v>74</v>
      </c>
      <c r="BI282">
        <v>16</v>
      </c>
      <c r="BJ282" t="s">
        <v>557</v>
      </c>
      <c r="BK282" t="s">
        <v>294</v>
      </c>
      <c r="BL282" t="s">
        <v>557</v>
      </c>
      <c r="BM282" t="s">
        <v>5944</v>
      </c>
      <c r="BN282" t="s">
        <v>74</v>
      </c>
      <c r="BO282" t="s">
        <v>1482</v>
      </c>
      <c r="BP282" t="s">
        <v>74</v>
      </c>
      <c r="BQ282" t="s">
        <v>74</v>
      </c>
      <c r="BR282" t="s">
        <v>108</v>
      </c>
      <c r="BS282" t="s">
        <v>5945</v>
      </c>
      <c r="BT282" t="str">
        <f>HYPERLINK("https%3A%2F%2Fwww.webofscience.com%2Fwos%2Fwoscc%2Ffull-record%2FWOS:000496464000011","View Full Record in Web of Science")</f>
        <v>View Full Record in Web of Science</v>
      </c>
    </row>
    <row r="283" spans="1:72" x14ac:dyDescent="0.15">
      <c r="A283" t="s">
        <v>133</v>
      </c>
      <c r="B283" t="s">
        <v>5946</v>
      </c>
      <c r="C283" t="s">
        <v>74</v>
      </c>
      <c r="D283" t="s">
        <v>74</v>
      </c>
      <c r="E283" t="s">
        <v>74</v>
      </c>
      <c r="F283" t="s">
        <v>5947</v>
      </c>
      <c r="G283" t="s">
        <v>74</v>
      </c>
      <c r="H283" t="s">
        <v>74</v>
      </c>
      <c r="I283" t="s">
        <v>5948</v>
      </c>
      <c r="J283" t="s">
        <v>5949</v>
      </c>
      <c r="K283" t="s">
        <v>74</v>
      </c>
      <c r="L283" t="s">
        <v>74</v>
      </c>
      <c r="M283" t="s">
        <v>80</v>
      </c>
      <c r="N283" t="s">
        <v>138</v>
      </c>
      <c r="O283" t="s">
        <v>74</v>
      </c>
      <c r="P283" t="s">
        <v>74</v>
      </c>
      <c r="Q283" t="s">
        <v>74</v>
      </c>
      <c r="R283" t="s">
        <v>74</v>
      </c>
      <c r="S283" t="s">
        <v>74</v>
      </c>
      <c r="T283" t="s">
        <v>5950</v>
      </c>
      <c r="U283" t="s">
        <v>5951</v>
      </c>
      <c r="V283" t="s">
        <v>5952</v>
      </c>
      <c r="W283" t="s">
        <v>5953</v>
      </c>
      <c r="X283" t="s">
        <v>5954</v>
      </c>
      <c r="Y283" t="s">
        <v>5955</v>
      </c>
      <c r="Z283" t="s">
        <v>5956</v>
      </c>
      <c r="AA283" t="s">
        <v>5957</v>
      </c>
      <c r="AB283" t="s">
        <v>5958</v>
      </c>
      <c r="AC283" t="s">
        <v>5959</v>
      </c>
      <c r="AD283" t="s">
        <v>5960</v>
      </c>
      <c r="AE283" t="s">
        <v>5961</v>
      </c>
      <c r="AF283" t="s">
        <v>74</v>
      </c>
      <c r="AG283">
        <v>83</v>
      </c>
      <c r="AH283">
        <v>4</v>
      </c>
      <c r="AI283">
        <v>4</v>
      </c>
      <c r="AJ283">
        <v>1</v>
      </c>
      <c r="AK283">
        <v>7</v>
      </c>
      <c r="AL283" t="s">
        <v>5962</v>
      </c>
      <c r="AM283" t="s">
        <v>5963</v>
      </c>
      <c r="AN283" t="s">
        <v>5964</v>
      </c>
      <c r="AO283" t="s">
        <v>5965</v>
      </c>
      <c r="AP283" t="s">
        <v>5966</v>
      </c>
      <c r="AQ283" t="s">
        <v>74</v>
      </c>
      <c r="AR283" t="s">
        <v>5967</v>
      </c>
      <c r="AS283" t="s">
        <v>5968</v>
      </c>
      <c r="AT283" t="s">
        <v>1270</v>
      </c>
      <c r="AU283">
        <v>2019</v>
      </c>
      <c r="AV283">
        <v>113</v>
      </c>
      <c r="AW283">
        <v>6</v>
      </c>
      <c r="AX283" t="s">
        <v>74</v>
      </c>
      <c r="AY283" t="s">
        <v>74</v>
      </c>
      <c r="AZ283" t="s">
        <v>74</v>
      </c>
      <c r="BA283" t="s">
        <v>74</v>
      </c>
      <c r="BB283">
        <v>821</v>
      </c>
      <c r="BC283">
        <v>845</v>
      </c>
      <c r="BD283" t="s">
        <v>74</v>
      </c>
      <c r="BE283" t="s">
        <v>5969</v>
      </c>
      <c r="BF283" t="str">
        <f>HYPERLINK("http://dx.doi.org/10.1007/s00710-019-00680-0","http://dx.doi.org/10.1007/s00710-019-00680-0")</f>
        <v>http://dx.doi.org/10.1007/s00710-019-00680-0</v>
      </c>
      <c r="BG283" t="s">
        <v>74</v>
      </c>
      <c r="BH283" t="s">
        <v>74</v>
      </c>
      <c r="BI283">
        <v>25</v>
      </c>
      <c r="BJ283" t="s">
        <v>5970</v>
      </c>
      <c r="BK283" t="s">
        <v>294</v>
      </c>
      <c r="BL283" t="s">
        <v>5970</v>
      </c>
      <c r="BM283" t="s">
        <v>5971</v>
      </c>
      <c r="BN283" t="s">
        <v>74</v>
      </c>
      <c r="BO283" t="s">
        <v>74</v>
      </c>
      <c r="BP283" t="s">
        <v>74</v>
      </c>
      <c r="BQ283" t="s">
        <v>74</v>
      </c>
      <c r="BR283" t="s">
        <v>108</v>
      </c>
      <c r="BS283" t="s">
        <v>5972</v>
      </c>
      <c r="BT283" t="str">
        <f>HYPERLINK("https%3A%2F%2Fwww.webofscience.com%2Fwos%2Fwoscc%2Ffull-record%2FWOS:000496454400007","View Full Record in Web of Science")</f>
        <v>View Full Record in Web of Science</v>
      </c>
    </row>
    <row r="284" spans="1:72" x14ac:dyDescent="0.15">
      <c r="A284" t="s">
        <v>133</v>
      </c>
      <c r="B284" t="s">
        <v>5973</v>
      </c>
      <c r="C284" t="s">
        <v>74</v>
      </c>
      <c r="D284" t="s">
        <v>74</v>
      </c>
      <c r="E284" t="s">
        <v>74</v>
      </c>
      <c r="F284" t="s">
        <v>5974</v>
      </c>
      <c r="G284" t="s">
        <v>74</v>
      </c>
      <c r="H284" t="s">
        <v>74</v>
      </c>
      <c r="I284" t="s">
        <v>5975</v>
      </c>
      <c r="J284" t="s">
        <v>5976</v>
      </c>
      <c r="K284" t="s">
        <v>74</v>
      </c>
      <c r="L284" t="s">
        <v>74</v>
      </c>
      <c r="M284" t="s">
        <v>80</v>
      </c>
      <c r="N284" t="s">
        <v>138</v>
      </c>
      <c r="O284" t="s">
        <v>74</v>
      </c>
      <c r="P284" t="s">
        <v>74</v>
      </c>
      <c r="Q284" t="s">
        <v>74</v>
      </c>
      <c r="R284" t="s">
        <v>74</v>
      </c>
      <c r="S284" t="s">
        <v>74</v>
      </c>
      <c r="T284" t="s">
        <v>5977</v>
      </c>
      <c r="U284" t="s">
        <v>5978</v>
      </c>
      <c r="V284" t="s">
        <v>5979</v>
      </c>
      <c r="W284" t="s">
        <v>5980</v>
      </c>
      <c r="X284" t="s">
        <v>5981</v>
      </c>
      <c r="Y284" t="s">
        <v>5982</v>
      </c>
      <c r="Z284" t="s">
        <v>5983</v>
      </c>
      <c r="AA284" t="s">
        <v>5984</v>
      </c>
      <c r="AB284" t="s">
        <v>74</v>
      </c>
      <c r="AC284" t="s">
        <v>5985</v>
      </c>
      <c r="AD284" t="s">
        <v>5986</v>
      </c>
      <c r="AE284" t="s">
        <v>5987</v>
      </c>
      <c r="AF284" t="s">
        <v>74</v>
      </c>
      <c r="AG284">
        <v>58</v>
      </c>
      <c r="AH284">
        <v>3</v>
      </c>
      <c r="AI284">
        <v>4</v>
      </c>
      <c r="AJ284">
        <v>3</v>
      </c>
      <c r="AK284">
        <v>25</v>
      </c>
      <c r="AL284" t="s">
        <v>5988</v>
      </c>
      <c r="AM284" t="s">
        <v>5989</v>
      </c>
      <c r="AN284" t="s">
        <v>5990</v>
      </c>
      <c r="AO284" t="s">
        <v>5991</v>
      </c>
      <c r="AP284" t="s">
        <v>5992</v>
      </c>
      <c r="AQ284" t="s">
        <v>74</v>
      </c>
      <c r="AR284" t="s">
        <v>5993</v>
      </c>
      <c r="AS284" t="s">
        <v>5994</v>
      </c>
      <c r="AT284" t="s">
        <v>1270</v>
      </c>
      <c r="AU284">
        <v>2019</v>
      </c>
      <c r="AV284">
        <v>18</v>
      </c>
      <c r="AW284">
        <v>6</v>
      </c>
      <c r="AX284" t="s">
        <v>74</v>
      </c>
      <c r="AY284" t="s">
        <v>74</v>
      </c>
      <c r="AZ284" t="s">
        <v>74</v>
      </c>
      <c r="BA284" t="s">
        <v>74</v>
      </c>
      <c r="BB284">
        <v>1351</v>
      </c>
      <c r="BC284">
        <v>1359</v>
      </c>
      <c r="BD284" t="s">
        <v>74</v>
      </c>
      <c r="BE284" t="s">
        <v>5995</v>
      </c>
      <c r="BF284" t="str">
        <f>HYPERLINK("http://dx.doi.org/10.1007/s11802-019-4084-2","http://dx.doi.org/10.1007/s11802-019-4084-2")</f>
        <v>http://dx.doi.org/10.1007/s11802-019-4084-2</v>
      </c>
      <c r="BG284" t="s">
        <v>74</v>
      </c>
      <c r="BH284" t="s">
        <v>74</v>
      </c>
      <c r="BI284">
        <v>9</v>
      </c>
      <c r="BJ284" t="s">
        <v>1945</v>
      </c>
      <c r="BK284" t="s">
        <v>294</v>
      </c>
      <c r="BL284" t="s">
        <v>1945</v>
      </c>
      <c r="BM284" t="s">
        <v>5996</v>
      </c>
      <c r="BN284" t="s">
        <v>74</v>
      </c>
      <c r="BO284" t="s">
        <v>74</v>
      </c>
      <c r="BP284" t="s">
        <v>74</v>
      </c>
      <c r="BQ284" t="s">
        <v>74</v>
      </c>
      <c r="BR284" t="s">
        <v>108</v>
      </c>
      <c r="BS284" t="s">
        <v>5997</v>
      </c>
      <c r="BT284" t="str">
        <f>HYPERLINK("https%3A%2F%2Fwww.webofscience.com%2Fwos%2Fwoscc%2Ffull-record%2FWOS:000495789900012","View Full Record in Web of Science")</f>
        <v>View Full Record in Web of Science</v>
      </c>
    </row>
    <row r="285" spans="1:72" x14ac:dyDescent="0.15">
      <c r="A285" t="s">
        <v>133</v>
      </c>
      <c r="B285" t="s">
        <v>5998</v>
      </c>
      <c r="C285" t="s">
        <v>74</v>
      </c>
      <c r="D285" t="s">
        <v>74</v>
      </c>
      <c r="E285" t="s">
        <v>74</v>
      </c>
      <c r="F285" t="s">
        <v>5999</v>
      </c>
      <c r="G285" t="s">
        <v>74</v>
      </c>
      <c r="H285" t="s">
        <v>74</v>
      </c>
      <c r="I285" t="s">
        <v>6000</v>
      </c>
      <c r="J285" t="s">
        <v>5976</v>
      </c>
      <c r="K285" t="s">
        <v>74</v>
      </c>
      <c r="L285" t="s">
        <v>74</v>
      </c>
      <c r="M285" t="s">
        <v>80</v>
      </c>
      <c r="N285" t="s">
        <v>138</v>
      </c>
      <c r="O285" t="s">
        <v>74</v>
      </c>
      <c r="P285" t="s">
        <v>74</v>
      </c>
      <c r="Q285" t="s">
        <v>74</v>
      </c>
      <c r="R285" t="s">
        <v>74</v>
      </c>
      <c r="S285" t="s">
        <v>74</v>
      </c>
      <c r="T285" t="s">
        <v>6001</v>
      </c>
      <c r="U285" t="s">
        <v>6002</v>
      </c>
      <c r="V285" t="s">
        <v>6003</v>
      </c>
      <c r="W285" t="s">
        <v>6004</v>
      </c>
      <c r="X285" t="s">
        <v>6005</v>
      </c>
      <c r="Y285" t="s">
        <v>6006</v>
      </c>
      <c r="Z285" t="s">
        <v>6007</v>
      </c>
      <c r="AA285" t="s">
        <v>74</v>
      </c>
      <c r="AB285" t="s">
        <v>74</v>
      </c>
      <c r="AC285" t="s">
        <v>6008</v>
      </c>
      <c r="AD285" t="s">
        <v>6009</v>
      </c>
      <c r="AE285" t="s">
        <v>6010</v>
      </c>
      <c r="AF285" t="s">
        <v>74</v>
      </c>
      <c r="AG285">
        <v>47</v>
      </c>
      <c r="AH285">
        <v>1</v>
      </c>
      <c r="AI285">
        <v>1</v>
      </c>
      <c r="AJ285">
        <v>5</v>
      </c>
      <c r="AK285">
        <v>30</v>
      </c>
      <c r="AL285" t="s">
        <v>5988</v>
      </c>
      <c r="AM285" t="s">
        <v>5989</v>
      </c>
      <c r="AN285" t="s">
        <v>5990</v>
      </c>
      <c r="AO285" t="s">
        <v>5991</v>
      </c>
      <c r="AP285" t="s">
        <v>5992</v>
      </c>
      <c r="AQ285" t="s">
        <v>74</v>
      </c>
      <c r="AR285" t="s">
        <v>5993</v>
      </c>
      <c r="AS285" t="s">
        <v>5994</v>
      </c>
      <c r="AT285" t="s">
        <v>1270</v>
      </c>
      <c r="AU285">
        <v>2019</v>
      </c>
      <c r="AV285">
        <v>18</v>
      </c>
      <c r="AW285">
        <v>6</v>
      </c>
      <c r="AX285" t="s">
        <v>74</v>
      </c>
      <c r="AY285" t="s">
        <v>74</v>
      </c>
      <c r="AZ285" t="s">
        <v>74</v>
      </c>
      <c r="BA285" t="s">
        <v>74</v>
      </c>
      <c r="BB285">
        <v>1402</v>
      </c>
      <c r="BC285">
        <v>1410</v>
      </c>
      <c r="BD285" t="s">
        <v>74</v>
      </c>
      <c r="BE285" t="s">
        <v>6011</v>
      </c>
      <c r="BF285" t="str">
        <f>HYPERLINK("http://dx.doi.org/10.1007/s11802-019-4097-x","http://dx.doi.org/10.1007/s11802-019-4097-x")</f>
        <v>http://dx.doi.org/10.1007/s11802-019-4097-x</v>
      </c>
      <c r="BG285" t="s">
        <v>74</v>
      </c>
      <c r="BH285" t="s">
        <v>74</v>
      </c>
      <c r="BI285">
        <v>9</v>
      </c>
      <c r="BJ285" t="s">
        <v>1945</v>
      </c>
      <c r="BK285" t="s">
        <v>294</v>
      </c>
      <c r="BL285" t="s">
        <v>1945</v>
      </c>
      <c r="BM285" t="s">
        <v>5996</v>
      </c>
      <c r="BN285" t="s">
        <v>74</v>
      </c>
      <c r="BO285" t="s">
        <v>74</v>
      </c>
      <c r="BP285" t="s">
        <v>74</v>
      </c>
      <c r="BQ285" t="s">
        <v>74</v>
      </c>
      <c r="BR285" t="s">
        <v>108</v>
      </c>
      <c r="BS285" t="s">
        <v>6012</v>
      </c>
      <c r="BT285" t="str">
        <f>HYPERLINK("https%3A%2F%2Fwww.webofscience.com%2Fwos%2Fwoscc%2Ffull-record%2FWOS:000495789900017","View Full Record in Web of Science")</f>
        <v>View Full Record in Web of Science</v>
      </c>
    </row>
    <row r="286" spans="1:72" x14ac:dyDescent="0.15">
      <c r="A286" t="s">
        <v>133</v>
      </c>
      <c r="B286" t="s">
        <v>6013</v>
      </c>
      <c r="C286" t="s">
        <v>74</v>
      </c>
      <c r="D286" t="s">
        <v>74</v>
      </c>
      <c r="E286" t="s">
        <v>74</v>
      </c>
      <c r="F286" t="s">
        <v>6014</v>
      </c>
      <c r="G286" t="s">
        <v>74</v>
      </c>
      <c r="H286" t="s">
        <v>74</v>
      </c>
      <c r="I286" t="s">
        <v>6015</v>
      </c>
      <c r="J286" t="s">
        <v>6016</v>
      </c>
      <c r="K286" t="s">
        <v>74</v>
      </c>
      <c r="L286" t="s">
        <v>74</v>
      </c>
      <c r="M286" t="s">
        <v>80</v>
      </c>
      <c r="N286" t="s">
        <v>138</v>
      </c>
      <c r="O286" t="s">
        <v>74</v>
      </c>
      <c r="P286" t="s">
        <v>74</v>
      </c>
      <c r="Q286" t="s">
        <v>74</v>
      </c>
      <c r="R286" t="s">
        <v>74</v>
      </c>
      <c r="S286" t="s">
        <v>74</v>
      </c>
      <c r="T286" t="s">
        <v>6017</v>
      </c>
      <c r="U286" t="s">
        <v>6018</v>
      </c>
      <c r="V286" t="s">
        <v>6019</v>
      </c>
      <c r="W286" t="s">
        <v>6020</v>
      </c>
      <c r="X286" t="s">
        <v>6021</v>
      </c>
      <c r="Y286" t="s">
        <v>6022</v>
      </c>
      <c r="Z286" t="s">
        <v>6023</v>
      </c>
      <c r="AA286" t="s">
        <v>74</v>
      </c>
      <c r="AB286" t="s">
        <v>74</v>
      </c>
      <c r="AC286" t="s">
        <v>6024</v>
      </c>
      <c r="AD286" t="s">
        <v>6025</v>
      </c>
      <c r="AE286" t="s">
        <v>6026</v>
      </c>
      <c r="AF286" t="s">
        <v>74</v>
      </c>
      <c r="AG286">
        <v>29</v>
      </c>
      <c r="AH286">
        <v>0</v>
      </c>
      <c r="AI286">
        <v>2</v>
      </c>
      <c r="AJ286">
        <v>0</v>
      </c>
      <c r="AK286">
        <v>10</v>
      </c>
      <c r="AL286" t="s">
        <v>4977</v>
      </c>
      <c r="AM286" t="s">
        <v>3542</v>
      </c>
      <c r="AN286" t="s">
        <v>4978</v>
      </c>
      <c r="AO286" t="s">
        <v>6027</v>
      </c>
      <c r="AP286" t="s">
        <v>6028</v>
      </c>
      <c r="AQ286" t="s">
        <v>74</v>
      </c>
      <c r="AR286" t="s">
        <v>6029</v>
      </c>
      <c r="AS286" t="s">
        <v>6030</v>
      </c>
      <c r="AT286" t="s">
        <v>1270</v>
      </c>
      <c r="AU286">
        <v>2019</v>
      </c>
      <c r="AV286">
        <v>36</v>
      </c>
      <c r="AW286">
        <v>12</v>
      </c>
      <c r="AX286" t="s">
        <v>74</v>
      </c>
      <c r="AY286" t="s">
        <v>74</v>
      </c>
      <c r="AZ286" t="s">
        <v>74</v>
      </c>
      <c r="BA286" t="s">
        <v>74</v>
      </c>
      <c r="BB286">
        <v>1371</v>
      </c>
      <c r="BC286">
        <v>1380</v>
      </c>
      <c r="BD286" t="s">
        <v>74</v>
      </c>
      <c r="BE286" t="s">
        <v>6031</v>
      </c>
      <c r="BF286" t="str">
        <f>HYPERLINK("http://dx.doi.org/10.1007/s00376-019-9047-4","http://dx.doi.org/10.1007/s00376-019-9047-4")</f>
        <v>http://dx.doi.org/10.1007/s00376-019-9047-4</v>
      </c>
      <c r="BG286" t="s">
        <v>74</v>
      </c>
      <c r="BH286" t="s">
        <v>74</v>
      </c>
      <c r="BI286">
        <v>10</v>
      </c>
      <c r="BJ286" t="s">
        <v>1024</v>
      </c>
      <c r="BK286" t="s">
        <v>294</v>
      </c>
      <c r="BL286" t="s">
        <v>1024</v>
      </c>
      <c r="BM286" t="s">
        <v>6032</v>
      </c>
      <c r="BN286" t="s">
        <v>74</v>
      </c>
      <c r="BO286" t="s">
        <v>74</v>
      </c>
      <c r="BP286" t="s">
        <v>74</v>
      </c>
      <c r="BQ286" t="s">
        <v>74</v>
      </c>
      <c r="BR286" t="s">
        <v>108</v>
      </c>
      <c r="BS286" t="s">
        <v>6033</v>
      </c>
      <c r="BT286" t="str">
        <f>HYPERLINK("https%3A%2F%2Fwww.webofscience.com%2Fwos%2Fwoscc%2Ffull-record%2FWOS:000495292800006","View Full Record in Web of Science")</f>
        <v>View Full Record in Web of Science</v>
      </c>
    </row>
    <row r="287" spans="1:72" x14ac:dyDescent="0.15">
      <c r="A287" t="s">
        <v>133</v>
      </c>
      <c r="B287" t="s">
        <v>6034</v>
      </c>
      <c r="C287" t="s">
        <v>74</v>
      </c>
      <c r="D287" t="s">
        <v>74</v>
      </c>
      <c r="E287" t="s">
        <v>74</v>
      </c>
      <c r="F287" t="s">
        <v>6035</v>
      </c>
      <c r="G287" t="s">
        <v>74</v>
      </c>
      <c r="H287" t="s">
        <v>74</v>
      </c>
      <c r="I287" t="s">
        <v>6036</v>
      </c>
      <c r="J287" t="s">
        <v>6037</v>
      </c>
      <c r="K287" t="s">
        <v>74</v>
      </c>
      <c r="L287" t="s">
        <v>74</v>
      </c>
      <c r="M287" t="s">
        <v>80</v>
      </c>
      <c r="N287" t="s">
        <v>138</v>
      </c>
      <c r="O287" t="s">
        <v>74</v>
      </c>
      <c r="P287" t="s">
        <v>74</v>
      </c>
      <c r="Q287" t="s">
        <v>74</v>
      </c>
      <c r="R287" t="s">
        <v>74</v>
      </c>
      <c r="S287" t="s">
        <v>74</v>
      </c>
      <c r="T287" t="s">
        <v>6038</v>
      </c>
      <c r="U287" t="s">
        <v>6039</v>
      </c>
      <c r="V287" t="s">
        <v>6040</v>
      </c>
      <c r="W287" t="s">
        <v>6041</v>
      </c>
      <c r="X287" t="s">
        <v>6042</v>
      </c>
      <c r="Y287" t="s">
        <v>6043</v>
      </c>
      <c r="Z287" t="s">
        <v>6044</v>
      </c>
      <c r="AA287" t="s">
        <v>6045</v>
      </c>
      <c r="AB287" t="s">
        <v>6046</v>
      </c>
      <c r="AC287" t="s">
        <v>6047</v>
      </c>
      <c r="AD287" t="s">
        <v>6048</v>
      </c>
      <c r="AE287" t="s">
        <v>6049</v>
      </c>
      <c r="AF287" t="s">
        <v>74</v>
      </c>
      <c r="AG287">
        <v>31</v>
      </c>
      <c r="AH287">
        <v>3</v>
      </c>
      <c r="AI287">
        <v>3</v>
      </c>
      <c r="AJ287">
        <v>1</v>
      </c>
      <c r="AK287">
        <v>25</v>
      </c>
      <c r="AL287" t="s">
        <v>1964</v>
      </c>
      <c r="AM287" t="s">
        <v>4096</v>
      </c>
      <c r="AN287" t="s">
        <v>4097</v>
      </c>
      <c r="AO287" t="s">
        <v>6050</v>
      </c>
      <c r="AP287" t="s">
        <v>6051</v>
      </c>
      <c r="AQ287" t="s">
        <v>74</v>
      </c>
      <c r="AR287" t="s">
        <v>6052</v>
      </c>
      <c r="AS287" t="s">
        <v>6053</v>
      </c>
      <c r="AT287" t="s">
        <v>1270</v>
      </c>
      <c r="AU287">
        <v>2019</v>
      </c>
      <c r="AV287">
        <v>112</v>
      </c>
      <c r="AW287">
        <v>12</v>
      </c>
      <c r="AX287" t="s">
        <v>74</v>
      </c>
      <c r="AY287" t="s">
        <v>74</v>
      </c>
      <c r="AZ287" t="s">
        <v>74</v>
      </c>
      <c r="BA287" t="s">
        <v>74</v>
      </c>
      <c r="BB287">
        <v>1841</v>
      </c>
      <c r="BC287">
        <v>1848</v>
      </c>
      <c r="BD287" t="s">
        <v>74</v>
      </c>
      <c r="BE287" t="s">
        <v>6054</v>
      </c>
      <c r="BF287" t="str">
        <f>HYPERLINK("http://dx.doi.org/10.1007/s10482-019-01301-8","http://dx.doi.org/10.1007/s10482-019-01301-8")</f>
        <v>http://dx.doi.org/10.1007/s10482-019-01301-8</v>
      </c>
      <c r="BG287" t="s">
        <v>74</v>
      </c>
      <c r="BH287" t="s">
        <v>74</v>
      </c>
      <c r="BI287">
        <v>8</v>
      </c>
      <c r="BJ287" t="s">
        <v>1713</v>
      </c>
      <c r="BK287" t="s">
        <v>294</v>
      </c>
      <c r="BL287" t="s">
        <v>1713</v>
      </c>
      <c r="BM287" t="s">
        <v>6055</v>
      </c>
      <c r="BN287">
        <v>31388868</v>
      </c>
      <c r="BO287" t="s">
        <v>74</v>
      </c>
      <c r="BP287" t="s">
        <v>74</v>
      </c>
      <c r="BQ287" t="s">
        <v>74</v>
      </c>
      <c r="BR287" t="s">
        <v>108</v>
      </c>
      <c r="BS287" t="s">
        <v>6056</v>
      </c>
      <c r="BT287" t="str">
        <f>HYPERLINK("https%3A%2F%2Fwww.webofscience.com%2Fwos%2Fwoscc%2Ffull-record%2FWOS:000494890500013","View Full Record in Web of Science")</f>
        <v>View Full Record in Web of Science</v>
      </c>
    </row>
    <row r="288" spans="1:72" x14ac:dyDescent="0.15">
      <c r="A288" t="s">
        <v>133</v>
      </c>
      <c r="B288" t="s">
        <v>6057</v>
      </c>
      <c r="C288" t="s">
        <v>74</v>
      </c>
      <c r="D288" t="s">
        <v>74</v>
      </c>
      <c r="E288" t="s">
        <v>74</v>
      </c>
      <c r="F288" t="s">
        <v>6058</v>
      </c>
      <c r="G288" t="s">
        <v>74</v>
      </c>
      <c r="H288" t="s">
        <v>74</v>
      </c>
      <c r="I288" t="s">
        <v>6059</v>
      </c>
      <c r="J288" t="s">
        <v>6060</v>
      </c>
      <c r="K288" t="s">
        <v>74</v>
      </c>
      <c r="L288" t="s">
        <v>74</v>
      </c>
      <c r="M288" t="s">
        <v>80</v>
      </c>
      <c r="N288" t="s">
        <v>138</v>
      </c>
      <c r="O288" t="s">
        <v>74</v>
      </c>
      <c r="P288" t="s">
        <v>74</v>
      </c>
      <c r="Q288" t="s">
        <v>74</v>
      </c>
      <c r="R288" t="s">
        <v>74</v>
      </c>
      <c r="S288" t="s">
        <v>74</v>
      </c>
      <c r="T288" t="s">
        <v>6061</v>
      </c>
      <c r="U288" t="s">
        <v>6062</v>
      </c>
      <c r="V288" t="s">
        <v>6063</v>
      </c>
      <c r="W288" t="s">
        <v>6064</v>
      </c>
      <c r="X288" t="s">
        <v>6065</v>
      </c>
      <c r="Y288" t="s">
        <v>6066</v>
      </c>
      <c r="Z288" t="s">
        <v>6067</v>
      </c>
      <c r="AA288" t="s">
        <v>6068</v>
      </c>
      <c r="AB288" t="s">
        <v>6069</v>
      </c>
      <c r="AC288" t="s">
        <v>6070</v>
      </c>
      <c r="AD288" t="s">
        <v>6071</v>
      </c>
      <c r="AE288" t="s">
        <v>74</v>
      </c>
      <c r="AF288" t="s">
        <v>74</v>
      </c>
      <c r="AG288">
        <v>39</v>
      </c>
      <c r="AH288">
        <v>16</v>
      </c>
      <c r="AI288">
        <v>16</v>
      </c>
      <c r="AJ288">
        <v>1</v>
      </c>
      <c r="AK288">
        <v>49</v>
      </c>
      <c r="AL288" t="s">
        <v>1964</v>
      </c>
      <c r="AM288" t="s">
        <v>4096</v>
      </c>
      <c r="AN288" t="s">
        <v>4097</v>
      </c>
      <c r="AO288" t="s">
        <v>6072</v>
      </c>
      <c r="AP288" t="s">
        <v>6073</v>
      </c>
      <c r="AQ288" t="s">
        <v>74</v>
      </c>
      <c r="AR288" t="s">
        <v>6060</v>
      </c>
      <c r="AS288" t="s">
        <v>6074</v>
      </c>
      <c r="AT288" t="s">
        <v>1270</v>
      </c>
      <c r="AU288">
        <v>2019</v>
      </c>
      <c r="AV288">
        <v>55</v>
      </c>
      <c r="AW288">
        <v>6</v>
      </c>
      <c r="AX288" t="s">
        <v>74</v>
      </c>
      <c r="AY288" t="s">
        <v>74</v>
      </c>
      <c r="AZ288" t="s">
        <v>74</v>
      </c>
      <c r="BA288" t="s">
        <v>74</v>
      </c>
      <c r="BB288">
        <v>834</v>
      </c>
      <c r="BC288">
        <v>842</v>
      </c>
      <c r="BD288" t="s">
        <v>74</v>
      </c>
      <c r="BE288" t="s">
        <v>6075</v>
      </c>
      <c r="BF288" t="str">
        <f>HYPERLINK("http://dx.doi.org/10.1007/s11262-019-01699-3","http://dx.doi.org/10.1007/s11262-019-01699-3")</f>
        <v>http://dx.doi.org/10.1007/s11262-019-01699-3</v>
      </c>
      <c r="BG288" t="s">
        <v>74</v>
      </c>
      <c r="BH288" t="s">
        <v>74</v>
      </c>
      <c r="BI288">
        <v>9</v>
      </c>
      <c r="BJ288" t="s">
        <v>6076</v>
      </c>
      <c r="BK288" t="s">
        <v>294</v>
      </c>
      <c r="BL288" t="s">
        <v>6076</v>
      </c>
      <c r="BM288" t="s">
        <v>6077</v>
      </c>
      <c r="BN288">
        <v>31420829</v>
      </c>
      <c r="BO288" t="s">
        <v>74</v>
      </c>
      <c r="BP288" t="s">
        <v>74</v>
      </c>
      <c r="BQ288" t="s">
        <v>74</v>
      </c>
      <c r="BR288" t="s">
        <v>108</v>
      </c>
      <c r="BS288" t="s">
        <v>6078</v>
      </c>
      <c r="BT288" t="str">
        <f>HYPERLINK("https%3A%2F%2Fwww.webofscience.com%2Fwos%2Fwoscc%2Ffull-record%2FWOS:000494483500009","View Full Record in Web of Science")</f>
        <v>View Full Record in Web of Science</v>
      </c>
    </row>
    <row r="289" spans="1:72" x14ac:dyDescent="0.15">
      <c r="A289" t="s">
        <v>133</v>
      </c>
      <c r="B289" t="s">
        <v>6079</v>
      </c>
      <c r="C289" t="s">
        <v>74</v>
      </c>
      <c r="D289" t="s">
        <v>74</v>
      </c>
      <c r="E289" t="s">
        <v>74</v>
      </c>
      <c r="F289" t="s">
        <v>6080</v>
      </c>
      <c r="G289" t="s">
        <v>74</v>
      </c>
      <c r="H289" t="s">
        <v>74</v>
      </c>
      <c r="I289" t="s">
        <v>6081</v>
      </c>
      <c r="J289" t="s">
        <v>6082</v>
      </c>
      <c r="K289" t="s">
        <v>74</v>
      </c>
      <c r="L289" t="s">
        <v>74</v>
      </c>
      <c r="M289" t="s">
        <v>80</v>
      </c>
      <c r="N289" t="s">
        <v>138</v>
      </c>
      <c r="O289" t="s">
        <v>74</v>
      </c>
      <c r="P289" t="s">
        <v>74</v>
      </c>
      <c r="Q289" t="s">
        <v>74</v>
      </c>
      <c r="R289" t="s">
        <v>74</v>
      </c>
      <c r="S289" t="s">
        <v>74</v>
      </c>
      <c r="T289" t="s">
        <v>6083</v>
      </c>
      <c r="U289" t="s">
        <v>6084</v>
      </c>
      <c r="V289" t="s">
        <v>6085</v>
      </c>
      <c r="W289" t="s">
        <v>6086</v>
      </c>
      <c r="X289" t="s">
        <v>6087</v>
      </c>
      <c r="Y289" t="s">
        <v>6088</v>
      </c>
      <c r="Z289" t="s">
        <v>6089</v>
      </c>
      <c r="AA289" t="s">
        <v>6090</v>
      </c>
      <c r="AB289" t="s">
        <v>6091</v>
      </c>
      <c r="AC289" t="s">
        <v>6092</v>
      </c>
      <c r="AD289" t="s">
        <v>6093</v>
      </c>
      <c r="AE289" t="s">
        <v>6094</v>
      </c>
      <c r="AF289" t="s">
        <v>74</v>
      </c>
      <c r="AG289">
        <v>88</v>
      </c>
      <c r="AH289">
        <v>22</v>
      </c>
      <c r="AI289">
        <v>22</v>
      </c>
      <c r="AJ289">
        <v>2</v>
      </c>
      <c r="AK289">
        <v>82</v>
      </c>
      <c r="AL289" t="s">
        <v>5898</v>
      </c>
      <c r="AM289" t="s">
        <v>1965</v>
      </c>
      <c r="AN289" t="s">
        <v>5899</v>
      </c>
      <c r="AO289" t="s">
        <v>6095</v>
      </c>
      <c r="AP289" t="s">
        <v>6096</v>
      </c>
      <c r="AQ289" t="s">
        <v>74</v>
      </c>
      <c r="AR289" t="s">
        <v>6097</v>
      </c>
      <c r="AS289" t="s">
        <v>6098</v>
      </c>
      <c r="AT289" t="s">
        <v>1270</v>
      </c>
      <c r="AU289">
        <v>2019</v>
      </c>
      <c r="AV289">
        <v>238</v>
      </c>
      <c r="AW289" t="s">
        <v>74</v>
      </c>
      <c r="AX289" t="s">
        <v>74</v>
      </c>
      <c r="AY289" t="s">
        <v>74</v>
      </c>
      <c r="AZ289" t="s">
        <v>74</v>
      </c>
      <c r="BA289" t="s">
        <v>74</v>
      </c>
      <c r="BB289" t="s">
        <v>74</v>
      </c>
      <c r="BC289" t="s">
        <v>74</v>
      </c>
      <c r="BD289">
        <v>110321</v>
      </c>
      <c r="BE289" t="s">
        <v>6099</v>
      </c>
      <c r="BF289" t="str">
        <f>HYPERLINK("http://dx.doi.org/10.1016/j.cbpb.2019.110321","http://dx.doi.org/10.1016/j.cbpb.2019.110321")</f>
        <v>http://dx.doi.org/10.1016/j.cbpb.2019.110321</v>
      </c>
      <c r="BG289" t="s">
        <v>74</v>
      </c>
      <c r="BH289" t="s">
        <v>74</v>
      </c>
      <c r="BI289">
        <v>8</v>
      </c>
      <c r="BJ289" t="s">
        <v>6100</v>
      </c>
      <c r="BK289" t="s">
        <v>294</v>
      </c>
      <c r="BL289" t="s">
        <v>6100</v>
      </c>
      <c r="BM289" t="s">
        <v>6101</v>
      </c>
      <c r="BN289">
        <v>31472240</v>
      </c>
      <c r="BO289" t="s">
        <v>666</v>
      </c>
      <c r="BP289" t="s">
        <v>74</v>
      </c>
      <c r="BQ289" t="s">
        <v>74</v>
      </c>
      <c r="BR289" t="s">
        <v>108</v>
      </c>
      <c r="BS289" t="s">
        <v>6102</v>
      </c>
      <c r="BT289" t="str">
        <f>HYPERLINK("https%3A%2F%2Fwww.webofscience.com%2Fwos%2Fwoscc%2Ffull-record%2FWOS:000493213400007","View Full Record in Web of Science")</f>
        <v>View Full Record in Web of Science</v>
      </c>
    </row>
    <row r="290" spans="1:72" x14ac:dyDescent="0.15">
      <c r="A290" t="s">
        <v>133</v>
      </c>
      <c r="B290" t="s">
        <v>6103</v>
      </c>
      <c r="C290" t="s">
        <v>74</v>
      </c>
      <c r="D290" t="s">
        <v>74</v>
      </c>
      <c r="E290" t="s">
        <v>74</v>
      </c>
      <c r="F290" t="s">
        <v>6104</v>
      </c>
      <c r="G290" t="s">
        <v>74</v>
      </c>
      <c r="H290" t="s">
        <v>74</v>
      </c>
      <c r="I290" t="s">
        <v>6105</v>
      </c>
      <c r="J290" t="s">
        <v>6106</v>
      </c>
      <c r="K290" t="s">
        <v>74</v>
      </c>
      <c r="L290" t="s">
        <v>74</v>
      </c>
      <c r="M290" t="s">
        <v>80</v>
      </c>
      <c r="N290" t="s">
        <v>138</v>
      </c>
      <c r="O290" t="s">
        <v>74</v>
      </c>
      <c r="P290" t="s">
        <v>74</v>
      </c>
      <c r="Q290" t="s">
        <v>74</v>
      </c>
      <c r="R290" t="s">
        <v>74</v>
      </c>
      <c r="S290" t="s">
        <v>74</v>
      </c>
      <c r="T290" t="s">
        <v>6107</v>
      </c>
      <c r="U290" t="s">
        <v>6108</v>
      </c>
      <c r="V290" t="s">
        <v>6109</v>
      </c>
      <c r="W290" t="s">
        <v>6110</v>
      </c>
      <c r="X290" t="s">
        <v>6111</v>
      </c>
      <c r="Y290" t="s">
        <v>6112</v>
      </c>
      <c r="Z290" t="s">
        <v>6113</v>
      </c>
      <c r="AA290" t="s">
        <v>6114</v>
      </c>
      <c r="AB290" t="s">
        <v>6115</v>
      </c>
      <c r="AC290" t="s">
        <v>6116</v>
      </c>
      <c r="AD290" t="s">
        <v>6117</v>
      </c>
      <c r="AE290" t="s">
        <v>6118</v>
      </c>
      <c r="AF290" t="s">
        <v>74</v>
      </c>
      <c r="AG290">
        <v>43</v>
      </c>
      <c r="AH290">
        <v>0</v>
      </c>
      <c r="AI290">
        <v>0</v>
      </c>
      <c r="AJ290">
        <v>0</v>
      </c>
      <c r="AK290">
        <v>2</v>
      </c>
      <c r="AL290" t="s">
        <v>1964</v>
      </c>
      <c r="AM290" t="s">
        <v>1965</v>
      </c>
      <c r="AN290" t="s">
        <v>1966</v>
      </c>
      <c r="AO290" t="s">
        <v>6119</v>
      </c>
      <c r="AP290" t="s">
        <v>6120</v>
      </c>
      <c r="AQ290" t="s">
        <v>74</v>
      </c>
      <c r="AR290" t="s">
        <v>6106</v>
      </c>
      <c r="AS290" t="s">
        <v>6121</v>
      </c>
      <c r="AT290" t="s">
        <v>1270</v>
      </c>
      <c r="AU290">
        <v>2019</v>
      </c>
      <c r="AV290">
        <v>138</v>
      </c>
      <c r="AW290">
        <v>4</v>
      </c>
      <c r="AX290" t="s">
        <v>74</v>
      </c>
      <c r="AY290" t="s">
        <v>74</v>
      </c>
      <c r="AZ290" t="s">
        <v>74</v>
      </c>
      <c r="BA290" t="s">
        <v>74</v>
      </c>
      <c r="BB290">
        <v>525</v>
      </c>
      <c r="BC290">
        <v>534</v>
      </c>
      <c r="BD290" t="s">
        <v>74</v>
      </c>
      <c r="BE290" t="s">
        <v>6122</v>
      </c>
      <c r="BF290" t="str">
        <f>HYPERLINK("http://dx.doi.org/10.1007/s00435-019-00459-z","http://dx.doi.org/10.1007/s00435-019-00459-z")</f>
        <v>http://dx.doi.org/10.1007/s00435-019-00459-z</v>
      </c>
      <c r="BG290" t="s">
        <v>74</v>
      </c>
      <c r="BH290" t="s">
        <v>74</v>
      </c>
      <c r="BI290">
        <v>10</v>
      </c>
      <c r="BJ290" t="s">
        <v>6123</v>
      </c>
      <c r="BK290" t="s">
        <v>294</v>
      </c>
      <c r="BL290" t="s">
        <v>6123</v>
      </c>
      <c r="BM290" t="s">
        <v>6124</v>
      </c>
      <c r="BN290" t="s">
        <v>74</v>
      </c>
      <c r="BO290" t="s">
        <v>74</v>
      </c>
      <c r="BP290" t="s">
        <v>74</v>
      </c>
      <c r="BQ290" t="s">
        <v>74</v>
      </c>
      <c r="BR290" t="s">
        <v>108</v>
      </c>
      <c r="BS290" t="s">
        <v>6125</v>
      </c>
      <c r="BT290" t="str">
        <f>HYPERLINK("https%3A%2F%2Fwww.webofscience.com%2Fwos%2Fwoscc%2Ffull-record%2FWOS:000492038500009","View Full Record in Web of Science")</f>
        <v>View Full Record in Web of Science</v>
      </c>
    </row>
    <row r="291" spans="1:72" x14ac:dyDescent="0.15">
      <c r="A291" t="s">
        <v>133</v>
      </c>
      <c r="B291" t="s">
        <v>6126</v>
      </c>
      <c r="C291" t="s">
        <v>74</v>
      </c>
      <c r="D291" t="s">
        <v>74</v>
      </c>
      <c r="E291" t="s">
        <v>74</v>
      </c>
      <c r="F291" t="s">
        <v>6127</v>
      </c>
      <c r="G291" t="s">
        <v>74</v>
      </c>
      <c r="H291" t="s">
        <v>74</v>
      </c>
      <c r="I291" t="s">
        <v>6128</v>
      </c>
      <c r="J291" t="s">
        <v>6129</v>
      </c>
      <c r="K291" t="s">
        <v>74</v>
      </c>
      <c r="L291" t="s">
        <v>74</v>
      </c>
      <c r="M291" t="s">
        <v>80</v>
      </c>
      <c r="N291" t="s">
        <v>138</v>
      </c>
      <c r="O291" t="s">
        <v>74</v>
      </c>
      <c r="P291" t="s">
        <v>74</v>
      </c>
      <c r="Q291" t="s">
        <v>74</v>
      </c>
      <c r="R291" t="s">
        <v>74</v>
      </c>
      <c r="S291" t="s">
        <v>74</v>
      </c>
      <c r="T291" t="s">
        <v>6130</v>
      </c>
      <c r="U291" t="s">
        <v>6131</v>
      </c>
      <c r="V291" t="s">
        <v>6132</v>
      </c>
      <c r="W291" t="s">
        <v>6133</v>
      </c>
      <c r="X291" t="s">
        <v>6134</v>
      </c>
      <c r="Y291" t="s">
        <v>6135</v>
      </c>
      <c r="Z291" t="s">
        <v>6136</v>
      </c>
      <c r="AA291" t="s">
        <v>6137</v>
      </c>
      <c r="AB291" t="s">
        <v>6138</v>
      </c>
      <c r="AC291" t="s">
        <v>6139</v>
      </c>
      <c r="AD291" t="s">
        <v>6140</v>
      </c>
      <c r="AE291" t="s">
        <v>6141</v>
      </c>
      <c r="AF291" t="s">
        <v>74</v>
      </c>
      <c r="AG291">
        <v>50</v>
      </c>
      <c r="AH291">
        <v>12</v>
      </c>
      <c r="AI291">
        <v>13</v>
      </c>
      <c r="AJ291">
        <v>1</v>
      </c>
      <c r="AK291">
        <v>8</v>
      </c>
      <c r="AL291" t="s">
        <v>284</v>
      </c>
      <c r="AM291" t="s">
        <v>285</v>
      </c>
      <c r="AN291" t="s">
        <v>286</v>
      </c>
      <c r="AO291" t="s">
        <v>6142</v>
      </c>
      <c r="AP291" t="s">
        <v>6143</v>
      </c>
      <c r="AQ291" t="s">
        <v>74</v>
      </c>
      <c r="AR291" t="s">
        <v>6144</v>
      </c>
      <c r="AS291" t="s">
        <v>6145</v>
      </c>
      <c r="AT291" t="s">
        <v>3909</v>
      </c>
      <c r="AU291">
        <v>2019</v>
      </c>
      <c r="AV291">
        <v>527</v>
      </c>
      <c r="AW291" t="s">
        <v>74</v>
      </c>
      <c r="AX291" t="s">
        <v>74</v>
      </c>
      <c r="AY291" t="s">
        <v>74</v>
      </c>
      <c r="AZ291" t="s">
        <v>74</v>
      </c>
      <c r="BA291" t="s">
        <v>74</v>
      </c>
      <c r="BB291" t="s">
        <v>74</v>
      </c>
      <c r="BC291" t="s">
        <v>74</v>
      </c>
      <c r="BD291">
        <v>115787</v>
      </c>
      <c r="BE291" t="s">
        <v>6146</v>
      </c>
      <c r="BF291" t="str">
        <f>HYPERLINK("http://dx.doi.org/10.1016/j.epsl.2019.115787","http://dx.doi.org/10.1016/j.epsl.2019.115787")</f>
        <v>http://dx.doi.org/10.1016/j.epsl.2019.115787</v>
      </c>
      <c r="BG291" t="s">
        <v>74</v>
      </c>
      <c r="BH291" t="s">
        <v>74</v>
      </c>
      <c r="BI291">
        <v>15</v>
      </c>
      <c r="BJ291" t="s">
        <v>1067</v>
      </c>
      <c r="BK291" t="s">
        <v>294</v>
      </c>
      <c r="BL291" t="s">
        <v>1067</v>
      </c>
      <c r="BM291" t="s">
        <v>6147</v>
      </c>
      <c r="BN291" t="s">
        <v>74</v>
      </c>
      <c r="BO291" t="s">
        <v>74</v>
      </c>
      <c r="BP291" t="s">
        <v>74</v>
      </c>
      <c r="BQ291" t="s">
        <v>74</v>
      </c>
      <c r="BR291" t="s">
        <v>108</v>
      </c>
      <c r="BS291" t="s">
        <v>6148</v>
      </c>
      <c r="BT291" t="str">
        <f>HYPERLINK("https%3A%2F%2Fwww.webofscience.com%2Fwos%2Fwoscc%2Ffull-record%2FWOS:000491609700002","View Full Record in Web of Science")</f>
        <v>View Full Record in Web of Science</v>
      </c>
    </row>
    <row r="292" spans="1:72" x14ac:dyDescent="0.15">
      <c r="A292" t="s">
        <v>133</v>
      </c>
      <c r="B292" t="s">
        <v>1045</v>
      </c>
      <c r="C292" t="s">
        <v>74</v>
      </c>
      <c r="D292" t="s">
        <v>74</v>
      </c>
      <c r="E292" t="s">
        <v>74</v>
      </c>
      <c r="F292" t="s">
        <v>1046</v>
      </c>
      <c r="G292" t="s">
        <v>74</v>
      </c>
      <c r="H292" t="s">
        <v>74</v>
      </c>
      <c r="I292" t="s">
        <v>6149</v>
      </c>
      <c r="J292" t="s">
        <v>6129</v>
      </c>
      <c r="K292" t="s">
        <v>74</v>
      </c>
      <c r="L292" t="s">
        <v>74</v>
      </c>
      <c r="M292" t="s">
        <v>80</v>
      </c>
      <c r="N292" t="s">
        <v>138</v>
      </c>
      <c r="O292" t="s">
        <v>74</v>
      </c>
      <c r="P292" t="s">
        <v>74</v>
      </c>
      <c r="Q292" t="s">
        <v>74</v>
      </c>
      <c r="R292" t="s">
        <v>74</v>
      </c>
      <c r="S292" t="s">
        <v>74</v>
      </c>
      <c r="T292" t="s">
        <v>6150</v>
      </c>
      <c r="U292" t="s">
        <v>6151</v>
      </c>
      <c r="V292" t="s">
        <v>6152</v>
      </c>
      <c r="W292" t="s">
        <v>6153</v>
      </c>
      <c r="X292" t="s">
        <v>6154</v>
      </c>
      <c r="Y292" t="s">
        <v>6155</v>
      </c>
      <c r="Z292" t="s">
        <v>6156</v>
      </c>
      <c r="AA292" t="s">
        <v>1056</v>
      </c>
      <c r="AB292" t="s">
        <v>6157</v>
      </c>
      <c r="AC292" t="s">
        <v>6158</v>
      </c>
      <c r="AD292" t="s">
        <v>6159</v>
      </c>
      <c r="AE292" t="s">
        <v>6160</v>
      </c>
      <c r="AF292" t="s">
        <v>74</v>
      </c>
      <c r="AG292">
        <v>59</v>
      </c>
      <c r="AH292">
        <v>19</v>
      </c>
      <c r="AI292">
        <v>20</v>
      </c>
      <c r="AJ292">
        <v>1</v>
      </c>
      <c r="AK292">
        <v>28</v>
      </c>
      <c r="AL292" t="s">
        <v>284</v>
      </c>
      <c r="AM292" t="s">
        <v>285</v>
      </c>
      <c r="AN292" t="s">
        <v>286</v>
      </c>
      <c r="AO292" t="s">
        <v>6142</v>
      </c>
      <c r="AP292" t="s">
        <v>6143</v>
      </c>
      <c r="AQ292" t="s">
        <v>74</v>
      </c>
      <c r="AR292" t="s">
        <v>6144</v>
      </c>
      <c r="AS292" t="s">
        <v>6145</v>
      </c>
      <c r="AT292" t="s">
        <v>3909</v>
      </c>
      <c r="AU292">
        <v>2019</v>
      </c>
      <c r="AV292">
        <v>527</v>
      </c>
      <c r="AW292" t="s">
        <v>74</v>
      </c>
      <c r="AX292" t="s">
        <v>74</v>
      </c>
      <c r="AY292" t="s">
        <v>74</v>
      </c>
      <c r="AZ292" t="s">
        <v>74</v>
      </c>
      <c r="BA292" t="s">
        <v>74</v>
      </c>
      <c r="BB292" t="s">
        <v>74</v>
      </c>
      <c r="BC292" t="s">
        <v>74</v>
      </c>
      <c r="BD292">
        <v>115799</v>
      </c>
      <c r="BE292" t="s">
        <v>6161</v>
      </c>
      <c r="BF292" t="str">
        <f>HYPERLINK("http://dx.doi.org/10.1016/j.epsl.2019.115799","http://dx.doi.org/10.1016/j.epsl.2019.115799")</f>
        <v>http://dx.doi.org/10.1016/j.epsl.2019.115799</v>
      </c>
      <c r="BG292" t="s">
        <v>74</v>
      </c>
      <c r="BH292" t="s">
        <v>74</v>
      </c>
      <c r="BI292">
        <v>13</v>
      </c>
      <c r="BJ292" t="s">
        <v>1067</v>
      </c>
      <c r="BK292" t="s">
        <v>294</v>
      </c>
      <c r="BL292" t="s">
        <v>1067</v>
      </c>
      <c r="BM292" t="s">
        <v>6147</v>
      </c>
      <c r="BN292" t="s">
        <v>74</v>
      </c>
      <c r="BO292" t="s">
        <v>638</v>
      </c>
      <c r="BP292" t="s">
        <v>74</v>
      </c>
      <c r="BQ292" t="s">
        <v>74</v>
      </c>
      <c r="BR292" t="s">
        <v>108</v>
      </c>
      <c r="BS292" t="s">
        <v>6162</v>
      </c>
      <c r="BT292" t="str">
        <f>HYPERLINK("https%3A%2F%2Fwww.webofscience.com%2Fwos%2Fwoscc%2Ffull-record%2FWOS:000491609700013","View Full Record in Web of Science")</f>
        <v>View Full Record in Web of Science</v>
      </c>
    </row>
    <row r="293" spans="1:72" x14ac:dyDescent="0.15">
      <c r="A293" t="s">
        <v>133</v>
      </c>
      <c r="B293" t="s">
        <v>6163</v>
      </c>
      <c r="C293" t="s">
        <v>74</v>
      </c>
      <c r="D293" t="s">
        <v>74</v>
      </c>
      <c r="E293" t="s">
        <v>74</v>
      </c>
      <c r="F293" t="s">
        <v>6164</v>
      </c>
      <c r="G293" t="s">
        <v>74</v>
      </c>
      <c r="H293" t="s">
        <v>74</v>
      </c>
      <c r="I293" t="s">
        <v>6165</v>
      </c>
      <c r="J293" t="s">
        <v>1048</v>
      </c>
      <c r="K293" t="s">
        <v>74</v>
      </c>
      <c r="L293" t="s">
        <v>74</v>
      </c>
      <c r="M293" t="s">
        <v>80</v>
      </c>
      <c r="N293" t="s">
        <v>138</v>
      </c>
      <c r="O293" t="s">
        <v>74</v>
      </c>
      <c r="P293" t="s">
        <v>74</v>
      </c>
      <c r="Q293" t="s">
        <v>74</v>
      </c>
      <c r="R293" t="s">
        <v>74</v>
      </c>
      <c r="S293" t="s">
        <v>74</v>
      </c>
      <c r="T293" t="s">
        <v>6166</v>
      </c>
      <c r="U293" t="s">
        <v>6167</v>
      </c>
      <c r="V293" t="s">
        <v>6168</v>
      </c>
      <c r="W293" t="s">
        <v>6169</v>
      </c>
      <c r="X293" t="s">
        <v>6170</v>
      </c>
      <c r="Y293" t="s">
        <v>6171</v>
      </c>
      <c r="Z293" t="s">
        <v>6172</v>
      </c>
      <c r="AA293" t="s">
        <v>6173</v>
      </c>
      <c r="AB293" t="s">
        <v>6174</v>
      </c>
      <c r="AC293" t="s">
        <v>6175</v>
      </c>
      <c r="AD293" t="s">
        <v>6176</v>
      </c>
      <c r="AE293" t="s">
        <v>6177</v>
      </c>
      <c r="AF293" t="s">
        <v>74</v>
      </c>
      <c r="AG293">
        <v>110</v>
      </c>
      <c r="AH293">
        <v>38</v>
      </c>
      <c r="AI293">
        <v>44</v>
      </c>
      <c r="AJ293">
        <v>2</v>
      </c>
      <c r="AK293">
        <v>26</v>
      </c>
      <c r="AL293" t="s">
        <v>379</v>
      </c>
      <c r="AM293" t="s">
        <v>380</v>
      </c>
      <c r="AN293" t="s">
        <v>381</v>
      </c>
      <c r="AO293" t="s">
        <v>1061</v>
      </c>
      <c r="AP293" t="s">
        <v>1062</v>
      </c>
      <c r="AQ293" t="s">
        <v>74</v>
      </c>
      <c r="AR293" t="s">
        <v>1063</v>
      </c>
      <c r="AS293" t="s">
        <v>1064</v>
      </c>
      <c r="AT293" t="s">
        <v>3909</v>
      </c>
      <c r="AU293">
        <v>2019</v>
      </c>
      <c r="AV293">
        <v>266</v>
      </c>
      <c r="AW293" t="s">
        <v>74</v>
      </c>
      <c r="AX293" t="s">
        <v>74</v>
      </c>
      <c r="AY293" t="s">
        <v>74</v>
      </c>
      <c r="AZ293" t="s">
        <v>555</v>
      </c>
      <c r="BA293" t="s">
        <v>74</v>
      </c>
      <c r="BB293">
        <v>144</v>
      </c>
      <c r="BC293">
        <v>162</v>
      </c>
      <c r="BD293" t="s">
        <v>74</v>
      </c>
      <c r="BE293" t="s">
        <v>6178</v>
      </c>
      <c r="BF293" t="str">
        <f>HYPERLINK("http://dx.doi.org/10.1016/j.gca.2018.12.032","http://dx.doi.org/10.1016/j.gca.2018.12.032")</f>
        <v>http://dx.doi.org/10.1016/j.gca.2018.12.032</v>
      </c>
      <c r="BG293" t="s">
        <v>74</v>
      </c>
      <c r="BH293" t="s">
        <v>74</v>
      </c>
      <c r="BI293">
        <v>19</v>
      </c>
      <c r="BJ293" t="s">
        <v>1067</v>
      </c>
      <c r="BK293" t="s">
        <v>294</v>
      </c>
      <c r="BL293" t="s">
        <v>1067</v>
      </c>
      <c r="BM293" t="s">
        <v>6179</v>
      </c>
      <c r="BN293" t="s">
        <v>74</v>
      </c>
      <c r="BO293" t="s">
        <v>1092</v>
      </c>
      <c r="BP293" t="s">
        <v>74</v>
      </c>
      <c r="BQ293" t="s">
        <v>74</v>
      </c>
      <c r="BR293" t="s">
        <v>108</v>
      </c>
      <c r="BS293" t="s">
        <v>6180</v>
      </c>
      <c r="BT293" t="str">
        <f>HYPERLINK("https%3A%2F%2Fwww.webofscience.com%2Fwos%2Fwoscc%2Ffull-record%2FWOS:000491872000009","View Full Record in Web of Science")</f>
        <v>View Full Record in Web of Science</v>
      </c>
    </row>
    <row r="294" spans="1:72" x14ac:dyDescent="0.15">
      <c r="A294" t="s">
        <v>133</v>
      </c>
      <c r="B294" t="s">
        <v>6181</v>
      </c>
      <c r="C294" t="s">
        <v>74</v>
      </c>
      <c r="D294" t="s">
        <v>74</v>
      </c>
      <c r="E294" t="s">
        <v>74</v>
      </c>
      <c r="F294" t="s">
        <v>6182</v>
      </c>
      <c r="G294" t="s">
        <v>74</v>
      </c>
      <c r="H294" t="s">
        <v>74</v>
      </c>
      <c r="I294" t="s">
        <v>6183</v>
      </c>
      <c r="J294" t="s">
        <v>1048</v>
      </c>
      <c r="K294" t="s">
        <v>74</v>
      </c>
      <c r="L294" t="s">
        <v>74</v>
      </c>
      <c r="M294" t="s">
        <v>80</v>
      </c>
      <c r="N294" t="s">
        <v>138</v>
      </c>
      <c r="O294" t="s">
        <v>74</v>
      </c>
      <c r="P294" t="s">
        <v>74</v>
      </c>
      <c r="Q294" t="s">
        <v>74</v>
      </c>
      <c r="R294" t="s">
        <v>74</v>
      </c>
      <c r="S294" t="s">
        <v>74</v>
      </c>
      <c r="T294" t="s">
        <v>6184</v>
      </c>
      <c r="U294" t="s">
        <v>6185</v>
      </c>
      <c r="V294" t="s">
        <v>6186</v>
      </c>
      <c r="W294" t="s">
        <v>6187</v>
      </c>
      <c r="X294" t="s">
        <v>6188</v>
      </c>
      <c r="Y294" t="s">
        <v>6189</v>
      </c>
      <c r="Z294" t="s">
        <v>6190</v>
      </c>
      <c r="AA294" t="s">
        <v>6191</v>
      </c>
      <c r="AB294" t="s">
        <v>6192</v>
      </c>
      <c r="AC294" t="s">
        <v>6193</v>
      </c>
      <c r="AD294" t="s">
        <v>6194</v>
      </c>
      <c r="AE294" t="s">
        <v>6195</v>
      </c>
      <c r="AF294" t="s">
        <v>74</v>
      </c>
      <c r="AG294">
        <v>136</v>
      </c>
      <c r="AH294">
        <v>27</v>
      </c>
      <c r="AI294">
        <v>35</v>
      </c>
      <c r="AJ294">
        <v>1</v>
      </c>
      <c r="AK294">
        <v>17</v>
      </c>
      <c r="AL294" t="s">
        <v>379</v>
      </c>
      <c r="AM294" t="s">
        <v>380</v>
      </c>
      <c r="AN294" t="s">
        <v>381</v>
      </c>
      <c r="AO294" t="s">
        <v>1061</v>
      </c>
      <c r="AP294" t="s">
        <v>1062</v>
      </c>
      <c r="AQ294" t="s">
        <v>74</v>
      </c>
      <c r="AR294" t="s">
        <v>1063</v>
      </c>
      <c r="AS294" t="s">
        <v>1064</v>
      </c>
      <c r="AT294" t="s">
        <v>3909</v>
      </c>
      <c r="AU294">
        <v>2019</v>
      </c>
      <c r="AV294">
        <v>266</v>
      </c>
      <c r="AW294" t="s">
        <v>74</v>
      </c>
      <c r="AX294" t="s">
        <v>74</v>
      </c>
      <c r="AY294" t="s">
        <v>74</v>
      </c>
      <c r="AZ294" t="s">
        <v>555</v>
      </c>
      <c r="BA294" t="s">
        <v>74</v>
      </c>
      <c r="BB294">
        <v>463</v>
      </c>
      <c r="BC294">
        <v>496</v>
      </c>
      <c r="BD294" t="s">
        <v>74</v>
      </c>
      <c r="BE294" t="s">
        <v>6196</v>
      </c>
      <c r="BF294" t="str">
        <f>HYPERLINK("http://dx.doi.org/10.1016/j.gca.2019.07.034","http://dx.doi.org/10.1016/j.gca.2019.07.034")</f>
        <v>http://dx.doi.org/10.1016/j.gca.2019.07.034</v>
      </c>
      <c r="BG294" t="s">
        <v>74</v>
      </c>
      <c r="BH294" t="s">
        <v>74</v>
      </c>
      <c r="BI294">
        <v>34</v>
      </c>
      <c r="BJ294" t="s">
        <v>1067</v>
      </c>
      <c r="BK294" t="s">
        <v>294</v>
      </c>
      <c r="BL294" t="s">
        <v>1067</v>
      </c>
      <c r="BM294" t="s">
        <v>6179</v>
      </c>
      <c r="BN294" t="s">
        <v>74</v>
      </c>
      <c r="BO294" t="s">
        <v>559</v>
      </c>
      <c r="BP294" t="s">
        <v>74</v>
      </c>
      <c r="BQ294" t="s">
        <v>74</v>
      </c>
      <c r="BR294" t="s">
        <v>108</v>
      </c>
      <c r="BS294" t="s">
        <v>6197</v>
      </c>
      <c r="BT294" t="str">
        <f>HYPERLINK("https%3A%2F%2Fwww.webofscience.com%2Fwos%2Fwoscc%2Ffull-record%2FWOS:000491872000024","View Full Record in Web of Science")</f>
        <v>View Full Record in Web of Science</v>
      </c>
    </row>
    <row r="295" spans="1:72" x14ac:dyDescent="0.15">
      <c r="A295" t="s">
        <v>133</v>
      </c>
      <c r="B295" t="s">
        <v>6198</v>
      </c>
      <c r="C295" t="s">
        <v>74</v>
      </c>
      <c r="D295" t="s">
        <v>74</v>
      </c>
      <c r="E295" t="s">
        <v>74</v>
      </c>
      <c r="F295" t="s">
        <v>6199</v>
      </c>
      <c r="G295" t="s">
        <v>74</v>
      </c>
      <c r="H295" t="s">
        <v>74</v>
      </c>
      <c r="I295" t="s">
        <v>6200</v>
      </c>
      <c r="J295" t="s">
        <v>1048</v>
      </c>
      <c r="K295" t="s">
        <v>74</v>
      </c>
      <c r="L295" t="s">
        <v>74</v>
      </c>
      <c r="M295" t="s">
        <v>80</v>
      </c>
      <c r="N295" t="s">
        <v>138</v>
      </c>
      <c r="O295" t="s">
        <v>74</v>
      </c>
      <c r="P295" t="s">
        <v>74</v>
      </c>
      <c r="Q295" t="s">
        <v>74</v>
      </c>
      <c r="R295" t="s">
        <v>74</v>
      </c>
      <c r="S295" t="s">
        <v>74</v>
      </c>
      <c r="T295" t="s">
        <v>6201</v>
      </c>
      <c r="U295" t="s">
        <v>6202</v>
      </c>
      <c r="V295" t="s">
        <v>6203</v>
      </c>
      <c r="W295" t="s">
        <v>6204</v>
      </c>
      <c r="X295" t="s">
        <v>6205</v>
      </c>
      <c r="Y295" t="s">
        <v>6206</v>
      </c>
      <c r="Z295" t="s">
        <v>6207</v>
      </c>
      <c r="AA295" t="s">
        <v>6208</v>
      </c>
      <c r="AB295" t="s">
        <v>6209</v>
      </c>
      <c r="AC295" t="s">
        <v>6210</v>
      </c>
      <c r="AD295" t="s">
        <v>6211</v>
      </c>
      <c r="AE295" t="s">
        <v>6212</v>
      </c>
      <c r="AF295" t="s">
        <v>74</v>
      </c>
      <c r="AG295">
        <v>87</v>
      </c>
      <c r="AH295">
        <v>17</v>
      </c>
      <c r="AI295">
        <v>20</v>
      </c>
      <c r="AJ295">
        <v>1</v>
      </c>
      <c r="AK295">
        <v>25</v>
      </c>
      <c r="AL295" t="s">
        <v>379</v>
      </c>
      <c r="AM295" t="s">
        <v>380</v>
      </c>
      <c r="AN295" t="s">
        <v>381</v>
      </c>
      <c r="AO295" t="s">
        <v>1061</v>
      </c>
      <c r="AP295" t="s">
        <v>1062</v>
      </c>
      <c r="AQ295" t="s">
        <v>74</v>
      </c>
      <c r="AR295" t="s">
        <v>1063</v>
      </c>
      <c r="AS295" t="s">
        <v>1064</v>
      </c>
      <c r="AT295" t="s">
        <v>3909</v>
      </c>
      <c r="AU295">
        <v>2019</v>
      </c>
      <c r="AV295">
        <v>266</v>
      </c>
      <c r="AW295" t="s">
        <v>74</v>
      </c>
      <c r="AX295" t="s">
        <v>74</v>
      </c>
      <c r="AY295" t="s">
        <v>74</v>
      </c>
      <c r="AZ295" t="s">
        <v>555</v>
      </c>
      <c r="BA295" t="s">
        <v>74</v>
      </c>
      <c r="BB295">
        <v>544</v>
      </c>
      <c r="BC295">
        <v>567</v>
      </c>
      <c r="BD295" t="s">
        <v>74</v>
      </c>
      <c r="BE295" t="s">
        <v>6213</v>
      </c>
      <c r="BF295" t="str">
        <f>HYPERLINK("http://dx.doi.org/10.1016/j.gca.2019.04.005","http://dx.doi.org/10.1016/j.gca.2019.04.005")</f>
        <v>http://dx.doi.org/10.1016/j.gca.2019.04.005</v>
      </c>
      <c r="BG295" t="s">
        <v>74</v>
      </c>
      <c r="BH295" t="s">
        <v>74</v>
      </c>
      <c r="BI295">
        <v>24</v>
      </c>
      <c r="BJ295" t="s">
        <v>1067</v>
      </c>
      <c r="BK295" t="s">
        <v>294</v>
      </c>
      <c r="BL295" t="s">
        <v>1067</v>
      </c>
      <c r="BM295" t="s">
        <v>6179</v>
      </c>
      <c r="BN295" t="s">
        <v>74</v>
      </c>
      <c r="BO295" t="s">
        <v>559</v>
      </c>
      <c r="BP295" t="s">
        <v>74</v>
      </c>
      <c r="BQ295" t="s">
        <v>74</v>
      </c>
      <c r="BR295" t="s">
        <v>108</v>
      </c>
      <c r="BS295" t="s">
        <v>6214</v>
      </c>
      <c r="BT295" t="str">
        <f>HYPERLINK("https%3A%2F%2Fwww.webofscience.com%2Fwos%2Fwoscc%2Ffull-record%2FWOS:000491872000027","View Full Record in Web of Science")</f>
        <v>View Full Record in Web of Science</v>
      </c>
    </row>
    <row r="296" spans="1:72" x14ac:dyDescent="0.15">
      <c r="A296" t="s">
        <v>133</v>
      </c>
      <c r="B296" t="s">
        <v>6215</v>
      </c>
      <c r="C296" t="s">
        <v>74</v>
      </c>
      <c r="D296" t="s">
        <v>74</v>
      </c>
      <c r="E296" t="s">
        <v>74</v>
      </c>
      <c r="F296" t="s">
        <v>6216</v>
      </c>
      <c r="G296" t="s">
        <v>74</v>
      </c>
      <c r="H296" t="s">
        <v>74</v>
      </c>
      <c r="I296" t="s">
        <v>6217</v>
      </c>
      <c r="J296" t="s">
        <v>1048</v>
      </c>
      <c r="K296" t="s">
        <v>74</v>
      </c>
      <c r="L296" t="s">
        <v>74</v>
      </c>
      <c r="M296" t="s">
        <v>80</v>
      </c>
      <c r="N296" t="s">
        <v>138</v>
      </c>
      <c r="O296" t="s">
        <v>74</v>
      </c>
      <c r="P296" t="s">
        <v>74</v>
      </c>
      <c r="Q296" t="s">
        <v>74</v>
      </c>
      <c r="R296" t="s">
        <v>74</v>
      </c>
      <c r="S296" t="s">
        <v>74</v>
      </c>
      <c r="T296" t="s">
        <v>6218</v>
      </c>
      <c r="U296" t="s">
        <v>6219</v>
      </c>
      <c r="V296" t="s">
        <v>6220</v>
      </c>
      <c r="W296" t="s">
        <v>6221</v>
      </c>
      <c r="X296" t="s">
        <v>6222</v>
      </c>
      <c r="Y296" t="s">
        <v>6223</v>
      </c>
      <c r="Z296" t="s">
        <v>6224</v>
      </c>
      <c r="AA296" t="s">
        <v>6225</v>
      </c>
      <c r="AB296" t="s">
        <v>6226</v>
      </c>
      <c r="AC296" t="s">
        <v>6227</v>
      </c>
      <c r="AD296" t="s">
        <v>6228</v>
      </c>
      <c r="AE296" t="s">
        <v>6229</v>
      </c>
      <c r="AF296" t="s">
        <v>74</v>
      </c>
      <c r="AG296">
        <v>157</v>
      </c>
      <c r="AH296">
        <v>46</v>
      </c>
      <c r="AI296">
        <v>52</v>
      </c>
      <c r="AJ296">
        <v>0</v>
      </c>
      <c r="AK296">
        <v>22</v>
      </c>
      <c r="AL296" t="s">
        <v>379</v>
      </c>
      <c r="AM296" t="s">
        <v>380</v>
      </c>
      <c r="AN296" t="s">
        <v>381</v>
      </c>
      <c r="AO296" t="s">
        <v>1061</v>
      </c>
      <c r="AP296" t="s">
        <v>1062</v>
      </c>
      <c r="AQ296" t="s">
        <v>74</v>
      </c>
      <c r="AR296" t="s">
        <v>1063</v>
      </c>
      <c r="AS296" t="s">
        <v>1064</v>
      </c>
      <c r="AT296" t="s">
        <v>3909</v>
      </c>
      <c r="AU296">
        <v>2019</v>
      </c>
      <c r="AV296">
        <v>266</v>
      </c>
      <c r="AW296" t="s">
        <v>74</v>
      </c>
      <c r="AX296" t="s">
        <v>74</v>
      </c>
      <c r="AY296" t="s">
        <v>74</v>
      </c>
      <c r="AZ296" t="s">
        <v>555</v>
      </c>
      <c r="BA296" t="s">
        <v>74</v>
      </c>
      <c r="BB296">
        <v>611</v>
      </c>
      <c r="BC296">
        <v>632</v>
      </c>
      <c r="BD296" t="s">
        <v>74</v>
      </c>
      <c r="BE296" t="s">
        <v>6230</v>
      </c>
      <c r="BF296" t="str">
        <f>HYPERLINK("http://dx.doi.org/10.1016/j.gca.2019.08.012","http://dx.doi.org/10.1016/j.gca.2019.08.012")</f>
        <v>http://dx.doi.org/10.1016/j.gca.2019.08.012</v>
      </c>
      <c r="BG296" t="s">
        <v>74</v>
      </c>
      <c r="BH296" t="s">
        <v>74</v>
      </c>
      <c r="BI296">
        <v>22</v>
      </c>
      <c r="BJ296" t="s">
        <v>1067</v>
      </c>
      <c r="BK296" t="s">
        <v>294</v>
      </c>
      <c r="BL296" t="s">
        <v>1067</v>
      </c>
      <c r="BM296" t="s">
        <v>6179</v>
      </c>
      <c r="BN296" t="s">
        <v>74</v>
      </c>
      <c r="BO296" t="s">
        <v>559</v>
      </c>
      <c r="BP296" t="s">
        <v>74</v>
      </c>
      <c r="BQ296" t="s">
        <v>74</v>
      </c>
      <c r="BR296" t="s">
        <v>108</v>
      </c>
      <c r="BS296" t="s">
        <v>6231</v>
      </c>
      <c r="BT296" t="str">
        <f>HYPERLINK("https%3A%2F%2Fwww.webofscience.com%2Fwos%2Fwoscc%2Ffull-record%2FWOS:000491872000031","View Full Record in Web of Science")</f>
        <v>View Full Record in Web of Science</v>
      </c>
    </row>
    <row r="297" spans="1:72" x14ac:dyDescent="0.15">
      <c r="A297" t="s">
        <v>133</v>
      </c>
      <c r="B297" t="s">
        <v>6232</v>
      </c>
      <c r="C297" t="s">
        <v>74</v>
      </c>
      <c r="D297" t="s">
        <v>74</v>
      </c>
      <c r="E297" t="s">
        <v>74</v>
      </c>
      <c r="F297" t="s">
        <v>6233</v>
      </c>
      <c r="G297" t="s">
        <v>74</v>
      </c>
      <c r="H297" t="s">
        <v>74</v>
      </c>
      <c r="I297" t="s">
        <v>6234</v>
      </c>
      <c r="J297" t="s">
        <v>6235</v>
      </c>
      <c r="K297" t="s">
        <v>74</v>
      </c>
      <c r="L297" t="s">
        <v>74</v>
      </c>
      <c r="M297" t="s">
        <v>80</v>
      </c>
      <c r="N297" t="s">
        <v>138</v>
      </c>
      <c r="O297" t="s">
        <v>74</v>
      </c>
      <c r="P297" t="s">
        <v>74</v>
      </c>
      <c r="Q297" t="s">
        <v>74</v>
      </c>
      <c r="R297" t="s">
        <v>74</v>
      </c>
      <c r="S297" t="s">
        <v>74</v>
      </c>
      <c r="T297" t="s">
        <v>6236</v>
      </c>
      <c r="U297" t="s">
        <v>6237</v>
      </c>
      <c r="V297" t="s">
        <v>6238</v>
      </c>
      <c r="W297" t="s">
        <v>6239</v>
      </c>
      <c r="X297" t="s">
        <v>6240</v>
      </c>
      <c r="Y297" t="s">
        <v>6241</v>
      </c>
      <c r="Z297" t="s">
        <v>6242</v>
      </c>
      <c r="AA297" t="s">
        <v>74</v>
      </c>
      <c r="AB297" t="s">
        <v>6243</v>
      </c>
      <c r="AC297" t="s">
        <v>6244</v>
      </c>
      <c r="AD297" t="s">
        <v>6244</v>
      </c>
      <c r="AE297" t="s">
        <v>6245</v>
      </c>
      <c r="AF297" t="s">
        <v>74</v>
      </c>
      <c r="AG297">
        <v>43</v>
      </c>
      <c r="AH297">
        <v>7</v>
      </c>
      <c r="AI297">
        <v>7</v>
      </c>
      <c r="AJ297">
        <v>2</v>
      </c>
      <c r="AK297">
        <v>19</v>
      </c>
      <c r="AL297" t="s">
        <v>1964</v>
      </c>
      <c r="AM297" t="s">
        <v>4096</v>
      </c>
      <c r="AN297" t="s">
        <v>4097</v>
      </c>
      <c r="AO297" t="s">
        <v>6246</v>
      </c>
      <c r="AP297" t="s">
        <v>6247</v>
      </c>
      <c r="AQ297" t="s">
        <v>74</v>
      </c>
      <c r="AR297" t="s">
        <v>6248</v>
      </c>
      <c r="AS297" t="s">
        <v>6249</v>
      </c>
      <c r="AT297" t="s">
        <v>1270</v>
      </c>
      <c r="AU297">
        <v>2019</v>
      </c>
      <c r="AV297">
        <v>20</v>
      </c>
      <c r="AW297">
        <v>6</v>
      </c>
      <c r="AX297" t="s">
        <v>74</v>
      </c>
      <c r="AY297" t="s">
        <v>74</v>
      </c>
      <c r="AZ297" t="s">
        <v>74</v>
      </c>
      <c r="BA297" t="s">
        <v>74</v>
      </c>
      <c r="BB297">
        <v>1465</v>
      </c>
      <c r="BC297">
        <v>1470</v>
      </c>
      <c r="BD297" t="s">
        <v>74</v>
      </c>
      <c r="BE297" t="s">
        <v>6250</v>
      </c>
      <c r="BF297" t="str">
        <f>HYPERLINK("http://dx.doi.org/10.1007/s10592-019-01223-y","http://dx.doi.org/10.1007/s10592-019-01223-y")</f>
        <v>http://dx.doi.org/10.1007/s10592-019-01223-y</v>
      </c>
      <c r="BG297" t="s">
        <v>74</v>
      </c>
      <c r="BH297" t="s">
        <v>74</v>
      </c>
      <c r="BI297">
        <v>6</v>
      </c>
      <c r="BJ297" t="s">
        <v>6251</v>
      </c>
      <c r="BK297" t="s">
        <v>294</v>
      </c>
      <c r="BL297" t="s">
        <v>6252</v>
      </c>
      <c r="BM297" t="s">
        <v>6253</v>
      </c>
      <c r="BN297" t="s">
        <v>74</v>
      </c>
      <c r="BO297" t="s">
        <v>74</v>
      </c>
      <c r="BP297" t="s">
        <v>74</v>
      </c>
      <c r="BQ297" t="s">
        <v>74</v>
      </c>
      <c r="BR297" t="s">
        <v>108</v>
      </c>
      <c r="BS297" t="s">
        <v>6254</v>
      </c>
      <c r="BT297" t="str">
        <f>HYPERLINK("https%3A%2F%2Fwww.webofscience.com%2Fwos%2Fwoscc%2Ffull-record%2FWOS:000491084800020","View Full Record in Web of Science")</f>
        <v>View Full Record in Web of Science</v>
      </c>
    </row>
    <row r="298" spans="1:72" x14ac:dyDescent="0.15">
      <c r="A298" t="s">
        <v>133</v>
      </c>
      <c r="B298" t="s">
        <v>6255</v>
      </c>
      <c r="C298" t="s">
        <v>74</v>
      </c>
      <c r="D298" t="s">
        <v>74</v>
      </c>
      <c r="E298" t="s">
        <v>74</v>
      </c>
      <c r="F298" t="s">
        <v>6256</v>
      </c>
      <c r="G298" t="s">
        <v>74</v>
      </c>
      <c r="H298" t="s">
        <v>74</v>
      </c>
      <c r="I298" t="s">
        <v>6257</v>
      </c>
      <c r="J298" t="s">
        <v>271</v>
      </c>
      <c r="K298" t="s">
        <v>74</v>
      </c>
      <c r="L298" t="s">
        <v>74</v>
      </c>
      <c r="M298" t="s">
        <v>80</v>
      </c>
      <c r="N298" t="s">
        <v>138</v>
      </c>
      <c r="O298" t="s">
        <v>74</v>
      </c>
      <c r="P298" t="s">
        <v>74</v>
      </c>
      <c r="Q298" t="s">
        <v>74</v>
      </c>
      <c r="R298" t="s">
        <v>74</v>
      </c>
      <c r="S298" t="s">
        <v>74</v>
      </c>
      <c r="T298" t="s">
        <v>6258</v>
      </c>
      <c r="U298" t="s">
        <v>6259</v>
      </c>
      <c r="V298" t="s">
        <v>6260</v>
      </c>
      <c r="W298" t="s">
        <v>6261</v>
      </c>
      <c r="X298" t="s">
        <v>6262</v>
      </c>
      <c r="Y298" t="s">
        <v>6263</v>
      </c>
      <c r="Z298" t="s">
        <v>6264</v>
      </c>
      <c r="AA298" t="s">
        <v>6265</v>
      </c>
      <c r="AB298" t="s">
        <v>6266</v>
      </c>
      <c r="AC298" t="s">
        <v>6267</v>
      </c>
      <c r="AD298" t="s">
        <v>6268</v>
      </c>
      <c r="AE298" t="s">
        <v>6269</v>
      </c>
      <c r="AF298" t="s">
        <v>74</v>
      </c>
      <c r="AG298">
        <v>71</v>
      </c>
      <c r="AH298">
        <v>12</v>
      </c>
      <c r="AI298">
        <v>12</v>
      </c>
      <c r="AJ298">
        <v>4</v>
      </c>
      <c r="AK298">
        <v>41</v>
      </c>
      <c r="AL298" t="s">
        <v>284</v>
      </c>
      <c r="AM298" t="s">
        <v>285</v>
      </c>
      <c r="AN298" t="s">
        <v>286</v>
      </c>
      <c r="AO298" t="s">
        <v>287</v>
      </c>
      <c r="AP298" t="s">
        <v>288</v>
      </c>
      <c r="AQ298" t="s">
        <v>74</v>
      </c>
      <c r="AR298" t="s">
        <v>289</v>
      </c>
      <c r="AS298" t="s">
        <v>290</v>
      </c>
      <c r="AT298" t="s">
        <v>1270</v>
      </c>
      <c r="AU298">
        <v>2019</v>
      </c>
      <c r="AV298">
        <v>107</v>
      </c>
      <c r="AW298" t="s">
        <v>74</v>
      </c>
      <c r="AX298" t="s">
        <v>74</v>
      </c>
      <c r="AY298" t="s">
        <v>74</v>
      </c>
      <c r="AZ298" t="s">
        <v>74</v>
      </c>
      <c r="BA298" t="s">
        <v>74</v>
      </c>
      <c r="BB298" t="s">
        <v>74</v>
      </c>
      <c r="BC298" t="s">
        <v>74</v>
      </c>
      <c r="BD298">
        <v>105582</v>
      </c>
      <c r="BE298" t="s">
        <v>6270</v>
      </c>
      <c r="BF298" t="str">
        <f>HYPERLINK("http://dx.doi.org/10.1016/j.ecolind.2019.105582","http://dx.doi.org/10.1016/j.ecolind.2019.105582")</f>
        <v>http://dx.doi.org/10.1016/j.ecolind.2019.105582</v>
      </c>
      <c r="BG298" t="s">
        <v>74</v>
      </c>
      <c r="BH298" t="s">
        <v>74</v>
      </c>
      <c r="BI298">
        <v>8</v>
      </c>
      <c r="BJ298" t="s">
        <v>293</v>
      </c>
      <c r="BK298" t="s">
        <v>294</v>
      </c>
      <c r="BL298" t="s">
        <v>295</v>
      </c>
      <c r="BM298" t="s">
        <v>6271</v>
      </c>
      <c r="BN298" t="s">
        <v>74</v>
      </c>
      <c r="BO298" t="s">
        <v>74</v>
      </c>
      <c r="BP298" t="s">
        <v>74</v>
      </c>
      <c r="BQ298" t="s">
        <v>74</v>
      </c>
      <c r="BR298" t="s">
        <v>108</v>
      </c>
      <c r="BS298" t="s">
        <v>6272</v>
      </c>
      <c r="BT298" t="str">
        <f>HYPERLINK("https%3A%2F%2Fwww.webofscience.com%2Fwos%2Fwoscc%2Ffull-record%2FWOS:000490757500044","View Full Record in Web of Science")</f>
        <v>View Full Record in Web of Science</v>
      </c>
    </row>
    <row r="299" spans="1:72" x14ac:dyDescent="0.15">
      <c r="A299" t="s">
        <v>133</v>
      </c>
      <c r="B299" t="s">
        <v>6273</v>
      </c>
      <c r="C299" t="s">
        <v>74</v>
      </c>
      <c r="D299" t="s">
        <v>74</v>
      </c>
      <c r="E299" t="s">
        <v>74</v>
      </c>
      <c r="F299" t="s">
        <v>6274</v>
      </c>
      <c r="G299" t="s">
        <v>74</v>
      </c>
      <c r="H299" t="s">
        <v>74</v>
      </c>
      <c r="I299" t="s">
        <v>6275</v>
      </c>
      <c r="J299" t="s">
        <v>271</v>
      </c>
      <c r="K299" t="s">
        <v>74</v>
      </c>
      <c r="L299" t="s">
        <v>74</v>
      </c>
      <c r="M299" t="s">
        <v>80</v>
      </c>
      <c r="N299" t="s">
        <v>138</v>
      </c>
      <c r="O299" t="s">
        <v>74</v>
      </c>
      <c r="P299" t="s">
        <v>74</v>
      </c>
      <c r="Q299" t="s">
        <v>74</v>
      </c>
      <c r="R299" t="s">
        <v>74</v>
      </c>
      <c r="S299" t="s">
        <v>74</v>
      </c>
      <c r="T299" t="s">
        <v>6276</v>
      </c>
      <c r="U299" t="s">
        <v>6277</v>
      </c>
      <c r="V299" t="s">
        <v>6278</v>
      </c>
      <c r="W299" t="s">
        <v>6279</v>
      </c>
      <c r="X299" t="s">
        <v>6280</v>
      </c>
      <c r="Y299" t="s">
        <v>6281</v>
      </c>
      <c r="Z299" t="s">
        <v>6282</v>
      </c>
      <c r="AA299" t="s">
        <v>6283</v>
      </c>
      <c r="AB299" t="s">
        <v>6284</v>
      </c>
      <c r="AC299" t="s">
        <v>6285</v>
      </c>
      <c r="AD299" t="s">
        <v>6286</v>
      </c>
      <c r="AE299" t="s">
        <v>6287</v>
      </c>
      <c r="AF299" t="s">
        <v>74</v>
      </c>
      <c r="AG299">
        <v>49</v>
      </c>
      <c r="AH299">
        <v>5</v>
      </c>
      <c r="AI299">
        <v>5</v>
      </c>
      <c r="AJ299">
        <v>1</v>
      </c>
      <c r="AK299">
        <v>27</v>
      </c>
      <c r="AL299" t="s">
        <v>284</v>
      </c>
      <c r="AM299" t="s">
        <v>285</v>
      </c>
      <c r="AN299" t="s">
        <v>286</v>
      </c>
      <c r="AO299" t="s">
        <v>287</v>
      </c>
      <c r="AP299" t="s">
        <v>288</v>
      </c>
      <c r="AQ299" t="s">
        <v>74</v>
      </c>
      <c r="AR299" t="s">
        <v>289</v>
      </c>
      <c r="AS299" t="s">
        <v>290</v>
      </c>
      <c r="AT299" t="s">
        <v>1270</v>
      </c>
      <c r="AU299">
        <v>2019</v>
      </c>
      <c r="AV299">
        <v>107</v>
      </c>
      <c r="AW299" t="s">
        <v>74</v>
      </c>
      <c r="AX299" t="s">
        <v>74</v>
      </c>
      <c r="AY299" t="s">
        <v>74</v>
      </c>
      <c r="AZ299" t="s">
        <v>74</v>
      </c>
      <c r="BA299" t="s">
        <v>74</v>
      </c>
      <c r="BB299" t="s">
        <v>74</v>
      </c>
      <c r="BC299" t="s">
        <v>74</v>
      </c>
      <c r="BD299">
        <v>105616</v>
      </c>
      <c r="BE299" t="s">
        <v>6288</v>
      </c>
      <c r="BF299" t="str">
        <f>HYPERLINK("http://dx.doi.org/10.1016/j.ecolind.2019.105616","http://dx.doi.org/10.1016/j.ecolind.2019.105616")</f>
        <v>http://dx.doi.org/10.1016/j.ecolind.2019.105616</v>
      </c>
      <c r="BG299" t="s">
        <v>74</v>
      </c>
      <c r="BH299" t="s">
        <v>74</v>
      </c>
      <c r="BI299">
        <v>9</v>
      </c>
      <c r="BJ299" t="s">
        <v>293</v>
      </c>
      <c r="BK299" t="s">
        <v>294</v>
      </c>
      <c r="BL299" t="s">
        <v>295</v>
      </c>
      <c r="BM299" t="s">
        <v>6271</v>
      </c>
      <c r="BN299" t="s">
        <v>74</v>
      </c>
      <c r="BO299" t="s">
        <v>74</v>
      </c>
      <c r="BP299" t="s">
        <v>74</v>
      </c>
      <c r="BQ299" t="s">
        <v>74</v>
      </c>
      <c r="BR299" t="s">
        <v>108</v>
      </c>
      <c r="BS299" t="s">
        <v>6289</v>
      </c>
      <c r="BT299" t="str">
        <f>HYPERLINK("https%3A%2F%2Fwww.webofscience.com%2Fwos%2Fwoscc%2Ffull-record%2FWOS:000490757500076","View Full Record in Web of Science")</f>
        <v>View Full Record in Web of Science</v>
      </c>
    </row>
    <row r="300" spans="1:72" x14ac:dyDescent="0.15">
      <c r="A300" t="s">
        <v>133</v>
      </c>
      <c r="B300" t="s">
        <v>6290</v>
      </c>
      <c r="C300" t="s">
        <v>74</v>
      </c>
      <c r="D300" t="s">
        <v>74</v>
      </c>
      <c r="E300" t="s">
        <v>74</v>
      </c>
      <c r="F300" t="s">
        <v>6291</v>
      </c>
      <c r="G300" t="s">
        <v>74</v>
      </c>
      <c r="H300" t="s">
        <v>74</v>
      </c>
      <c r="I300" t="s">
        <v>6292</v>
      </c>
      <c r="J300" t="s">
        <v>6293</v>
      </c>
      <c r="K300" t="s">
        <v>74</v>
      </c>
      <c r="L300" t="s">
        <v>74</v>
      </c>
      <c r="M300" t="s">
        <v>80</v>
      </c>
      <c r="N300" t="s">
        <v>138</v>
      </c>
      <c r="O300" t="s">
        <v>74</v>
      </c>
      <c r="P300" t="s">
        <v>74</v>
      </c>
      <c r="Q300" t="s">
        <v>74</v>
      </c>
      <c r="R300" t="s">
        <v>74</v>
      </c>
      <c r="S300" t="s">
        <v>74</v>
      </c>
      <c r="T300" t="s">
        <v>6294</v>
      </c>
      <c r="U300" t="s">
        <v>6295</v>
      </c>
      <c r="V300" t="s">
        <v>6296</v>
      </c>
      <c r="W300" t="s">
        <v>6297</v>
      </c>
      <c r="X300" t="s">
        <v>5915</v>
      </c>
      <c r="Y300" t="s">
        <v>6298</v>
      </c>
      <c r="Z300" t="s">
        <v>6299</v>
      </c>
      <c r="AA300" t="s">
        <v>74</v>
      </c>
      <c r="AB300" t="s">
        <v>74</v>
      </c>
      <c r="AC300" t="s">
        <v>6300</v>
      </c>
      <c r="AD300" t="s">
        <v>6301</v>
      </c>
      <c r="AE300" t="s">
        <v>6302</v>
      </c>
      <c r="AF300" t="s">
        <v>74</v>
      </c>
      <c r="AG300">
        <v>44</v>
      </c>
      <c r="AH300">
        <v>13</v>
      </c>
      <c r="AI300">
        <v>14</v>
      </c>
      <c r="AJ300">
        <v>3</v>
      </c>
      <c r="AK300">
        <v>65</v>
      </c>
      <c r="AL300" t="s">
        <v>5418</v>
      </c>
      <c r="AM300" t="s">
        <v>5419</v>
      </c>
      <c r="AN300" t="s">
        <v>5420</v>
      </c>
      <c r="AO300" t="s">
        <v>6303</v>
      </c>
      <c r="AP300" t="s">
        <v>6304</v>
      </c>
      <c r="AQ300" t="s">
        <v>74</v>
      </c>
      <c r="AR300" t="s">
        <v>6305</v>
      </c>
      <c r="AS300" t="s">
        <v>6306</v>
      </c>
      <c r="AT300" t="s">
        <v>1270</v>
      </c>
      <c r="AU300">
        <v>2019</v>
      </c>
      <c r="AV300">
        <v>164</v>
      </c>
      <c r="AW300" t="s">
        <v>74</v>
      </c>
      <c r="AX300" t="s">
        <v>74</v>
      </c>
      <c r="AY300" t="s">
        <v>74</v>
      </c>
      <c r="AZ300" t="s">
        <v>74</v>
      </c>
      <c r="BA300" t="s">
        <v>74</v>
      </c>
      <c r="BB300" t="s">
        <v>74</v>
      </c>
      <c r="BC300" t="s">
        <v>74</v>
      </c>
      <c r="BD300">
        <v>105444</v>
      </c>
      <c r="BE300" t="s">
        <v>6307</v>
      </c>
      <c r="BF300" t="str">
        <f>HYPERLINK("http://dx.doi.org/10.1016/j.pep.2019.06.004","http://dx.doi.org/10.1016/j.pep.2019.06.004")</f>
        <v>http://dx.doi.org/10.1016/j.pep.2019.06.004</v>
      </c>
      <c r="BG300" t="s">
        <v>74</v>
      </c>
      <c r="BH300" t="s">
        <v>74</v>
      </c>
      <c r="BI300">
        <v>8</v>
      </c>
      <c r="BJ300" t="s">
        <v>1659</v>
      </c>
      <c r="BK300" t="s">
        <v>294</v>
      </c>
      <c r="BL300" t="s">
        <v>1660</v>
      </c>
      <c r="BM300" t="s">
        <v>6308</v>
      </c>
      <c r="BN300">
        <v>31200017</v>
      </c>
      <c r="BO300" t="s">
        <v>74</v>
      </c>
      <c r="BP300" t="s">
        <v>74</v>
      </c>
      <c r="BQ300" t="s">
        <v>74</v>
      </c>
      <c r="BR300" t="s">
        <v>108</v>
      </c>
      <c r="BS300" t="s">
        <v>6309</v>
      </c>
      <c r="BT300" t="str">
        <f>HYPERLINK("https%3A%2F%2Fwww.webofscience.com%2Fwos%2Fwoscc%2Ffull-record%2FWOS:000486132400014","View Full Record in Web of Science")</f>
        <v>View Full Record in Web of Science</v>
      </c>
    </row>
    <row r="301" spans="1:72" x14ac:dyDescent="0.15">
      <c r="A301" t="s">
        <v>133</v>
      </c>
      <c r="B301" t="s">
        <v>6310</v>
      </c>
      <c r="C301" t="s">
        <v>74</v>
      </c>
      <c r="D301" t="s">
        <v>74</v>
      </c>
      <c r="E301" t="s">
        <v>74</v>
      </c>
      <c r="F301" t="s">
        <v>6311</v>
      </c>
      <c r="G301" t="s">
        <v>74</v>
      </c>
      <c r="H301" t="s">
        <v>74</v>
      </c>
      <c r="I301" t="s">
        <v>6312</v>
      </c>
      <c r="J301" t="s">
        <v>6313</v>
      </c>
      <c r="K301" t="s">
        <v>74</v>
      </c>
      <c r="L301" t="s">
        <v>74</v>
      </c>
      <c r="M301" t="s">
        <v>80</v>
      </c>
      <c r="N301" t="s">
        <v>138</v>
      </c>
      <c r="O301" t="s">
        <v>74</v>
      </c>
      <c r="P301" t="s">
        <v>74</v>
      </c>
      <c r="Q301" t="s">
        <v>74</v>
      </c>
      <c r="R301" t="s">
        <v>74</v>
      </c>
      <c r="S301" t="s">
        <v>74</v>
      </c>
      <c r="T301" t="s">
        <v>6314</v>
      </c>
      <c r="U301" t="s">
        <v>6315</v>
      </c>
      <c r="V301" t="s">
        <v>6316</v>
      </c>
      <c r="W301" t="s">
        <v>6317</v>
      </c>
      <c r="X301" t="s">
        <v>6318</v>
      </c>
      <c r="Y301" t="s">
        <v>6319</v>
      </c>
      <c r="Z301" t="s">
        <v>6320</v>
      </c>
      <c r="AA301" t="s">
        <v>6321</v>
      </c>
      <c r="AB301" t="s">
        <v>6322</v>
      </c>
      <c r="AC301" t="s">
        <v>6323</v>
      </c>
      <c r="AD301" t="s">
        <v>6324</v>
      </c>
      <c r="AE301" t="s">
        <v>6325</v>
      </c>
      <c r="AF301" t="s">
        <v>74</v>
      </c>
      <c r="AG301">
        <v>22</v>
      </c>
      <c r="AH301">
        <v>21</v>
      </c>
      <c r="AI301">
        <v>24</v>
      </c>
      <c r="AJ301">
        <v>6</v>
      </c>
      <c r="AK301">
        <v>59</v>
      </c>
      <c r="AL301" t="s">
        <v>709</v>
      </c>
      <c r="AM301" t="s">
        <v>380</v>
      </c>
      <c r="AN301" t="s">
        <v>710</v>
      </c>
      <c r="AO301" t="s">
        <v>6326</v>
      </c>
      <c r="AP301" t="s">
        <v>6327</v>
      </c>
      <c r="AQ301" t="s">
        <v>74</v>
      </c>
      <c r="AR301" t="s">
        <v>6328</v>
      </c>
      <c r="AS301" t="s">
        <v>6329</v>
      </c>
      <c r="AT301" t="s">
        <v>1270</v>
      </c>
      <c r="AU301">
        <v>2019</v>
      </c>
      <c r="AV301">
        <v>171</v>
      </c>
      <c r="AW301" t="s">
        <v>74</v>
      </c>
      <c r="AX301" t="s">
        <v>74</v>
      </c>
      <c r="AY301" t="s">
        <v>74</v>
      </c>
      <c r="AZ301" t="s">
        <v>74</v>
      </c>
      <c r="BA301" t="s">
        <v>74</v>
      </c>
      <c r="BB301" t="s">
        <v>74</v>
      </c>
      <c r="BC301" t="s">
        <v>74</v>
      </c>
      <c r="BD301">
        <v>107686</v>
      </c>
      <c r="BE301" t="s">
        <v>6330</v>
      </c>
      <c r="BF301" t="str">
        <f>HYPERLINK("http://dx.doi.org/10.1016/j.dyepig.2019.107686","http://dx.doi.org/10.1016/j.dyepig.2019.107686")</f>
        <v>http://dx.doi.org/10.1016/j.dyepig.2019.107686</v>
      </c>
      <c r="BG301" t="s">
        <v>74</v>
      </c>
      <c r="BH301" t="s">
        <v>74</v>
      </c>
      <c r="BI301">
        <v>8</v>
      </c>
      <c r="BJ301" t="s">
        <v>6331</v>
      </c>
      <c r="BK301" t="s">
        <v>294</v>
      </c>
      <c r="BL301" t="s">
        <v>6332</v>
      </c>
      <c r="BM301" t="s">
        <v>6333</v>
      </c>
      <c r="BN301" t="s">
        <v>74</v>
      </c>
      <c r="BO301" t="s">
        <v>74</v>
      </c>
      <c r="BP301" t="s">
        <v>74</v>
      </c>
      <c r="BQ301" t="s">
        <v>74</v>
      </c>
      <c r="BR301" t="s">
        <v>108</v>
      </c>
      <c r="BS301" t="s">
        <v>6334</v>
      </c>
      <c r="BT301" t="str">
        <f>HYPERLINK("https%3A%2F%2Fwww.webofscience.com%2Fwos%2Fwoscc%2Ffull-record%2FWOS:000484870700024","View Full Record in Web of Science")</f>
        <v>View Full Record in Web of Science</v>
      </c>
    </row>
    <row r="302" spans="1:72" x14ac:dyDescent="0.15">
      <c r="A302" t="s">
        <v>133</v>
      </c>
      <c r="B302" t="s">
        <v>6335</v>
      </c>
      <c r="C302" t="s">
        <v>74</v>
      </c>
      <c r="D302" t="s">
        <v>74</v>
      </c>
      <c r="E302" t="s">
        <v>74</v>
      </c>
      <c r="F302" t="s">
        <v>6336</v>
      </c>
      <c r="G302" t="s">
        <v>74</v>
      </c>
      <c r="H302" t="s">
        <v>74</v>
      </c>
      <c r="I302" t="s">
        <v>6337</v>
      </c>
      <c r="J302" t="s">
        <v>1820</v>
      </c>
      <c r="K302" t="s">
        <v>74</v>
      </c>
      <c r="L302" t="s">
        <v>74</v>
      </c>
      <c r="M302" t="s">
        <v>80</v>
      </c>
      <c r="N302" t="s">
        <v>138</v>
      </c>
      <c r="O302" t="s">
        <v>74</v>
      </c>
      <c r="P302" t="s">
        <v>74</v>
      </c>
      <c r="Q302" t="s">
        <v>74</v>
      </c>
      <c r="R302" t="s">
        <v>74</v>
      </c>
      <c r="S302" t="s">
        <v>74</v>
      </c>
      <c r="T302" t="s">
        <v>6338</v>
      </c>
      <c r="U302" t="s">
        <v>6339</v>
      </c>
      <c r="V302" t="s">
        <v>6340</v>
      </c>
      <c r="W302" t="s">
        <v>6341</v>
      </c>
      <c r="X302" t="s">
        <v>6342</v>
      </c>
      <c r="Y302" t="s">
        <v>6343</v>
      </c>
      <c r="Z302" t="s">
        <v>6344</v>
      </c>
      <c r="AA302" t="s">
        <v>6345</v>
      </c>
      <c r="AB302" t="s">
        <v>6346</v>
      </c>
      <c r="AC302" t="s">
        <v>6347</v>
      </c>
      <c r="AD302" t="s">
        <v>6347</v>
      </c>
      <c r="AE302" t="s">
        <v>6348</v>
      </c>
      <c r="AF302" t="s">
        <v>74</v>
      </c>
      <c r="AG302">
        <v>56</v>
      </c>
      <c r="AH302">
        <v>3</v>
      </c>
      <c r="AI302">
        <v>3</v>
      </c>
      <c r="AJ302">
        <v>0</v>
      </c>
      <c r="AK302">
        <v>42</v>
      </c>
      <c r="AL302" t="s">
        <v>1833</v>
      </c>
      <c r="AM302" t="s">
        <v>1834</v>
      </c>
      <c r="AN302" t="s">
        <v>1835</v>
      </c>
      <c r="AO302" t="s">
        <v>1836</v>
      </c>
      <c r="AP302" t="s">
        <v>1837</v>
      </c>
      <c r="AQ302" t="s">
        <v>74</v>
      </c>
      <c r="AR302" t="s">
        <v>1838</v>
      </c>
      <c r="AS302" t="s">
        <v>1839</v>
      </c>
      <c r="AT302" t="s">
        <v>1270</v>
      </c>
      <c r="AU302">
        <v>2019</v>
      </c>
      <c r="AV302">
        <v>128</v>
      </c>
      <c r="AW302">
        <v>8</v>
      </c>
      <c r="AX302" t="s">
        <v>74</v>
      </c>
      <c r="AY302" t="s">
        <v>74</v>
      </c>
      <c r="AZ302" t="s">
        <v>74</v>
      </c>
      <c r="BA302" t="s">
        <v>74</v>
      </c>
      <c r="BB302" t="s">
        <v>74</v>
      </c>
      <c r="BC302" t="s">
        <v>74</v>
      </c>
      <c r="BD302">
        <v>210</v>
      </c>
      <c r="BE302" t="s">
        <v>6349</v>
      </c>
      <c r="BF302" t="str">
        <f>HYPERLINK("http://dx.doi.org/10.1007/s12040-019-1234-2","http://dx.doi.org/10.1007/s12040-019-1234-2")</f>
        <v>http://dx.doi.org/10.1007/s12040-019-1234-2</v>
      </c>
      <c r="BG302" t="s">
        <v>74</v>
      </c>
      <c r="BH302" t="s">
        <v>74</v>
      </c>
      <c r="BI302">
        <v>13</v>
      </c>
      <c r="BJ302" t="s">
        <v>1842</v>
      </c>
      <c r="BK302" t="s">
        <v>294</v>
      </c>
      <c r="BL302" t="s">
        <v>1843</v>
      </c>
      <c r="BM302" t="s">
        <v>6350</v>
      </c>
      <c r="BN302" t="s">
        <v>74</v>
      </c>
      <c r="BO302" t="s">
        <v>588</v>
      </c>
      <c r="BP302" t="s">
        <v>74</v>
      </c>
      <c r="BQ302" t="s">
        <v>74</v>
      </c>
      <c r="BR302" t="s">
        <v>108</v>
      </c>
      <c r="BS302" t="s">
        <v>6351</v>
      </c>
      <c r="BT302" t="str">
        <f>HYPERLINK("https%3A%2F%2Fwww.webofscience.com%2Fwos%2Fwoscc%2Ffull-record%2FWOS:000477606500005","View Full Record in Web of Science")</f>
        <v>View Full Record in Web of Science</v>
      </c>
    </row>
    <row r="303" spans="1:72" x14ac:dyDescent="0.15">
      <c r="A303" t="s">
        <v>133</v>
      </c>
      <c r="B303" t="s">
        <v>6352</v>
      </c>
      <c r="C303" t="s">
        <v>74</v>
      </c>
      <c r="D303" t="s">
        <v>74</v>
      </c>
      <c r="E303" t="s">
        <v>74</v>
      </c>
      <c r="F303" t="s">
        <v>6353</v>
      </c>
      <c r="G303" t="s">
        <v>74</v>
      </c>
      <c r="H303" t="s">
        <v>74</v>
      </c>
      <c r="I303" t="s">
        <v>6354</v>
      </c>
      <c r="J303" t="s">
        <v>1928</v>
      </c>
      <c r="K303" t="s">
        <v>74</v>
      </c>
      <c r="L303" t="s">
        <v>74</v>
      </c>
      <c r="M303" t="s">
        <v>80</v>
      </c>
      <c r="N303" t="s">
        <v>138</v>
      </c>
      <c r="O303" t="s">
        <v>74</v>
      </c>
      <c r="P303" t="s">
        <v>74</v>
      </c>
      <c r="Q303" t="s">
        <v>74</v>
      </c>
      <c r="R303" t="s">
        <v>74</v>
      </c>
      <c r="S303" t="s">
        <v>74</v>
      </c>
      <c r="T303" t="s">
        <v>6355</v>
      </c>
      <c r="U303" t="s">
        <v>6356</v>
      </c>
      <c r="V303" t="s">
        <v>6357</v>
      </c>
      <c r="W303" t="s">
        <v>6358</v>
      </c>
      <c r="X303" t="s">
        <v>6359</v>
      </c>
      <c r="Y303" t="s">
        <v>6360</v>
      </c>
      <c r="Z303" t="s">
        <v>6361</v>
      </c>
      <c r="AA303" t="s">
        <v>6362</v>
      </c>
      <c r="AB303" t="s">
        <v>6363</v>
      </c>
      <c r="AC303" t="s">
        <v>6364</v>
      </c>
      <c r="AD303" t="s">
        <v>6365</v>
      </c>
      <c r="AE303" t="s">
        <v>6366</v>
      </c>
      <c r="AF303" t="s">
        <v>74</v>
      </c>
      <c r="AG303">
        <v>62</v>
      </c>
      <c r="AH303">
        <v>8</v>
      </c>
      <c r="AI303">
        <v>8</v>
      </c>
      <c r="AJ303">
        <v>0</v>
      </c>
      <c r="AK303">
        <v>10</v>
      </c>
      <c r="AL303" t="s">
        <v>1264</v>
      </c>
      <c r="AM303" t="s">
        <v>1265</v>
      </c>
      <c r="AN303" t="s">
        <v>1266</v>
      </c>
      <c r="AO303" t="s">
        <v>1940</v>
      </c>
      <c r="AP303" t="s">
        <v>1941</v>
      </c>
      <c r="AQ303" t="s">
        <v>74</v>
      </c>
      <c r="AR303" t="s">
        <v>1942</v>
      </c>
      <c r="AS303" t="s">
        <v>1943</v>
      </c>
      <c r="AT303" t="s">
        <v>3457</v>
      </c>
      <c r="AU303">
        <v>2019</v>
      </c>
      <c r="AV303">
        <v>124</v>
      </c>
      <c r="AW303">
        <v>11</v>
      </c>
      <c r="AX303" t="s">
        <v>74</v>
      </c>
      <c r="AY303" t="s">
        <v>74</v>
      </c>
      <c r="AZ303" t="s">
        <v>74</v>
      </c>
      <c r="BA303" t="s">
        <v>74</v>
      </c>
      <c r="BB303">
        <v>8375</v>
      </c>
      <c r="BC303">
        <v>8391</v>
      </c>
      <c r="BD303" t="s">
        <v>74</v>
      </c>
      <c r="BE303" t="s">
        <v>6367</v>
      </c>
      <c r="BF303" t="str">
        <f>HYPERLINK("http://dx.doi.org/10.1029/2019JC015523","http://dx.doi.org/10.1029/2019JC015523")</f>
        <v>http://dx.doi.org/10.1029/2019JC015523</v>
      </c>
      <c r="BG303" t="s">
        <v>74</v>
      </c>
      <c r="BH303" t="s">
        <v>6368</v>
      </c>
      <c r="BI303">
        <v>17</v>
      </c>
      <c r="BJ303" t="s">
        <v>1945</v>
      </c>
      <c r="BK303" t="s">
        <v>294</v>
      </c>
      <c r="BL303" t="s">
        <v>1945</v>
      </c>
      <c r="BM303" t="s">
        <v>6369</v>
      </c>
      <c r="BN303" t="s">
        <v>74</v>
      </c>
      <c r="BO303" t="s">
        <v>6370</v>
      </c>
      <c r="BP303" t="s">
        <v>74</v>
      </c>
      <c r="BQ303" t="s">
        <v>74</v>
      </c>
      <c r="BR303" t="s">
        <v>108</v>
      </c>
      <c r="BS303" t="s">
        <v>6371</v>
      </c>
      <c r="BT303" t="str">
        <f>HYPERLINK("https%3A%2F%2Fwww.webofscience.com%2Fwos%2Fwoscc%2Ffull-record%2FWOS:000499546500001","View Full Record in Web of Science")</f>
        <v>View Full Record in Web of Science</v>
      </c>
    </row>
    <row r="304" spans="1:72" x14ac:dyDescent="0.15">
      <c r="A304" t="s">
        <v>133</v>
      </c>
      <c r="B304" t="s">
        <v>6372</v>
      </c>
      <c r="C304" t="s">
        <v>74</v>
      </c>
      <c r="D304" t="s">
        <v>74</v>
      </c>
      <c r="E304" t="s">
        <v>74</v>
      </c>
      <c r="F304" t="s">
        <v>6373</v>
      </c>
      <c r="G304" t="s">
        <v>74</v>
      </c>
      <c r="H304" t="s">
        <v>74</v>
      </c>
      <c r="I304" t="s">
        <v>6374</v>
      </c>
      <c r="J304" t="s">
        <v>1928</v>
      </c>
      <c r="K304" t="s">
        <v>74</v>
      </c>
      <c r="L304" t="s">
        <v>74</v>
      </c>
      <c r="M304" t="s">
        <v>80</v>
      </c>
      <c r="N304" t="s">
        <v>138</v>
      </c>
      <c r="O304" t="s">
        <v>74</v>
      </c>
      <c r="P304" t="s">
        <v>74</v>
      </c>
      <c r="Q304" t="s">
        <v>74</v>
      </c>
      <c r="R304" t="s">
        <v>74</v>
      </c>
      <c r="S304" t="s">
        <v>74</v>
      </c>
      <c r="T304" t="s">
        <v>6375</v>
      </c>
      <c r="U304" t="s">
        <v>6376</v>
      </c>
      <c r="V304" t="s">
        <v>6377</v>
      </c>
      <c r="W304" t="s">
        <v>6378</v>
      </c>
      <c r="X304" t="s">
        <v>6379</v>
      </c>
      <c r="Y304" t="s">
        <v>6380</v>
      </c>
      <c r="Z304" t="s">
        <v>6381</v>
      </c>
      <c r="AA304" t="s">
        <v>6382</v>
      </c>
      <c r="AB304" t="s">
        <v>6383</v>
      </c>
      <c r="AC304" t="s">
        <v>6384</v>
      </c>
      <c r="AD304" t="s">
        <v>6385</v>
      </c>
      <c r="AE304" t="s">
        <v>6386</v>
      </c>
      <c r="AF304" t="s">
        <v>74</v>
      </c>
      <c r="AG304">
        <v>58</v>
      </c>
      <c r="AH304">
        <v>22</v>
      </c>
      <c r="AI304">
        <v>23</v>
      </c>
      <c r="AJ304">
        <v>0</v>
      </c>
      <c r="AK304">
        <v>14</v>
      </c>
      <c r="AL304" t="s">
        <v>1264</v>
      </c>
      <c r="AM304" t="s">
        <v>1265</v>
      </c>
      <c r="AN304" t="s">
        <v>1266</v>
      </c>
      <c r="AO304" t="s">
        <v>1940</v>
      </c>
      <c r="AP304" t="s">
        <v>1941</v>
      </c>
      <c r="AQ304" t="s">
        <v>74</v>
      </c>
      <c r="AR304" t="s">
        <v>1942</v>
      </c>
      <c r="AS304" t="s">
        <v>1943</v>
      </c>
      <c r="AT304" t="s">
        <v>3457</v>
      </c>
      <c r="AU304">
        <v>2019</v>
      </c>
      <c r="AV304">
        <v>124</v>
      </c>
      <c r="AW304">
        <v>11</v>
      </c>
      <c r="AX304" t="s">
        <v>74</v>
      </c>
      <c r="AY304" t="s">
        <v>74</v>
      </c>
      <c r="AZ304" t="s">
        <v>74</v>
      </c>
      <c r="BA304" t="s">
        <v>74</v>
      </c>
      <c r="BB304">
        <v>8414</v>
      </c>
      <c r="BC304">
        <v>8428</v>
      </c>
      <c r="BD304" t="s">
        <v>74</v>
      </c>
      <c r="BE304" t="s">
        <v>6387</v>
      </c>
      <c r="BF304" t="str">
        <f>HYPERLINK("http://dx.doi.org/10.1029/2019JC015315","http://dx.doi.org/10.1029/2019JC015315")</f>
        <v>http://dx.doi.org/10.1029/2019JC015315</v>
      </c>
      <c r="BG304" t="s">
        <v>74</v>
      </c>
      <c r="BH304" t="s">
        <v>6368</v>
      </c>
      <c r="BI304">
        <v>15</v>
      </c>
      <c r="BJ304" t="s">
        <v>1945</v>
      </c>
      <c r="BK304" t="s">
        <v>294</v>
      </c>
      <c r="BL304" t="s">
        <v>1945</v>
      </c>
      <c r="BM304" t="s">
        <v>6369</v>
      </c>
      <c r="BN304" t="s">
        <v>74</v>
      </c>
      <c r="BO304" t="s">
        <v>74</v>
      </c>
      <c r="BP304" t="s">
        <v>74</v>
      </c>
      <c r="BQ304" t="s">
        <v>74</v>
      </c>
      <c r="BR304" t="s">
        <v>108</v>
      </c>
      <c r="BS304" t="s">
        <v>6388</v>
      </c>
      <c r="BT304" t="str">
        <f>HYPERLINK("https%3A%2F%2Fwww.webofscience.com%2Fwos%2Fwoscc%2Ffull-record%2FWOS:000499658400001","View Full Record in Web of Science")</f>
        <v>View Full Record in Web of Science</v>
      </c>
    </row>
    <row r="305" spans="1:72" x14ac:dyDescent="0.15">
      <c r="A305" t="s">
        <v>133</v>
      </c>
      <c r="B305" t="s">
        <v>6389</v>
      </c>
      <c r="C305" t="s">
        <v>74</v>
      </c>
      <c r="D305" t="s">
        <v>74</v>
      </c>
      <c r="E305" t="s">
        <v>74</v>
      </c>
      <c r="F305" t="s">
        <v>6390</v>
      </c>
      <c r="G305" t="s">
        <v>74</v>
      </c>
      <c r="H305" t="s">
        <v>74</v>
      </c>
      <c r="I305" t="s">
        <v>6391</v>
      </c>
      <c r="J305" t="s">
        <v>1462</v>
      </c>
      <c r="K305" t="s">
        <v>74</v>
      </c>
      <c r="L305" t="s">
        <v>74</v>
      </c>
      <c r="M305" t="s">
        <v>80</v>
      </c>
      <c r="N305" t="s">
        <v>138</v>
      </c>
      <c r="O305" t="s">
        <v>74</v>
      </c>
      <c r="P305" t="s">
        <v>74</v>
      </c>
      <c r="Q305" t="s">
        <v>74</v>
      </c>
      <c r="R305" t="s">
        <v>74</v>
      </c>
      <c r="S305" t="s">
        <v>74</v>
      </c>
      <c r="T305" t="s">
        <v>6392</v>
      </c>
      <c r="U305" t="s">
        <v>6393</v>
      </c>
      <c r="V305" t="s">
        <v>6394</v>
      </c>
      <c r="W305" t="s">
        <v>6395</v>
      </c>
      <c r="X305" t="s">
        <v>6396</v>
      </c>
      <c r="Y305" t="s">
        <v>6397</v>
      </c>
      <c r="Z305" t="s">
        <v>6398</v>
      </c>
      <c r="AA305" t="s">
        <v>74</v>
      </c>
      <c r="AB305" t="s">
        <v>6399</v>
      </c>
      <c r="AC305" t="s">
        <v>6400</v>
      </c>
      <c r="AD305" t="s">
        <v>6401</v>
      </c>
      <c r="AE305" t="s">
        <v>6402</v>
      </c>
      <c r="AF305" t="s">
        <v>74</v>
      </c>
      <c r="AG305">
        <v>52</v>
      </c>
      <c r="AH305">
        <v>15</v>
      </c>
      <c r="AI305">
        <v>16</v>
      </c>
      <c r="AJ305">
        <v>0</v>
      </c>
      <c r="AK305">
        <v>8</v>
      </c>
      <c r="AL305" t="s">
        <v>1264</v>
      </c>
      <c r="AM305" t="s">
        <v>1265</v>
      </c>
      <c r="AN305" t="s">
        <v>1266</v>
      </c>
      <c r="AO305" t="s">
        <v>1475</v>
      </c>
      <c r="AP305" t="s">
        <v>1476</v>
      </c>
      <c r="AQ305" t="s">
        <v>74</v>
      </c>
      <c r="AR305" t="s">
        <v>1477</v>
      </c>
      <c r="AS305" t="s">
        <v>1478</v>
      </c>
      <c r="AT305" t="s">
        <v>6403</v>
      </c>
      <c r="AU305">
        <v>2019</v>
      </c>
      <c r="AV305">
        <v>46</v>
      </c>
      <c r="AW305">
        <v>22</v>
      </c>
      <c r="AX305" t="s">
        <v>74</v>
      </c>
      <c r="AY305" t="s">
        <v>74</v>
      </c>
      <c r="AZ305" t="s">
        <v>74</v>
      </c>
      <c r="BA305" t="s">
        <v>74</v>
      </c>
      <c r="BB305">
        <v>13271</v>
      </c>
      <c r="BC305">
        <v>13280</v>
      </c>
      <c r="BD305" t="s">
        <v>74</v>
      </c>
      <c r="BE305" t="s">
        <v>6404</v>
      </c>
      <c r="BF305" t="str">
        <f>HYPERLINK("http://dx.doi.org/10.1029/2019GL084499","http://dx.doi.org/10.1029/2019GL084499")</f>
        <v>http://dx.doi.org/10.1029/2019GL084499</v>
      </c>
      <c r="BG305" t="s">
        <v>74</v>
      </c>
      <c r="BH305" t="s">
        <v>6368</v>
      </c>
      <c r="BI305">
        <v>10</v>
      </c>
      <c r="BJ305" t="s">
        <v>849</v>
      </c>
      <c r="BK305" t="s">
        <v>294</v>
      </c>
      <c r="BL305" t="s">
        <v>850</v>
      </c>
      <c r="BM305" t="s">
        <v>6405</v>
      </c>
      <c r="BN305" t="s">
        <v>74</v>
      </c>
      <c r="BO305" t="s">
        <v>588</v>
      </c>
      <c r="BP305" t="s">
        <v>74</v>
      </c>
      <c r="BQ305" t="s">
        <v>74</v>
      </c>
      <c r="BR305" t="s">
        <v>108</v>
      </c>
      <c r="BS305" t="s">
        <v>6406</v>
      </c>
      <c r="BT305" t="str">
        <f>HYPERLINK("https%3A%2F%2Fwww.webofscience.com%2Fwos%2Fwoscc%2Ffull-record%2FWOS:000499482600001","View Full Record in Web of Science")</f>
        <v>View Full Record in Web of Science</v>
      </c>
    </row>
    <row r="306" spans="1:72" x14ac:dyDescent="0.15">
      <c r="A306" t="s">
        <v>133</v>
      </c>
      <c r="B306" t="s">
        <v>6407</v>
      </c>
      <c r="C306" t="s">
        <v>74</v>
      </c>
      <c r="D306" t="s">
        <v>74</v>
      </c>
      <c r="E306" t="s">
        <v>74</v>
      </c>
      <c r="F306" t="s">
        <v>6408</v>
      </c>
      <c r="G306" t="s">
        <v>74</v>
      </c>
      <c r="H306" t="s">
        <v>74</v>
      </c>
      <c r="I306" t="s">
        <v>6409</v>
      </c>
      <c r="J306" t="s">
        <v>1388</v>
      </c>
      <c r="K306" t="s">
        <v>74</v>
      </c>
      <c r="L306" t="s">
        <v>74</v>
      </c>
      <c r="M306" t="s">
        <v>80</v>
      </c>
      <c r="N306" t="s">
        <v>138</v>
      </c>
      <c r="O306" t="s">
        <v>74</v>
      </c>
      <c r="P306" t="s">
        <v>74</v>
      </c>
      <c r="Q306" t="s">
        <v>74</v>
      </c>
      <c r="R306" t="s">
        <v>74</v>
      </c>
      <c r="S306" t="s">
        <v>74</v>
      </c>
      <c r="T306" t="s">
        <v>6410</v>
      </c>
      <c r="U306" t="s">
        <v>6411</v>
      </c>
      <c r="V306" t="s">
        <v>6412</v>
      </c>
      <c r="W306" t="s">
        <v>6413</v>
      </c>
      <c r="X306" t="s">
        <v>6414</v>
      </c>
      <c r="Y306" t="s">
        <v>6415</v>
      </c>
      <c r="Z306" t="s">
        <v>6416</v>
      </c>
      <c r="AA306" t="s">
        <v>6417</v>
      </c>
      <c r="AB306" t="s">
        <v>6418</v>
      </c>
      <c r="AC306" t="s">
        <v>74</v>
      </c>
      <c r="AD306" t="s">
        <v>74</v>
      </c>
      <c r="AE306" t="s">
        <v>74</v>
      </c>
      <c r="AF306" t="s">
        <v>74</v>
      </c>
      <c r="AG306">
        <v>59</v>
      </c>
      <c r="AH306">
        <v>0</v>
      </c>
      <c r="AI306">
        <v>1</v>
      </c>
      <c r="AJ306">
        <v>1</v>
      </c>
      <c r="AK306">
        <v>23</v>
      </c>
      <c r="AL306" t="s">
        <v>429</v>
      </c>
      <c r="AM306" t="s">
        <v>430</v>
      </c>
      <c r="AN306" t="s">
        <v>431</v>
      </c>
      <c r="AO306" t="s">
        <v>1401</v>
      </c>
      <c r="AP306" t="s">
        <v>1402</v>
      </c>
      <c r="AQ306" t="s">
        <v>74</v>
      </c>
      <c r="AR306" t="s">
        <v>1403</v>
      </c>
      <c r="AS306" t="s">
        <v>1404</v>
      </c>
      <c r="AT306" t="s">
        <v>6419</v>
      </c>
      <c r="AU306">
        <v>2019</v>
      </c>
      <c r="AV306">
        <v>39</v>
      </c>
      <c r="AW306">
        <v>14</v>
      </c>
      <c r="AX306" t="s">
        <v>74</v>
      </c>
      <c r="AY306" t="s">
        <v>74</v>
      </c>
      <c r="AZ306" t="s">
        <v>74</v>
      </c>
      <c r="BA306" t="s">
        <v>74</v>
      </c>
      <c r="BB306">
        <v>5380</v>
      </c>
      <c r="BC306">
        <v>5395</v>
      </c>
      <c r="BD306" t="s">
        <v>74</v>
      </c>
      <c r="BE306" t="s">
        <v>6420</v>
      </c>
      <c r="BF306" t="str">
        <f>HYPERLINK("http://dx.doi.org/10.1002/joc.6161","http://dx.doi.org/10.1002/joc.6161")</f>
        <v>http://dx.doi.org/10.1002/joc.6161</v>
      </c>
      <c r="BG306" t="s">
        <v>74</v>
      </c>
      <c r="BH306" t="s">
        <v>74</v>
      </c>
      <c r="BI306">
        <v>16</v>
      </c>
      <c r="BJ306" t="s">
        <v>1024</v>
      </c>
      <c r="BK306" t="s">
        <v>294</v>
      </c>
      <c r="BL306" t="s">
        <v>1024</v>
      </c>
      <c r="BM306" t="s">
        <v>6421</v>
      </c>
      <c r="BN306" t="s">
        <v>74</v>
      </c>
      <c r="BO306" t="s">
        <v>74</v>
      </c>
      <c r="BP306" t="s">
        <v>74</v>
      </c>
      <c r="BQ306" t="s">
        <v>74</v>
      </c>
      <c r="BR306" t="s">
        <v>108</v>
      </c>
      <c r="BS306" t="s">
        <v>6422</v>
      </c>
      <c r="BT306" t="str">
        <f>HYPERLINK("https%3A%2F%2Fwww.webofscience.com%2Fwos%2Fwoscc%2Ffull-record%2FWOS:000492898900012","View Full Record in Web of Science")</f>
        <v>View Full Record in Web of Science</v>
      </c>
    </row>
    <row r="307" spans="1:72" x14ac:dyDescent="0.15">
      <c r="A307" t="s">
        <v>133</v>
      </c>
      <c r="B307" t="s">
        <v>6423</v>
      </c>
      <c r="C307" t="s">
        <v>74</v>
      </c>
      <c r="D307" t="s">
        <v>74</v>
      </c>
      <c r="E307" t="s">
        <v>74</v>
      </c>
      <c r="F307" t="s">
        <v>6424</v>
      </c>
      <c r="G307" t="s">
        <v>74</v>
      </c>
      <c r="H307" t="s">
        <v>74</v>
      </c>
      <c r="I307" t="s">
        <v>6425</v>
      </c>
      <c r="J307" t="s">
        <v>6426</v>
      </c>
      <c r="K307" t="s">
        <v>74</v>
      </c>
      <c r="L307" t="s">
        <v>74</v>
      </c>
      <c r="M307" t="s">
        <v>80</v>
      </c>
      <c r="N307" t="s">
        <v>138</v>
      </c>
      <c r="O307" t="s">
        <v>74</v>
      </c>
      <c r="P307" t="s">
        <v>74</v>
      </c>
      <c r="Q307" t="s">
        <v>74</v>
      </c>
      <c r="R307" t="s">
        <v>74</v>
      </c>
      <c r="S307" t="s">
        <v>74</v>
      </c>
      <c r="T307" t="s">
        <v>6427</v>
      </c>
      <c r="U307" t="s">
        <v>6428</v>
      </c>
      <c r="V307" t="s">
        <v>6429</v>
      </c>
      <c r="W307" t="s">
        <v>6430</v>
      </c>
      <c r="X307" t="s">
        <v>6431</v>
      </c>
      <c r="Y307" t="s">
        <v>6432</v>
      </c>
      <c r="Z307" t="s">
        <v>6433</v>
      </c>
      <c r="AA307" t="s">
        <v>6434</v>
      </c>
      <c r="AB307" t="s">
        <v>6435</v>
      </c>
      <c r="AC307" t="s">
        <v>6436</v>
      </c>
      <c r="AD307" t="s">
        <v>6437</v>
      </c>
      <c r="AE307" t="s">
        <v>6438</v>
      </c>
      <c r="AF307" t="s">
        <v>74</v>
      </c>
      <c r="AG307">
        <v>33</v>
      </c>
      <c r="AH307">
        <v>14</v>
      </c>
      <c r="AI307">
        <v>14</v>
      </c>
      <c r="AJ307">
        <v>1</v>
      </c>
      <c r="AK307">
        <v>38</v>
      </c>
      <c r="AL307" t="s">
        <v>709</v>
      </c>
      <c r="AM307" t="s">
        <v>380</v>
      </c>
      <c r="AN307" t="s">
        <v>710</v>
      </c>
      <c r="AO307" t="s">
        <v>6439</v>
      </c>
      <c r="AP307" t="s">
        <v>6440</v>
      </c>
      <c r="AQ307" t="s">
        <v>74</v>
      </c>
      <c r="AR307" t="s">
        <v>6441</v>
      </c>
      <c r="AS307" t="s">
        <v>6442</v>
      </c>
      <c r="AT307" t="s">
        <v>6419</v>
      </c>
      <c r="AU307">
        <v>2019</v>
      </c>
      <c r="AV307">
        <v>299</v>
      </c>
      <c r="AW307" t="s">
        <v>74</v>
      </c>
      <c r="AX307" t="s">
        <v>74</v>
      </c>
      <c r="AY307" t="s">
        <v>74</v>
      </c>
      <c r="AZ307" t="s">
        <v>74</v>
      </c>
      <c r="BA307" t="s">
        <v>74</v>
      </c>
      <c r="BB307" t="s">
        <v>74</v>
      </c>
      <c r="BC307" t="s">
        <v>74</v>
      </c>
      <c r="BD307">
        <v>125140</v>
      </c>
      <c r="BE307" t="s">
        <v>6443</v>
      </c>
      <c r="BF307" t="str">
        <f>HYPERLINK("http://dx.doi.org/10.1016/j.foodchem.2019.125140","http://dx.doi.org/10.1016/j.foodchem.2019.125140")</f>
        <v>http://dx.doi.org/10.1016/j.foodchem.2019.125140</v>
      </c>
      <c r="BG307" t="s">
        <v>74</v>
      </c>
      <c r="BH307" t="s">
        <v>74</v>
      </c>
      <c r="BI307">
        <v>9</v>
      </c>
      <c r="BJ307" t="s">
        <v>6444</v>
      </c>
      <c r="BK307" t="s">
        <v>294</v>
      </c>
      <c r="BL307" t="s">
        <v>6445</v>
      </c>
      <c r="BM307" t="s">
        <v>6446</v>
      </c>
      <c r="BN307">
        <v>31299520</v>
      </c>
      <c r="BO307" t="s">
        <v>74</v>
      </c>
      <c r="BP307" t="s">
        <v>74</v>
      </c>
      <c r="BQ307" t="s">
        <v>74</v>
      </c>
      <c r="BR307" t="s">
        <v>108</v>
      </c>
      <c r="BS307" t="s">
        <v>6447</v>
      </c>
      <c r="BT307" t="str">
        <f>HYPERLINK("https%3A%2F%2Fwww.webofscience.com%2Fwos%2Fwoscc%2Ffull-record%2FWOS:000477668100044","View Full Record in Web of Science")</f>
        <v>View Full Record in Web of Science</v>
      </c>
    </row>
    <row r="308" spans="1:72" x14ac:dyDescent="0.15">
      <c r="A308" t="s">
        <v>133</v>
      </c>
      <c r="B308" t="s">
        <v>6448</v>
      </c>
      <c r="C308" t="s">
        <v>74</v>
      </c>
      <c r="D308" t="s">
        <v>74</v>
      </c>
      <c r="E308" t="s">
        <v>74</v>
      </c>
      <c r="F308" t="s">
        <v>6449</v>
      </c>
      <c r="G308" t="s">
        <v>74</v>
      </c>
      <c r="H308" t="s">
        <v>74</v>
      </c>
      <c r="I308" t="s">
        <v>6450</v>
      </c>
      <c r="J308" t="s">
        <v>2088</v>
      </c>
      <c r="K308" t="s">
        <v>74</v>
      </c>
      <c r="L308" t="s">
        <v>74</v>
      </c>
      <c r="M308" t="s">
        <v>80</v>
      </c>
      <c r="N308" t="s">
        <v>138</v>
      </c>
      <c r="O308" t="s">
        <v>74</v>
      </c>
      <c r="P308" t="s">
        <v>74</v>
      </c>
      <c r="Q308" t="s">
        <v>74</v>
      </c>
      <c r="R308" t="s">
        <v>74</v>
      </c>
      <c r="S308" t="s">
        <v>74</v>
      </c>
      <c r="T308" t="s">
        <v>74</v>
      </c>
      <c r="U308" t="s">
        <v>6451</v>
      </c>
      <c r="V308" t="s">
        <v>6452</v>
      </c>
      <c r="W308" t="s">
        <v>6453</v>
      </c>
      <c r="X308" t="s">
        <v>6454</v>
      </c>
      <c r="Y308" t="s">
        <v>6455</v>
      </c>
      <c r="Z308" t="s">
        <v>6456</v>
      </c>
      <c r="AA308" t="s">
        <v>6457</v>
      </c>
      <c r="AB308" t="s">
        <v>6458</v>
      </c>
      <c r="AC308" t="s">
        <v>6459</v>
      </c>
      <c r="AD308" t="s">
        <v>6460</v>
      </c>
      <c r="AE308" t="s">
        <v>6461</v>
      </c>
      <c r="AF308" t="s">
        <v>74</v>
      </c>
      <c r="AG308">
        <v>41</v>
      </c>
      <c r="AH308">
        <v>7</v>
      </c>
      <c r="AI308">
        <v>7</v>
      </c>
      <c r="AJ308">
        <v>1</v>
      </c>
      <c r="AK308">
        <v>7</v>
      </c>
      <c r="AL308" t="s">
        <v>2099</v>
      </c>
      <c r="AM308" t="s">
        <v>2100</v>
      </c>
      <c r="AN308" t="s">
        <v>2101</v>
      </c>
      <c r="AO308" t="s">
        <v>2102</v>
      </c>
      <c r="AP308" t="s">
        <v>2103</v>
      </c>
      <c r="AQ308" t="s">
        <v>74</v>
      </c>
      <c r="AR308" t="s">
        <v>2088</v>
      </c>
      <c r="AS308" t="s">
        <v>2104</v>
      </c>
      <c r="AT308" t="s">
        <v>6462</v>
      </c>
      <c r="AU308">
        <v>2019</v>
      </c>
      <c r="AV308">
        <v>13</v>
      </c>
      <c r="AW308">
        <v>12</v>
      </c>
      <c r="AX308" t="s">
        <v>74</v>
      </c>
      <c r="AY308" t="s">
        <v>74</v>
      </c>
      <c r="AZ308" t="s">
        <v>74</v>
      </c>
      <c r="BA308" t="s">
        <v>74</v>
      </c>
      <c r="BB308">
        <v>3171</v>
      </c>
      <c r="BC308">
        <v>3191</v>
      </c>
      <c r="BD308" t="s">
        <v>74</v>
      </c>
      <c r="BE308" t="s">
        <v>6463</v>
      </c>
      <c r="BF308" t="str">
        <f>HYPERLINK("http://dx.doi.org/10.5194/tc-13-3171-2019","http://dx.doi.org/10.5194/tc-13-3171-2019")</f>
        <v>http://dx.doi.org/10.5194/tc-13-3171-2019</v>
      </c>
      <c r="BG308" t="s">
        <v>74</v>
      </c>
      <c r="BH308" t="s">
        <v>74</v>
      </c>
      <c r="BI308">
        <v>21</v>
      </c>
      <c r="BJ308" t="s">
        <v>462</v>
      </c>
      <c r="BK308" t="s">
        <v>294</v>
      </c>
      <c r="BL308" t="s">
        <v>463</v>
      </c>
      <c r="BM308" t="s">
        <v>6464</v>
      </c>
      <c r="BN308" t="s">
        <v>74</v>
      </c>
      <c r="BO308" t="s">
        <v>6465</v>
      </c>
      <c r="BP308" t="s">
        <v>74</v>
      </c>
      <c r="BQ308" t="s">
        <v>74</v>
      </c>
      <c r="BR308" t="s">
        <v>108</v>
      </c>
      <c r="BS308" t="s">
        <v>6466</v>
      </c>
      <c r="BT308" t="str">
        <f>HYPERLINK("https%3A%2F%2Fwww.webofscience.com%2Fwos%2Fwoscc%2Ffull-record%2FWOS:000500017500001","View Full Record in Web of Science")</f>
        <v>View Full Record in Web of Science</v>
      </c>
    </row>
    <row r="309" spans="1:72" x14ac:dyDescent="0.15">
      <c r="A309" t="s">
        <v>133</v>
      </c>
      <c r="B309" t="s">
        <v>6467</v>
      </c>
      <c r="C309" t="s">
        <v>74</v>
      </c>
      <c r="D309" t="s">
        <v>74</v>
      </c>
      <c r="E309" t="s">
        <v>74</v>
      </c>
      <c r="F309" t="s">
        <v>6468</v>
      </c>
      <c r="G309" t="s">
        <v>74</v>
      </c>
      <c r="H309" t="s">
        <v>74</v>
      </c>
      <c r="I309" t="s">
        <v>6469</v>
      </c>
      <c r="J309" t="s">
        <v>2026</v>
      </c>
      <c r="K309" t="s">
        <v>74</v>
      </c>
      <c r="L309" t="s">
        <v>74</v>
      </c>
      <c r="M309" t="s">
        <v>80</v>
      </c>
      <c r="N309" t="s">
        <v>138</v>
      </c>
      <c r="O309" t="s">
        <v>74</v>
      </c>
      <c r="P309" t="s">
        <v>74</v>
      </c>
      <c r="Q309" t="s">
        <v>74</v>
      </c>
      <c r="R309" t="s">
        <v>74</v>
      </c>
      <c r="S309" t="s">
        <v>74</v>
      </c>
      <c r="T309" t="s">
        <v>74</v>
      </c>
      <c r="U309" t="s">
        <v>6470</v>
      </c>
      <c r="V309" t="s">
        <v>6471</v>
      </c>
      <c r="W309" t="s">
        <v>6472</v>
      </c>
      <c r="X309" t="s">
        <v>6473</v>
      </c>
      <c r="Y309" t="s">
        <v>6474</v>
      </c>
      <c r="Z309" t="s">
        <v>6475</v>
      </c>
      <c r="AA309" t="s">
        <v>6476</v>
      </c>
      <c r="AB309" t="s">
        <v>6477</v>
      </c>
      <c r="AC309" t="s">
        <v>6478</v>
      </c>
      <c r="AD309" t="s">
        <v>6479</v>
      </c>
      <c r="AE309" t="s">
        <v>6480</v>
      </c>
      <c r="AF309" t="s">
        <v>74</v>
      </c>
      <c r="AG309">
        <v>35</v>
      </c>
      <c r="AH309">
        <v>50</v>
      </c>
      <c r="AI309">
        <v>58</v>
      </c>
      <c r="AJ309">
        <v>3</v>
      </c>
      <c r="AK309">
        <v>8</v>
      </c>
      <c r="AL309" t="s">
        <v>2038</v>
      </c>
      <c r="AM309" t="s">
        <v>1730</v>
      </c>
      <c r="AN309" t="s">
        <v>2039</v>
      </c>
      <c r="AO309" t="s">
        <v>2040</v>
      </c>
      <c r="AP309" t="s">
        <v>74</v>
      </c>
      <c r="AQ309" t="s">
        <v>74</v>
      </c>
      <c r="AR309" t="s">
        <v>2041</v>
      </c>
      <c r="AS309" t="s">
        <v>2042</v>
      </c>
      <c r="AT309" t="s">
        <v>6462</v>
      </c>
      <c r="AU309">
        <v>2019</v>
      </c>
      <c r="AV309">
        <v>10</v>
      </c>
      <c r="AW309" t="s">
        <v>74</v>
      </c>
      <c r="AX309" t="s">
        <v>74</v>
      </c>
      <c r="AY309" t="s">
        <v>74</v>
      </c>
      <c r="AZ309" t="s">
        <v>74</v>
      </c>
      <c r="BA309" t="s">
        <v>74</v>
      </c>
      <c r="BB309" t="s">
        <v>74</v>
      </c>
      <c r="BC309" t="s">
        <v>74</v>
      </c>
      <c r="BD309">
        <v>5441</v>
      </c>
      <c r="BE309" t="s">
        <v>6481</v>
      </c>
      <c r="BF309" t="str">
        <f>HYPERLINK("http://dx.doi.org/10.1038/s41467-019-13083-8","http://dx.doi.org/10.1038/s41467-019-13083-8")</f>
        <v>http://dx.doi.org/10.1038/s41467-019-13083-8</v>
      </c>
      <c r="BG309" t="s">
        <v>74</v>
      </c>
      <c r="BH309" t="s">
        <v>74</v>
      </c>
      <c r="BI309">
        <v>6</v>
      </c>
      <c r="BJ309" t="s">
        <v>1245</v>
      </c>
      <c r="BK309" t="s">
        <v>294</v>
      </c>
      <c r="BL309" t="s">
        <v>1246</v>
      </c>
      <c r="BM309" t="s">
        <v>6482</v>
      </c>
      <c r="BN309">
        <v>31784513</v>
      </c>
      <c r="BO309" t="s">
        <v>693</v>
      </c>
      <c r="BP309" t="s">
        <v>74</v>
      </c>
      <c r="BQ309" t="s">
        <v>74</v>
      </c>
      <c r="BR309" t="s">
        <v>108</v>
      </c>
      <c r="BS309" t="s">
        <v>6483</v>
      </c>
      <c r="BT309" t="str">
        <f>HYPERLINK("https%3A%2F%2Fwww.webofscience.com%2Fwos%2Fwoscc%2Ffull-record%2FWOS:000500358400001","View Full Record in Web of Science")</f>
        <v>View Full Record in Web of Science</v>
      </c>
    </row>
    <row r="310" spans="1:72" x14ac:dyDescent="0.15">
      <c r="A310" t="s">
        <v>133</v>
      </c>
      <c r="B310" t="s">
        <v>6484</v>
      </c>
      <c r="C310" t="s">
        <v>74</v>
      </c>
      <c r="D310" t="s">
        <v>74</v>
      </c>
      <c r="E310" t="s">
        <v>74</v>
      </c>
      <c r="F310" t="s">
        <v>6485</v>
      </c>
      <c r="G310" t="s">
        <v>74</v>
      </c>
      <c r="H310" t="s">
        <v>74</v>
      </c>
      <c r="I310" t="s">
        <v>6486</v>
      </c>
      <c r="J310" t="s">
        <v>2723</v>
      </c>
      <c r="K310" t="s">
        <v>74</v>
      </c>
      <c r="L310" t="s">
        <v>74</v>
      </c>
      <c r="M310" t="s">
        <v>80</v>
      </c>
      <c r="N310" t="s">
        <v>138</v>
      </c>
      <c r="O310" t="s">
        <v>74</v>
      </c>
      <c r="P310" t="s">
        <v>74</v>
      </c>
      <c r="Q310" t="s">
        <v>74</v>
      </c>
      <c r="R310" t="s">
        <v>74</v>
      </c>
      <c r="S310" t="s">
        <v>74</v>
      </c>
      <c r="T310" t="s">
        <v>6487</v>
      </c>
      <c r="U310" t="s">
        <v>6488</v>
      </c>
      <c r="V310" t="s">
        <v>6489</v>
      </c>
      <c r="W310" t="s">
        <v>6490</v>
      </c>
      <c r="X310" t="s">
        <v>6491</v>
      </c>
      <c r="Y310" t="s">
        <v>6492</v>
      </c>
      <c r="Z310" t="s">
        <v>6493</v>
      </c>
      <c r="AA310" t="s">
        <v>6494</v>
      </c>
      <c r="AB310" t="s">
        <v>6495</v>
      </c>
      <c r="AC310" t="s">
        <v>6496</v>
      </c>
      <c r="AD310" t="s">
        <v>6496</v>
      </c>
      <c r="AE310" t="s">
        <v>6497</v>
      </c>
      <c r="AF310" t="s">
        <v>74</v>
      </c>
      <c r="AG310">
        <v>112</v>
      </c>
      <c r="AH310">
        <v>14</v>
      </c>
      <c r="AI310">
        <v>14</v>
      </c>
      <c r="AJ310">
        <v>1</v>
      </c>
      <c r="AK310">
        <v>15</v>
      </c>
      <c r="AL310" t="s">
        <v>2587</v>
      </c>
      <c r="AM310" t="s">
        <v>2588</v>
      </c>
      <c r="AN310" t="s">
        <v>2589</v>
      </c>
      <c r="AO310" t="s">
        <v>74</v>
      </c>
      <c r="AP310" t="s">
        <v>2734</v>
      </c>
      <c r="AQ310" t="s">
        <v>74</v>
      </c>
      <c r="AR310" t="s">
        <v>2735</v>
      </c>
      <c r="AS310" t="s">
        <v>2736</v>
      </c>
      <c r="AT310" t="s">
        <v>6462</v>
      </c>
      <c r="AU310">
        <v>2019</v>
      </c>
      <c r="AV310">
        <v>6</v>
      </c>
      <c r="AW310" t="s">
        <v>74</v>
      </c>
      <c r="AX310" t="s">
        <v>74</v>
      </c>
      <c r="AY310" t="s">
        <v>74</v>
      </c>
      <c r="AZ310" t="s">
        <v>74</v>
      </c>
      <c r="BA310" t="s">
        <v>74</v>
      </c>
      <c r="BB310" t="s">
        <v>74</v>
      </c>
      <c r="BC310" t="s">
        <v>74</v>
      </c>
      <c r="BD310">
        <v>746</v>
      </c>
      <c r="BE310" t="s">
        <v>6498</v>
      </c>
      <c r="BF310" t="str">
        <f>HYPERLINK("http://dx.doi.org/10.3389/fmars.2019.00746","http://dx.doi.org/10.3389/fmars.2019.00746")</f>
        <v>http://dx.doi.org/10.3389/fmars.2019.00746</v>
      </c>
      <c r="BG310" t="s">
        <v>74</v>
      </c>
      <c r="BH310" t="s">
        <v>74</v>
      </c>
      <c r="BI310">
        <v>16</v>
      </c>
      <c r="BJ310" t="s">
        <v>2738</v>
      </c>
      <c r="BK310" t="s">
        <v>360</v>
      </c>
      <c r="BL310" t="s">
        <v>2739</v>
      </c>
      <c r="BM310" t="s">
        <v>6499</v>
      </c>
      <c r="BN310" t="s">
        <v>74</v>
      </c>
      <c r="BO310" t="s">
        <v>693</v>
      </c>
      <c r="BP310" t="s">
        <v>74</v>
      </c>
      <c r="BQ310" t="s">
        <v>74</v>
      </c>
      <c r="BR310" t="s">
        <v>108</v>
      </c>
      <c r="BS310" t="s">
        <v>6500</v>
      </c>
      <c r="BT310" t="str">
        <f>HYPERLINK("https%3A%2F%2Fwww.webofscience.com%2Fwos%2Fwoscc%2Ffull-record%2FWOS:000499801100001","View Full Record in Web of Science")</f>
        <v>View Full Record in Web of Science</v>
      </c>
    </row>
    <row r="311" spans="1:72" x14ac:dyDescent="0.15">
      <c r="A311" t="s">
        <v>133</v>
      </c>
      <c r="B311" t="s">
        <v>6501</v>
      </c>
      <c r="C311" t="s">
        <v>74</v>
      </c>
      <c r="D311" t="s">
        <v>74</v>
      </c>
      <c r="E311" t="s">
        <v>74</v>
      </c>
      <c r="F311" t="s">
        <v>6502</v>
      </c>
      <c r="G311" t="s">
        <v>74</v>
      </c>
      <c r="H311" t="s">
        <v>74</v>
      </c>
      <c r="I311" t="s">
        <v>6503</v>
      </c>
      <c r="J311" t="s">
        <v>2723</v>
      </c>
      <c r="K311" t="s">
        <v>74</v>
      </c>
      <c r="L311" t="s">
        <v>74</v>
      </c>
      <c r="M311" t="s">
        <v>80</v>
      </c>
      <c r="N311" t="s">
        <v>138</v>
      </c>
      <c r="O311" t="s">
        <v>74</v>
      </c>
      <c r="P311" t="s">
        <v>74</v>
      </c>
      <c r="Q311" t="s">
        <v>74</v>
      </c>
      <c r="R311" t="s">
        <v>74</v>
      </c>
      <c r="S311" t="s">
        <v>74</v>
      </c>
      <c r="T311" t="s">
        <v>6504</v>
      </c>
      <c r="U311" t="s">
        <v>6505</v>
      </c>
      <c r="V311" t="s">
        <v>6506</v>
      </c>
      <c r="W311" t="s">
        <v>6507</v>
      </c>
      <c r="X311" t="s">
        <v>6508</v>
      </c>
      <c r="Y311" t="s">
        <v>6509</v>
      </c>
      <c r="Z311" t="s">
        <v>6510</v>
      </c>
      <c r="AA311" t="s">
        <v>6511</v>
      </c>
      <c r="AB311" t="s">
        <v>74</v>
      </c>
      <c r="AC311" t="s">
        <v>6512</v>
      </c>
      <c r="AD311" t="s">
        <v>6513</v>
      </c>
      <c r="AE311" t="s">
        <v>6514</v>
      </c>
      <c r="AF311" t="s">
        <v>74</v>
      </c>
      <c r="AG311">
        <v>73</v>
      </c>
      <c r="AH311">
        <v>8</v>
      </c>
      <c r="AI311">
        <v>8</v>
      </c>
      <c r="AJ311">
        <v>1</v>
      </c>
      <c r="AK311">
        <v>8</v>
      </c>
      <c r="AL311" t="s">
        <v>2587</v>
      </c>
      <c r="AM311" t="s">
        <v>2588</v>
      </c>
      <c r="AN311" t="s">
        <v>2589</v>
      </c>
      <c r="AO311" t="s">
        <v>74</v>
      </c>
      <c r="AP311" t="s">
        <v>2734</v>
      </c>
      <c r="AQ311" t="s">
        <v>74</v>
      </c>
      <c r="AR311" t="s">
        <v>2735</v>
      </c>
      <c r="AS311" t="s">
        <v>2736</v>
      </c>
      <c r="AT311" t="s">
        <v>6462</v>
      </c>
      <c r="AU311">
        <v>2019</v>
      </c>
      <c r="AV311">
        <v>6</v>
      </c>
      <c r="AW311" t="s">
        <v>74</v>
      </c>
      <c r="AX311" t="s">
        <v>74</v>
      </c>
      <c r="AY311" t="s">
        <v>74</v>
      </c>
      <c r="AZ311" t="s">
        <v>74</v>
      </c>
      <c r="BA311" t="s">
        <v>74</v>
      </c>
      <c r="BB311" t="s">
        <v>74</v>
      </c>
      <c r="BC311" t="s">
        <v>74</v>
      </c>
      <c r="BD311">
        <v>720</v>
      </c>
      <c r="BE311" t="s">
        <v>6515</v>
      </c>
      <c r="BF311" t="str">
        <f>HYPERLINK("http://dx.doi.org/10.3389/fmars.2019.00720","http://dx.doi.org/10.3389/fmars.2019.00720")</f>
        <v>http://dx.doi.org/10.3389/fmars.2019.00720</v>
      </c>
      <c r="BG311" t="s">
        <v>74</v>
      </c>
      <c r="BH311" t="s">
        <v>74</v>
      </c>
      <c r="BI311">
        <v>13</v>
      </c>
      <c r="BJ311" t="s">
        <v>2738</v>
      </c>
      <c r="BK311" t="s">
        <v>294</v>
      </c>
      <c r="BL311" t="s">
        <v>2739</v>
      </c>
      <c r="BM311" t="s">
        <v>6516</v>
      </c>
      <c r="BN311" t="s">
        <v>74</v>
      </c>
      <c r="BO311" t="s">
        <v>107</v>
      </c>
      <c r="BP311" t="s">
        <v>74</v>
      </c>
      <c r="BQ311" t="s">
        <v>74</v>
      </c>
      <c r="BR311" t="s">
        <v>108</v>
      </c>
      <c r="BS311" t="s">
        <v>6517</v>
      </c>
      <c r="BT311" t="str">
        <f>HYPERLINK("https%3A%2F%2Fwww.webofscience.com%2Fwos%2Fwoscc%2Ffull-record%2FWOS:000499798400001","View Full Record in Web of Science")</f>
        <v>View Full Record in Web of Science</v>
      </c>
    </row>
    <row r="312" spans="1:72" x14ac:dyDescent="0.15">
      <c r="A312" t="s">
        <v>133</v>
      </c>
      <c r="B312" t="s">
        <v>6518</v>
      </c>
      <c r="C312" t="s">
        <v>74</v>
      </c>
      <c r="D312" t="s">
        <v>74</v>
      </c>
      <c r="E312" t="s">
        <v>74</v>
      </c>
      <c r="F312" t="s">
        <v>6519</v>
      </c>
      <c r="G312" t="s">
        <v>74</v>
      </c>
      <c r="H312" t="s">
        <v>74</v>
      </c>
      <c r="I312" t="s">
        <v>6520</v>
      </c>
      <c r="J312" t="s">
        <v>1438</v>
      </c>
      <c r="K312" t="s">
        <v>74</v>
      </c>
      <c r="L312" t="s">
        <v>74</v>
      </c>
      <c r="M312" t="s">
        <v>80</v>
      </c>
      <c r="N312" t="s">
        <v>138</v>
      </c>
      <c r="O312" t="s">
        <v>74</v>
      </c>
      <c r="P312" t="s">
        <v>74</v>
      </c>
      <c r="Q312" t="s">
        <v>74</v>
      </c>
      <c r="R312" t="s">
        <v>74</v>
      </c>
      <c r="S312" t="s">
        <v>74</v>
      </c>
      <c r="T312" t="s">
        <v>74</v>
      </c>
      <c r="U312" t="s">
        <v>6521</v>
      </c>
      <c r="V312" t="s">
        <v>6522</v>
      </c>
      <c r="W312" t="s">
        <v>6523</v>
      </c>
      <c r="X312" t="s">
        <v>6524</v>
      </c>
      <c r="Y312" t="s">
        <v>6525</v>
      </c>
      <c r="Z312" t="s">
        <v>6526</v>
      </c>
      <c r="AA312" t="s">
        <v>6527</v>
      </c>
      <c r="AB312" t="s">
        <v>6528</v>
      </c>
      <c r="AC312" t="s">
        <v>6529</v>
      </c>
      <c r="AD312" t="s">
        <v>6530</v>
      </c>
      <c r="AE312" t="s">
        <v>6531</v>
      </c>
      <c r="AF312" t="s">
        <v>74</v>
      </c>
      <c r="AG312">
        <v>79</v>
      </c>
      <c r="AH312">
        <v>10</v>
      </c>
      <c r="AI312">
        <v>10</v>
      </c>
      <c r="AJ312">
        <v>0</v>
      </c>
      <c r="AK312">
        <v>11</v>
      </c>
      <c r="AL312" t="s">
        <v>1264</v>
      </c>
      <c r="AM312" t="s">
        <v>1265</v>
      </c>
      <c r="AN312" t="s">
        <v>1266</v>
      </c>
      <c r="AO312" t="s">
        <v>1450</v>
      </c>
      <c r="AP312" t="s">
        <v>1451</v>
      </c>
      <c r="AQ312" t="s">
        <v>74</v>
      </c>
      <c r="AR312" t="s">
        <v>1452</v>
      </c>
      <c r="AS312" t="s">
        <v>1453</v>
      </c>
      <c r="AT312" t="s">
        <v>3457</v>
      </c>
      <c r="AU312">
        <v>2019</v>
      </c>
      <c r="AV312">
        <v>34</v>
      </c>
      <c r="AW312">
        <v>11</v>
      </c>
      <c r="AX312" t="s">
        <v>74</v>
      </c>
      <c r="AY312" t="s">
        <v>74</v>
      </c>
      <c r="AZ312" t="s">
        <v>74</v>
      </c>
      <c r="BA312" t="s">
        <v>74</v>
      </c>
      <c r="BB312">
        <v>1833</v>
      </c>
      <c r="BC312">
        <v>1847</v>
      </c>
      <c r="BD312" t="s">
        <v>74</v>
      </c>
      <c r="BE312" t="s">
        <v>6532</v>
      </c>
      <c r="BF312" t="str">
        <f>HYPERLINK("http://dx.doi.org/10.1029/2019PA003597","http://dx.doi.org/10.1029/2019PA003597")</f>
        <v>http://dx.doi.org/10.1029/2019PA003597</v>
      </c>
      <c r="BG312" t="s">
        <v>74</v>
      </c>
      <c r="BH312" t="s">
        <v>6368</v>
      </c>
      <c r="BI312">
        <v>15</v>
      </c>
      <c r="BJ312" t="s">
        <v>1455</v>
      </c>
      <c r="BK312" t="s">
        <v>294</v>
      </c>
      <c r="BL312" t="s">
        <v>1456</v>
      </c>
      <c r="BM312" t="s">
        <v>6533</v>
      </c>
      <c r="BN312" t="s">
        <v>74</v>
      </c>
      <c r="BO312" t="s">
        <v>1482</v>
      </c>
      <c r="BP312" t="s">
        <v>74</v>
      </c>
      <c r="BQ312" t="s">
        <v>74</v>
      </c>
      <c r="BR312" t="s">
        <v>108</v>
      </c>
      <c r="BS312" t="s">
        <v>6534</v>
      </c>
      <c r="BT312" t="str">
        <f>HYPERLINK("https%3A%2F%2Fwww.webofscience.com%2Fwos%2Fwoscc%2Ffull-record%2FWOS:000499318400001","View Full Record in Web of Science")</f>
        <v>View Full Record in Web of Science</v>
      </c>
    </row>
    <row r="313" spans="1:72" x14ac:dyDescent="0.15">
      <c r="A313" t="s">
        <v>133</v>
      </c>
      <c r="B313" t="s">
        <v>6535</v>
      </c>
      <c r="C313" t="s">
        <v>74</v>
      </c>
      <c r="D313" t="s">
        <v>74</v>
      </c>
      <c r="E313" t="s">
        <v>74</v>
      </c>
      <c r="F313" t="s">
        <v>6536</v>
      </c>
      <c r="G313" t="s">
        <v>74</v>
      </c>
      <c r="H313" t="s">
        <v>74</v>
      </c>
      <c r="I313" t="s">
        <v>6537</v>
      </c>
      <c r="J313" t="s">
        <v>2623</v>
      </c>
      <c r="K313" t="s">
        <v>74</v>
      </c>
      <c r="L313" t="s">
        <v>74</v>
      </c>
      <c r="M313" t="s">
        <v>80</v>
      </c>
      <c r="N313" t="s">
        <v>138</v>
      </c>
      <c r="O313" t="s">
        <v>74</v>
      </c>
      <c r="P313" t="s">
        <v>74</v>
      </c>
      <c r="Q313" t="s">
        <v>74</v>
      </c>
      <c r="R313" t="s">
        <v>74</v>
      </c>
      <c r="S313" t="s">
        <v>74</v>
      </c>
      <c r="T313" t="s">
        <v>74</v>
      </c>
      <c r="U313" t="s">
        <v>6538</v>
      </c>
      <c r="V313" t="s">
        <v>6539</v>
      </c>
      <c r="W313" t="s">
        <v>6540</v>
      </c>
      <c r="X313" t="s">
        <v>6541</v>
      </c>
      <c r="Y313" t="s">
        <v>6542</v>
      </c>
      <c r="Z313" t="s">
        <v>6543</v>
      </c>
      <c r="AA313" t="s">
        <v>6544</v>
      </c>
      <c r="AB313" t="s">
        <v>6545</v>
      </c>
      <c r="AC313" t="s">
        <v>6546</v>
      </c>
      <c r="AD313" t="s">
        <v>6547</v>
      </c>
      <c r="AE313" t="s">
        <v>6548</v>
      </c>
      <c r="AF313" t="s">
        <v>74</v>
      </c>
      <c r="AG313">
        <v>31</v>
      </c>
      <c r="AH313">
        <v>26</v>
      </c>
      <c r="AI313">
        <v>26</v>
      </c>
      <c r="AJ313">
        <v>0</v>
      </c>
      <c r="AK313">
        <v>3</v>
      </c>
      <c r="AL313" t="s">
        <v>2635</v>
      </c>
      <c r="AM313" t="s">
        <v>841</v>
      </c>
      <c r="AN313" t="s">
        <v>842</v>
      </c>
      <c r="AO313" t="s">
        <v>2636</v>
      </c>
      <c r="AP313" t="s">
        <v>74</v>
      </c>
      <c r="AQ313" t="s">
        <v>74</v>
      </c>
      <c r="AR313" t="s">
        <v>2637</v>
      </c>
      <c r="AS313" t="s">
        <v>2638</v>
      </c>
      <c r="AT313" t="s">
        <v>6462</v>
      </c>
      <c r="AU313">
        <v>2019</v>
      </c>
      <c r="AV313">
        <v>9</v>
      </c>
      <c r="AW313" t="s">
        <v>74</v>
      </c>
      <c r="AX313" t="s">
        <v>74</v>
      </c>
      <c r="AY313" t="s">
        <v>74</v>
      </c>
      <c r="AZ313" t="s">
        <v>74</v>
      </c>
      <c r="BA313" t="s">
        <v>74</v>
      </c>
      <c r="BB313" t="s">
        <v>74</v>
      </c>
      <c r="BC313" t="s">
        <v>74</v>
      </c>
      <c r="BD313">
        <v>17879</v>
      </c>
      <c r="BE313" t="s">
        <v>6549</v>
      </c>
      <c r="BF313" t="str">
        <f>HYPERLINK("http://dx.doi.org/10.1038/s41598-019-53981-x","http://dx.doi.org/10.1038/s41598-019-53981-x")</f>
        <v>http://dx.doi.org/10.1038/s41598-019-53981-x</v>
      </c>
      <c r="BG313" t="s">
        <v>74</v>
      </c>
      <c r="BH313" t="s">
        <v>74</v>
      </c>
      <c r="BI313">
        <v>13</v>
      </c>
      <c r="BJ313" t="s">
        <v>1245</v>
      </c>
      <c r="BK313" t="s">
        <v>294</v>
      </c>
      <c r="BL313" t="s">
        <v>1246</v>
      </c>
      <c r="BM313" t="s">
        <v>6550</v>
      </c>
      <c r="BN313">
        <v>31784550</v>
      </c>
      <c r="BO313" t="s">
        <v>693</v>
      </c>
      <c r="BP313" t="s">
        <v>74</v>
      </c>
      <c r="BQ313" t="s">
        <v>74</v>
      </c>
      <c r="BR313" t="s">
        <v>108</v>
      </c>
      <c r="BS313" t="s">
        <v>6551</v>
      </c>
      <c r="BT313" t="str">
        <f>HYPERLINK("https%3A%2F%2Fwww.webofscience.com%2Fwos%2Fwoscc%2Ffull-record%2FWOS:000499826500001","View Full Record in Web of Science")</f>
        <v>View Full Record in Web of Science</v>
      </c>
    </row>
    <row r="314" spans="1:72" x14ac:dyDescent="0.15">
      <c r="A314" t="s">
        <v>133</v>
      </c>
      <c r="B314" t="s">
        <v>6552</v>
      </c>
      <c r="C314" t="s">
        <v>74</v>
      </c>
      <c r="D314" t="s">
        <v>74</v>
      </c>
      <c r="E314" t="s">
        <v>74</v>
      </c>
      <c r="F314" t="s">
        <v>6553</v>
      </c>
      <c r="G314" t="s">
        <v>74</v>
      </c>
      <c r="H314" t="s">
        <v>74</v>
      </c>
      <c r="I314" t="s">
        <v>6554</v>
      </c>
      <c r="J314" t="s">
        <v>6555</v>
      </c>
      <c r="K314" t="s">
        <v>74</v>
      </c>
      <c r="L314" t="s">
        <v>74</v>
      </c>
      <c r="M314" t="s">
        <v>80</v>
      </c>
      <c r="N314" t="s">
        <v>138</v>
      </c>
      <c r="O314" t="s">
        <v>74</v>
      </c>
      <c r="P314" t="s">
        <v>74</v>
      </c>
      <c r="Q314" t="s">
        <v>74</v>
      </c>
      <c r="R314" t="s">
        <v>74</v>
      </c>
      <c r="S314" t="s">
        <v>74</v>
      </c>
      <c r="T314" t="s">
        <v>74</v>
      </c>
      <c r="U314" t="s">
        <v>6556</v>
      </c>
      <c r="V314" t="s">
        <v>6557</v>
      </c>
      <c r="W314" t="s">
        <v>6558</v>
      </c>
      <c r="X314" t="s">
        <v>6559</v>
      </c>
      <c r="Y314" t="s">
        <v>6560</v>
      </c>
      <c r="Z314" t="s">
        <v>6561</v>
      </c>
      <c r="AA314" t="s">
        <v>6562</v>
      </c>
      <c r="AB314" t="s">
        <v>6563</v>
      </c>
      <c r="AC314" t="s">
        <v>6564</v>
      </c>
      <c r="AD314" t="s">
        <v>6565</v>
      </c>
      <c r="AE314" t="s">
        <v>6566</v>
      </c>
      <c r="AF314" t="s">
        <v>74</v>
      </c>
      <c r="AG314">
        <v>75</v>
      </c>
      <c r="AH314">
        <v>23</v>
      </c>
      <c r="AI314">
        <v>24</v>
      </c>
      <c r="AJ314">
        <v>1</v>
      </c>
      <c r="AK314">
        <v>16</v>
      </c>
      <c r="AL314" t="s">
        <v>840</v>
      </c>
      <c r="AM314" t="s">
        <v>841</v>
      </c>
      <c r="AN314" t="s">
        <v>842</v>
      </c>
      <c r="AO314" t="s">
        <v>74</v>
      </c>
      <c r="AP314" t="s">
        <v>6567</v>
      </c>
      <c r="AQ314" t="s">
        <v>74</v>
      </c>
      <c r="AR314" t="s">
        <v>6568</v>
      </c>
      <c r="AS314" t="s">
        <v>6569</v>
      </c>
      <c r="AT314" t="s">
        <v>6462</v>
      </c>
      <c r="AU314">
        <v>2019</v>
      </c>
      <c r="AV314">
        <v>2</v>
      </c>
      <c r="AW314" t="s">
        <v>74</v>
      </c>
      <c r="AX314" t="s">
        <v>74</v>
      </c>
      <c r="AY314" t="s">
        <v>74</v>
      </c>
      <c r="AZ314" t="s">
        <v>74</v>
      </c>
      <c r="BA314" t="s">
        <v>74</v>
      </c>
      <c r="BB314" t="s">
        <v>74</v>
      </c>
      <c r="BC314" t="s">
        <v>74</v>
      </c>
      <c r="BD314">
        <v>443</v>
      </c>
      <c r="BE314" t="s">
        <v>6570</v>
      </c>
      <c r="BF314" t="str">
        <f>HYPERLINK("http://dx.doi.org/10.1038/s42003-019-0685-y","http://dx.doi.org/10.1038/s42003-019-0685-y")</f>
        <v>http://dx.doi.org/10.1038/s42003-019-0685-y</v>
      </c>
      <c r="BG314" t="s">
        <v>74</v>
      </c>
      <c r="BH314" t="s">
        <v>74</v>
      </c>
      <c r="BI314">
        <v>11</v>
      </c>
      <c r="BJ314" t="s">
        <v>6571</v>
      </c>
      <c r="BK314" t="s">
        <v>294</v>
      </c>
      <c r="BL314" t="s">
        <v>6572</v>
      </c>
      <c r="BM314" t="s">
        <v>6573</v>
      </c>
      <c r="BN314" t="s">
        <v>74</v>
      </c>
      <c r="BO314" t="s">
        <v>693</v>
      </c>
      <c r="BP314" t="s">
        <v>74</v>
      </c>
      <c r="BQ314" t="s">
        <v>74</v>
      </c>
      <c r="BR314" t="s">
        <v>108</v>
      </c>
      <c r="BS314" t="s">
        <v>6574</v>
      </c>
      <c r="BT314" t="str">
        <f>HYPERLINK("https%3A%2F%2Fwww.webofscience.com%2Fwos%2Fwoscc%2Ffull-record%2FWOS:000500306600001","View Full Record in Web of Science")</f>
        <v>View Full Record in Web of Science</v>
      </c>
    </row>
    <row r="315" spans="1:72" x14ac:dyDescent="0.15">
      <c r="A315" t="s">
        <v>133</v>
      </c>
      <c r="B315" t="s">
        <v>6575</v>
      </c>
      <c r="C315" t="s">
        <v>74</v>
      </c>
      <c r="D315" t="s">
        <v>74</v>
      </c>
      <c r="E315" t="s">
        <v>74</v>
      </c>
      <c r="F315" t="s">
        <v>6576</v>
      </c>
      <c r="G315" t="s">
        <v>74</v>
      </c>
      <c r="H315" t="s">
        <v>74</v>
      </c>
      <c r="I315" t="s">
        <v>6577</v>
      </c>
      <c r="J315" t="s">
        <v>6578</v>
      </c>
      <c r="K315" t="s">
        <v>74</v>
      </c>
      <c r="L315" t="s">
        <v>74</v>
      </c>
      <c r="M315" t="s">
        <v>80</v>
      </c>
      <c r="N315" t="s">
        <v>138</v>
      </c>
      <c r="O315" t="s">
        <v>74</v>
      </c>
      <c r="P315" t="s">
        <v>74</v>
      </c>
      <c r="Q315" t="s">
        <v>74</v>
      </c>
      <c r="R315" t="s">
        <v>74</v>
      </c>
      <c r="S315" t="s">
        <v>74</v>
      </c>
      <c r="T315" t="s">
        <v>6579</v>
      </c>
      <c r="U315" t="s">
        <v>6580</v>
      </c>
      <c r="V315" t="s">
        <v>6581</v>
      </c>
      <c r="W315" t="s">
        <v>6582</v>
      </c>
      <c r="X315" t="s">
        <v>6583</v>
      </c>
      <c r="Y315" t="s">
        <v>6584</v>
      </c>
      <c r="Z315" t="s">
        <v>6585</v>
      </c>
      <c r="AA315" t="s">
        <v>6586</v>
      </c>
      <c r="AB315" t="s">
        <v>6587</v>
      </c>
      <c r="AC315" t="s">
        <v>6588</v>
      </c>
      <c r="AD315" t="s">
        <v>6589</v>
      </c>
      <c r="AE315" t="s">
        <v>6590</v>
      </c>
      <c r="AF315" t="s">
        <v>74</v>
      </c>
      <c r="AG315">
        <v>898</v>
      </c>
      <c r="AH315">
        <v>88</v>
      </c>
      <c r="AI315">
        <v>91</v>
      </c>
      <c r="AJ315">
        <v>13</v>
      </c>
      <c r="AK315">
        <v>83</v>
      </c>
      <c r="AL315" t="s">
        <v>1650</v>
      </c>
      <c r="AM315" t="s">
        <v>1651</v>
      </c>
      <c r="AN315" t="s">
        <v>1652</v>
      </c>
      <c r="AO315" t="s">
        <v>6591</v>
      </c>
      <c r="AP315" t="s">
        <v>6592</v>
      </c>
      <c r="AQ315" t="s">
        <v>74</v>
      </c>
      <c r="AR315" t="s">
        <v>6593</v>
      </c>
      <c r="AS315" t="s">
        <v>6594</v>
      </c>
      <c r="AT315" t="s">
        <v>6595</v>
      </c>
      <c r="AU315">
        <v>2021</v>
      </c>
      <c r="AV315">
        <v>29</v>
      </c>
      <c r="AW315">
        <v>3</v>
      </c>
      <c r="AX315" t="s">
        <v>74</v>
      </c>
      <c r="AY315" t="s">
        <v>74</v>
      </c>
      <c r="AZ315" t="s">
        <v>74</v>
      </c>
      <c r="BA315" t="s">
        <v>74</v>
      </c>
      <c r="BB315">
        <v>279</v>
      </c>
      <c r="BC315">
        <v>429</v>
      </c>
      <c r="BD315" t="s">
        <v>74</v>
      </c>
      <c r="BE315" t="s">
        <v>6596</v>
      </c>
      <c r="BF315" t="str">
        <f>HYPERLINK("http://dx.doi.org/10.1080/23308249.2019.1680603","http://dx.doi.org/10.1080/23308249.2019.1680603")</f>
        <v>http://dx.doi.org/10.1080/23308249.2019.1680603</v>
      </c>
      <c r="BG315" t="s">
        <v>74</v>
      </c>
      <c r="BH315" t="s">
        <v>6368</v>
      </c>
      <c r="BI315">
        <v>151</v>
      </c>
      <c r="BJ315" t="s">
        <v>413</v>
      </c>
      <c r="BK315" t="s">
        <v>294</v>
      </c>
      <c r="BL315" t="s">
        <v>413</v>
      </c>
      <c r="BM315" t="s">
        <v>6597</v>
      </c>
      <c r="BN315" t="s">
        <v>74</v>
      </c>
      <c r="BO315" t="s">
        <v>666</v>
      </c>
      <c r="BP315" t="s">
        <v>74</v>
      </c>
      <c r="BQ315" t="s">
        <v>74</v>
      </c>
      <c r="BR315" t="s">
        <v>108</v>
      </c>
      <c r="BS315" t="s">
        <v>6598</v>
      </c>
      <c r="BT315" t="str">
        <f>HYPERLINK("https%3A%2F%2Fwww.webofscience.com%2Fwos%2Fwoscc%2Ffull-record%2FWOS:000500891700001","View Full Record in Web of Science")</f>
        <v>View Full Record in Web of Science</v>
      </c>
    </row>
    <row r="316" spans="1:72" x14ac:dyDescent="0.15">
      <c r="A316" t="s">
        <v>133</v>
      </c>
      <c r="B316" t="s">
        <v>6599</v>
      </c>
      <c r="C316" t="s">
        <v>74</v>
      </c>
      <c r="D316" t="s">
        <v>74</v>
      </c>
      <c r="E316" t="s">
        <v>74</v>
      </c>
      <c r="F316" t="s">
        <v>6600</v>
      </c>
      <c r="G316" t="s">
        <v>74</v>
      </c>
      <c r="H316" t="s">
        <v>74</v>
      </c>
      <c r="I316" t="s">
        <v>6601</v>
      </c>
      <c r="J316" t="s">
        <v>2242</v>
      </c>
      <c r="K316" t="s">
        <v>74</v>
      </c>
      <c r="L316" t="s">
        <v>74</v>
      </c>
      <c r="M316" t="s">
        <v>80</v>
      </c>
      <c r="N316" t="s">
        <v>138</v>
      </c>
      <c r="O316" t="s">
        <v>74</v>
      </c>
      <c r="P316" t="s">
        <v>74</v>
      </c>
      <c r="Q316" t="s">
        <v>74</v>
      </c>
      <c r="R316" t="s">
        <v>74</v>
      </c>
      <c r="S316" t="s">
        <v>74</v>
      </c>
      <c r="T316" t="s">
        <v>74</v>
      </c>
      <c r="U316" t="s">
        <v>6602</v>
      </c>
      <c r="V316" t="s">
        <v>6603</v>
      </c>
      <c r="W316" t="s">
        <v>6604</v>
      </c>
      <c r="X316" t="s">
        <v>6605</v>
      </c>
      <c r="Y316" t="s">
        <v>6606</v>
      </c>
      <c r="Z316" t="s">
        <v>6607</v>
      </c>
      <c r="AA316" t="s">
        <v>74</v>
      </c>
      <c r="AB316" t="s">
        <v>6608</v>
      </c>
      <c r="AC316" t="s">
        <v>74</v>
      </c>
      <c r="AD316" t="s">
        <v>74</v>
      </c>
      <c r="AE316" t="s">
        <v>74</v>
      </c>
      <c r="AF316" t="s">
        <v>74</v>
      </c>
      <c r="AG316">
        <v>40</v>
      </c>
      <c r="AH316">
        <v>9</v>
      </c>
      <c r="AI316">
        <v>10</v>
      </c>
      <c r="AJ316">
        <v>3</v>
      </c>
      <c r="AK316">
        <v>15</v>
      </c>
      <c r="AL316" t="s">
        <v>2099</v>
      </c>
      <c r="AM316" t="s">
        <v>2100</v>
      </c>
      <c r="AN316" t="s">
        <v>2101</v>
      </c>
      <c r="AO316" t="s">
        <v>2254</v>
      </c>
      <c r="AP316" t="s">
        <v>2255</v>
      </c>
      <c r="AQ316" t="s">
        <v>74</v>
      </c>
      <c r="AR316" t="s">
        <v>2256</v>
      </c>
      <c r="AS316" t="s">
        <v>2257</v>
      </c>
      <c r="AT316" t="s">
        <v>6403</v>
      </c>
      <c r="AU316">
        <v>2019</v>
      </c>
      <c r="AV316">
        <v>19</v>
      </c>
      <c r="AW316">
        <v>22</v>
      </c>
      <c r="AX316" t="s">
        <v>74</v>
      </c>
      <c r="AY316" t="s">
        <v>74</v>
      </c>
      <c r="AZ316" t="s">
        <v>74</v>
      </c>
      <c r="BA316" t="s">
        <v>74</v>
      </c>
      <c r="BB316">
        <v>14417</v>
      </c>
      <c r="BC316">
        <v>14430</v>
      </c>
      <c r="BD316" t="s">
        <v>74</v>
      </c>
      <c r="BE316" t="s">
        <v>6609</v>
      </c>
      <c r="BF316" t="str">
        <f>HYPERLINK("http://dx.doi.org/10.5194/acp-19-14417-2019","http://dx.doi.org/10.5194/acp-19-14417-2019")</f>
        <v>http://dx.doi.org/10.5194/acp-19-14417-2019</v>
      </c>
      <c r="BG316" t="s">
        <v>74</v>
      </c>
      <c r="BH316" t="s">
        <v>74</v>
      </c>
      <c r="BI316">
        <v>14</v>
      </c>
      <c r="BJ316" t="s">
        <v>103</v>
      </c>
      <c r="BK316" t="s">
        <v>294</v>
      </c>
      <c r="BL316" t="s">
        <v>105</v>
      </c>
      <c r="BM316" t="s">
        <v>6610</v>
      </c>
      <c r="BN316" t="s">
        <v>74</v>
      </c>
      <c r="BO316" t="s">
        <v>1276</v>
      </c>
      <c r="BP316" t="s">
        <v>74</v>
      </c>
      <c r="BQ316" t="s">
        <v>74</v>
      </c>
      <c r="BR316" t="s">
        <v>108</v>
      </c>
      <c r="BS316" t="s">
        <v>6611</v>
      </c>
      <c r="BT316" t="str">
        <f>HYPERLINK("https%3A%2F%2Fwww.webofscience.com%2Fwos%2Fwoscc%2Ffull-record%2FWOS:000499988700004","View Full Record in Web of Science")</f>
        <v>View Full Record in Web of Science</v>
      </c>
    </row>
    <row r="317" spans="1:72" x14ac:dyDescent="0.15">
      <c r="A317" t="s">
        <v>133</v>
      </c>
      <c r="B317" t="s">
        <v>6612</v>
      </c>
      <c r="C317" t="s">
        <v>74</v>
      </c>
      <c r="D317" t="s">
        <v>74</v>
      </c>
      <c r="E317" t="s">
        <v>74</v>
      </c>
      <c r="F317" t="s">
        <v>6613</v>
      </c>
      <c r="G317" t="s">
        <v>74</v>
      </c>
      <c r="H317" t="s">
        <v>74</v>
      </c>
      <c r="I317" t="s">
        <v>6614</v>
      </c>
      <c r="J317" t="s">
        <v>6615</v>
      </c>
      <c r="K317" t="s">
        <v>74</v>
      </c>
      <c r="L317" t="s">
        <v>74</v>
      </c>
      <c r="M317" t="s">
        <v>80</v>
      </c>
      <c r="N317" t="s">
        <v>138</v>
      </c>
      <c r="O317" t="s">
        <v>74</v>
      </c>
      <c r="P317" t="s">
        <v>74</v>
      </c>
      <c r="Q317" t="s">
        <v>74</v>
      </c>
      <c r="R317" t="s">
        <v>74</v>
      </c>
      <c r="S317" t="s">
        <v>74</v>
      </c>
      <c r="T317" t="s">
        <v>6616</v>
      </c>
      <c r="U317" t="s">
        <v>6617</v>
      </c>
      <c r="V317" t="s">
        <v>6618</v>
      </c>
      <c r="W317" t="s">
        <v>6619</v>
      </c>
      <c r="X317" t="s">
        <v>6620</v>
      </c>
      <c r="Y317" t="s">
        <v>6621</v>
      </c>
      <c r="Z317" t="s">
        <v>6622</v>
      </c>
      <c r="AA317" t="s">
        <v>6623</v>
      </c>
      <c r="AB317" t="s">
        <v>6624</v>
      </c>
      <c r="AC317" t="s">
        <v>6625</v>
      </c>
      <c r="AD317" t="s">
        <v>6626</v>
      </c>
      <c r="AE317" t="s">
        <v>6627</v>
      </c>
      <c r="AF317" t="s">
        <v>74</v>
      </c>
      <c r="AG317">
        <v>77</v>
      </c>
      <c r="AH317">
        <v>7</v>
      </c>
      <c r="AI317">
        <v>7</v>
      </c>
      <c r="AJ317">
        <v>1</v>
      </c>
      <c r="AK317">
        <v>15</v>
      </c>
      <c r="AL317" t="s">
        <v>1964</v>
      </c>
      <c r="AM317" t="s">
        <v>1965</v>
      </c>
      <c r="AN317" t="s">
        <v>1966</v>
      </c>
      <c r="AO317" t="s">
        <v>6628</v>
      </c>
      <c r="AP317" t="s">
        <v>6629</v>
      </c>
      <c r="AQ317" t="s">
        <v>74</v>
      </c>
      <c r="AR317" t="s">
        <v>6615</v>
      </c>
      <c r="AS317" t="s">
        <v>6630</v>
      </c>
      <c r="AT317" t="s">
        <v>1298</v>
      </c>
      <c r="AU317">
        <v>2020</v>
      </c>
      <c r="AV317">
        <v>10</v>
      </c>
      <c r="AW317">
        <v>1</v>
      </c>
      <c r="AX317" t="s">
        <v>74</v>
      </c>
      <c r="AY317" t="s">
        <v>74</v>
      </c>
      <c r="AZ317" t="s">
        <v>74</v>
      </c>
      <c r="BA317" t="s">
        <v>74</v>
      </c>
      <c r="BB317">
        <v>136</v>
      </c>
      <c r="BC317">
        <v>148</v>
      </c>
      <c r="BD317" t="s">
        <v>74</v>
      </c>
      <c r="BE317" t="s">
        <v>6631</v>
      </c>
      <c r="BF317" t="str">
        <f>HYPERLINK("http://dx.doi.org/10.1007/s12668-019-00693-1","http://dx.doi.org/10.1007/s12668-019-00693-1")</f>
        <v>http://dx.doi.org/10.1007/s12668-019-00693-1</v>
      </c>
      <c r="BG317" t="s">
        <v>74</v>
      </c>
      <c r="BH317" t="s">
        <v>6368</v>
      </c>
      <c r="BI317">
        <v>13</v>
      </c>
      <c r="BJ317" t="s">
        <v>6632</v>
      </c>
      <c r="BK317" t="s">
        <v>160</v>
      </c>
      <c r="BL317" t="s">
        <v>6633</v>
      </c>
      <c r="BM317" t="s">
        <v>6634</v>
      </c>
      <c r="BN317" t="s">
        <v>74</v>
      </c>
      <c r="BO317" t="s">
        <v>74</v>
      </c>
      <c r="BP317" t="s">
        <v>74</v>
      </c>
      <c r="BQ317" t="s">
        <v>74</v>
      </c>
      <c r="BR317" t="s">
        <v>108</v>
      </c>
      <c r="BS317" t="s">
        <v>6635</v>
      </c>
      <c r="BT317" t="str">
        <f>HYPERLINK("https%3A%2F%2Fwww.webofscience.com%2Fwos%2Fwoscc%2Ffull-record%2FWOS:000499659500005","View Full Record in Web of Science")</f>
        <v>View Full Record in Web of Science</v>
      </c>
    </row>
    <row r="318" spans="1:72" x14ac:dyDescent="0.15">
      <c r="A318" t="s">
        <v>133</v>
      </c>
      <c r="B318" t="s">
        <v>6636</v>
      </c>
      <c r="C318" t="s">
        <v>74</v>
      </c>
      <c r="D318" t="s">
        <v>74</v>
      </c>
      <c r="E318" t="s">
        <v>74</v>
      </c>
      <c r="F318" t="s">
        <v>6637</v>
      </c>
      <c r="G318" t="s">
        <v>74</v>
      </c>
      <c r="H318" t="s">
        <v>74</v>
      </c>
      <c r="I318" t="s">
        <v>6638</v>
      </c>
      <c r="J318" t="s">
        <v>2088</v>
      </c>
      <c r="K318" t="s">
        <v>74</v>
      </c>
      <c r="L318" t="s">
        <v>74</v>
      </c>
      <c r="M318" t="s">
        <v>80</v>
      </c>
      <c r="N318" t="s">
        <v>138</v>
      </c>
      <c r="O318" t="s">
        <v>74</v>
      </c>
      <c r="P318" t="s">
        <v>74</v>
      </c>
      <c r="Q318" t="s">
        <v>74</v>
      </c>
      <c r="R318" t="s">
        <v>74</v>
      </c>
      <c r="S318" t="s">
        <v>74</v>
      </c>
      <c r="T318" t="s">
        <v>74</v>
      </c>
      <c r="U318" t="s">
        <v>6639</v>
      </c>
      <c r="V318" t="s">
        <v>6640</v>
      </c>
      <c r="W318" t="s">
        <v>6641</v>
      </c>
      <c r="X318" t="s">
        <v>6642</v>
      </c>
      <c r="Y318" t="s">
        <v>6643</v>
      </c>
      <c r="Z318" t="s">
        <v>6644</v>
      </c>
      <c r="AA318" t="s">
        <v>6645</v>
      </c>
      <c r="AB318" t="s">
        <v>6646</v>
      </c>
      <c r="AC318" t="s">
        <v>6647</v>
      </c>
      <c r="AD318" t="s">
        <v>6648</v>
      </c>
      <c r="AE318" t="s">
        <v>6649</v>
      </c>
      <c r="AF318" t="s">
        <v>74</v>
      </c>
      <c r="AG318">
        <v>52</v>
      </c>
      <c r="AH318">
        <v>6</v>
      </c>
      <c r="AI318">
        <v>10</v>
      </c>
      <c r="AJ318">
        <v>4</v>
      </c>
      <c r="AK318">
        <v>19</v>
      </c>
      <c r="AL318" t="s">
        <v>2099</v>
      </c>
      <c r="AM318" t="s">
        <v>2100</v>
      </c>
      <c r="AN318" t="s">
        <v>2101</v>
      </c>
      <c r="AO318" t="s">
        <v>2102</v>
      </c>
      <c r="AP318" t="s">
        <v>2103</v>
      </c>
      <c r="AQ318" t="s">
        <v>74</v>
      </c>
      <c r="AR318" t="s">
        <v>2088</v>
      </c>
      <c r="AS318" t="s">
        <v>2104</v>
      </c>
      <c r="AT318" t="s">
        <v>6403</v>
      </c>
      <c r="AU318">
        <v>2019</v>
      </c>
      <c r="AV318">
        <v>13</v>
      </c>
      <c r="AW318">
        <v>11</v>
      </c>
      <c r="AX318" t="s">
        <v>74</v>
      </c>
      <c r="AY318" t="s">
        <v>74</v>
      </c>
      <c r="AZ318" t="s">
        <v>74</v>
      </c>
      <c r="BA318" t="s">
        <v>74</v>
      </c>
      <c r="BB318">
        <v>3139</v>
      </c>
      <c r="BC318">
        <v>3153</v>
      </c>
      <c r="BD318" t="s">
        <v>74</v>
      </c>
      <c r="BE318" t="s">
        <v>6650</v>
      </c>
      <c r="BF318" t="str">
        <f>HYPERLINK("http://dx.doi.org/10.5194/tc-13-3139-2019","http://dx.doi.org/10.5194/tc-13-3139-2019")</f>
        <v>http://dx.doi.org/10.5194/tc-13-3139-2019</v>
      </c>
      <c r="BG318" t="s">
        <v>74</v>
      </c>
      <c r="BH318" t="s">
        <v>74</v>
      </c>
      <c r="BI318">
        <v>15</v>
      </c>
      <c r="BJ318" t="s">
        <v>462</v>
      </c>
      <c r="BK318" t="s">
        <v>294</v>
      </c>
      <c r="BL318" t="s">
        <v>463</v>
      </c>
      <c r="BM318" t="s">
        <v>6651</v>
      </c>
      <c r="BN318" t="s">
        <v>74</v>
      </c>
      <c r="BO318" t="s">
        <v>1791</v>
      </c>
      <c r="BP318" t="s">
        <v>74</v>
      </c>
      <c r="BQ318" t="s">
        <v>74</v>
      </c>
      <c r="BR318" t="s">
        <v>108</v>
      </c>
      <c r="BS318" t="s">
        <v>6652</v>
      </c>
      <c r="BT318" t="str">
        <f>HYPERLINK("https%3A%2F%2Fwww.webofscience.com%2Fwos%2Fwoscc%2Ffull-record%2FWOS:000499993100001","View Full Record in Web of Science")</f>
        <v>View Full Record in Web of Science</v>
      </c>
    </row>
    <row r="319" spans="1:72" x14ac:dyDescent="0.15">
      <c r="A319" t="s">
        <v>133</v>
      </c>
      <c r="B319" t="s">
        <v>6653</v>
      </c>
      <c r="C319" t="s">
        <v>74</v>
      </c>
      <c r="D319" t="s">
        <v>74</v>
      </c>
      <c r="E319" t="s">
        <v>74</v>
      </c>
      <c r="F319" t="s">
        <v>6654</v>
      </c>
      <c r="G319" t="s">
        <v>74</v>
      </c>
      <c r="H319" t="s">
        <v>74</v>
      </c>
      <c r="I319" t="s">
        <v>6655</v>
      </c>
      <c r="J319" t="s">
        <v>2088</v>
      </c>
      <c r="K319" t="s">
        <v>74</v>
      </c>
      <c r="L319" t="s">
        <v>74</v>
      </c>
      <c r="M319" t="s">
        <v>80</v>
      </c>
      <c r="N319" t="s">
        <v>138</v>
      </c>
      <c r="O319" t="s">
        <v>74</v>
      </c>
      <c r="P319" t="s">
        <v>74</v>
      </c>
      <c r="Q319" t="s">
        <v>74</v>
      </c>
      <c r="R319" t="s">
        <v>74</v>
      </c>
      <c r="S319" t="s">
        <v>74</v>
      </c>
      <c r="T319" t="s">
        <v>74</v>
      </c>
      <c r="U319" t="s">
        <v>6656</v>
      </c>
      <c r="V319" t="s">
        <v>6657</v>
      </c>
      <c r="W319" t="s">
        <v>6658</v>
      </c>
      <c r="X319" t="s">
        <v>6659</v>
      </c>
      <c r="Y319" t="s">
        <v>6660</v>
      </c>
      <c r="Z319" t="s">
        <v>6661</v>
      </c>
      <c r="AA319" t="s">
        <v>6662</v>
      </c>
      <c r="AB319" t="s">
        <v>6663</v>
      </c>
      <c r="AC319" t="s">
        <v>6664</v>
      </c>
      <c r="AD319" t="s">
        <v>6665</v>
      </c>
      <c r="AE319" t="s">
        <v>6666</v>
      </c>
      <c r="AF319" t="s">
        <v>74</v>
      </c>
      <c r="AG319">
        <v>41</v>
      </c>
      <c r="AH319">
        <v>11</v>
      </c>
      <c r="AI319">
        <v>13</v>
      </c>
      <c r="AJ319">
        <v>0</v>
      </c>
      <c r="AK319">
        <v>7</v>
      </c>
      <c r="AL319" t="s">
        <v>2099</v>
      </c>
      <c r="AM319" t="s">
        <v>2100</v>
      </c>
      <c r="AN319" t="s">
        <v>2101</v>
      </c>
      <c r="AO319" t="s">
        <v>2102</v>
      </c>
      <c r="AP319" t="s">
        <v>2103</v>
      </c>
      <c r="AQ319" t="s">
        <v>74</v>
      </c>
      <c r="AR319" t="s">
        <v>2088</v>
      </c>
      <c r="AS319" t="s">
        <v>2104</v>
      </c>
      <c r="AT319" t="s">
        <v>6403</v>
      </c>
      <c r="AU319">
        <v>2019</v>
      </c>
      <c r="AV319">
        <v>13</v>
      </c>
      <c r="AW319">
        <v>11</v>
      </c>
      <c r="AX319" t="s">
        <v>74</v>
      </c>
      <c r="AY319" t="s">
        <v>74</v>
      </c>
      <c r="AZ319" t="s">
        <v>74</v>
      </c>
      <c r="BA319" t="s">
        <v>74</v>
      </c>
      <c r="BB319">
        <v>3155</v>
      </c>
      <c r="BC319">
        <v>3169</v>
      </c>
      <c r="BD319" t="s">
        <v>74</v>
      </c>
      <c r="BE319" t="s">
        <v>6667</v>
      </c>
      <c r="BF319" t="str">
        <f>HYPERLINK("http://dx.doi.org/10.5194/tc-13-3155-2019","http://dx.doi.org/10.5194/tc-13-3155-2019")</f>
        <v>http://dx.doi.org/10.5194/tc-13-3155-2019</v>
      </c>
      <c r="BG319" t="s">
        <v>74</v>
      </c>
      <c r="BH319" t="s">
        <v>74</v>
      </c>
      <c r="BI319">
        <v>15</v>
      </c>
      <c r="BJ319" t="s">
        <v>462</v>
      </c>
      <c r="BK319" t="s">
        <v>294</v>
      </c>
      <c r="BL319" t="s">
        <v>463</v>
      </c>
      <c r="BM319" t="s">
        <v>6651</v>
      </c>
      <c r="BN319" t="s">
        <v>74</v>
      </c>
      <c r="BO319" t="s">
        <v>1276</v>
      </c>
      <c r="BP319" t="s">
        <v>74</v>
      </c>
      <c r="BQ319" t="s">
        <v>74</v>
      </c>
      <c r="BR319" t="s">
        <v>108</v>
      </c>
      <c r="BS319" t="s">
        <v>6668</v>
      </c>
      <c r="BT319" t="str">
        <f>HYPERLINK("https%3A%2F%2Fwww.webofscience.com%2Fwos%2Fwoscc%2Ffull-record%2FWOS:000499993100002","View Full Record in Web of Science")</f>
        <v>View Full Record in Web of Science</v>
      </c>
    </row>
    <row r="320" spans="1:72" x14ac:dyDescent="0.15">
      <c r="A320" t="s">
        <v>133</v>
      </c>
      <c r="B320" t="s">
        <v>6669</v>
      </c>
      <c r="C320" t="s">
        <v>74</v>
      </c>
      <c r="D320" t="s">
        <v>74</v>
      </c>
      <c r="E320" t="s">
        <v>74</v>
      </c>
      <c r="F320" t="s">
        <v>6670</v>
      </c>
      <c r="G320" t="s">
        <v>74</v>
      </c>
      <c r="H320" t="s">
        <v>74</v>
      </c>
      <c r="I320" t="s">
        <v>6671</v>
      </c>
      <c r="J320" t="s">
        <v>6672</v>
      </c>
      <c r="K320" t="s">
        <v>74</v>
      </c>
      <c r="L320" t="s">
        <v>74</v>
      </c>
      <c r="M320" t="s">
        <v>80</v>
      </c>
      <c r="N320" t="s">
        <v>138</v>
      </c>
      <c r="O320" t="s">
        <v>74</v>
      </c>
      <c r="P320" t="s">
        <v>74</v>
      </c>
      <c r="Q320" t="s">
        <v>74</v>
      </c>
      <c r="R320" t="s">
        <v>74</v>
      </c>
      <c r="S320" t="s">
        <v>74</v>
      </c>
      <c r="T320" t="s">
        <v>6673</v>
      </c>
      <c r="U320" t="s">
        <v>6674</v>
      </c>
      <c r="V320" t="s">
        <v>6675</v>
      </c>
      <c r="W320" t="s">
        <v>6676</v>
      </c>
      <c r="X320" t="s">
        <v>6677</v>
      </c>
      <c r="Y320" t="s">
        <v>6678</v>
      </c>
      <c r="Z320" t="s">
        <v>6679</v>
      </c>
      <c r="AA320" t="s">
        <v>6680</v>
      </c>
      <c r="AB320" t="s">
        <v>6681</v>
      </c>
      <c r="AC320" t="s">
        <v>6682</v>
      </c>
      <c r="AD320" t="s">
        <v>6683</v>
      </c>
      <c r="AE320" t="s">
        <v>6684</v>
      </c>
      <c r="AF320" t="s">
        <v>74</v>
      </c>
      <c r="AG320">
        <v>38</v>
      </c>
      <c r="AH320">
        <v>5</v>
      </c>
      <c r="AI320">
        <v>5</v>
      </c>
      <c r="AJ320">
        <v>1</v>
      </c>
      <c r="AK320">
        <v>6</v>
      </c>
      <c r="AL320" t="s">
        <v>1758</v>
      </c>
      <c r="AM320" t="s">
        <v>1759</v>
      </c>
      <c r="AN320" t="s">
        <v>1760</v>
      </c>
      <c r="AO320" t="s">
        <v>6685</v>
      </c>
      <c r="AP320" t="s">
        <v>74</v>
      </c>
      <c r="AQ320" t="s">
        <v>74</v>
      </c>
      <c r="AR320" t="s">
        <v>6686</v>
      </c>
      <c r="AS320" t="s">
        <v>6687</v>
      </c>
      <c r="AT320" t="s">
        <v>2950</v>
      </c>
      <c r="AU320">
        <v>2020</v>
      </c>
      <c r="AV320">
        <v>16</v>
      </c>
      <c r="AW320">
        <v>2</v>
      </c>
      <c r="AX320" t="s">
        <v>74</v>
      </c>
      <c r="AY320" t="s">
        <v>74</v>
      </c>
      <c r="AZ320" t="s">
        <v>74</v>
      </c>
      <c r="BA320" t="s">
        <v>74</v>
      </c>
      <c r="BB320">
        <v>56</v>
      </c>
      <c r="BC320">
        <v>67</v>
      </c>
      <c r="BD320" t="s">
        <v>74</v>
      </c>
      <c r="BE320" t="s">
        <v>6688</v>
      </c>
      <c r="BF320" t="str">
        <f>HYPERLINK("http://dx.doi.org/10.1080/17445647.2019.1692700","http://dx.doi.org/10.1080/17445647.2019.1692700")</f>
        <v>http://dx.doi.org/10.1080/17445647.2019.1692700</v>
      </c>
      <c r="BG320" t="s">
        <v>74</v>
      </c>
      <c r="BH320" t="s">
        <v>6368</v>
      </c>
      <c r="BI320">
        <v>12</v>
      </c>
      <c r="BJ320" t="s">
        <v>6689</v>
      </c>
      <c r="BK320" t="s">
        <v>360</v>
      </c>
      <c r="BL320" t="s">
        <v>6690</v>
      </c>
      <c r="BM320" t="s">
        <v>6691</v>
      </c>
      <c r="BN320" t="s">
        <v>74</v>
      </c>
      <c r="BO320" t="s">
        <v>1276</v>
      </c>
      <c r="BP320" t="s">
        <v>74</v>
      </c>
      <c r="BQ320" t="s">
        <v>74</v>
      </c>
      <c r="BR320" t="s">
        <v>108</v>
      </c>
      <c r="BS320" t="s">
        <v>6692</v>
      </c>
      <c r="BT320" t="str">
        <f>HYPERLINK("https%3A%2F%2Fwww.webofscience.com%2Fwos%2Fwoscc%2Ffull-record%2FWOS:000499837000001","View Full Record in Web of Science")</f>
        <v>View Full Record in Web of Science</v>
      </c>
    </row>
    <row r="321" spans="1:72" x14ac:dyDescent="0.15">
      <c r="A321" t="s">
        <v>133</v>
      </c>
      <c r="B321" t="s">
        <v>6693</v>
      </c>
      <c r="C321" t="s">
        <v>74</v>
      </c>
      <c r="D321" t="s">
        <v>74</v>
      </c>
      <c r="E321" t="s">
        <v>74</v>
      </c>
      <c r="F321" t="s">
        <v>6694</v>
      </c>
      <c r="G321" t="s">
        <v>74</v>
      </c>
      <c r="H321" t="s">
        <v>74</v>
      </c>
      <c r="I321" t="s">
        <v>6695</v>
      </c>
      <c r="J321" t="s">
        <v>1666</v>
      </c>
      <c r="K321" t="s">
        <v>74</v>
      </c>
      <c r="L321" t="s">
        <v>74</v>
      </c>
      <c r="M321" t="s">
        <v>80</v>
      </c>
      <c r="N321" t="s">
        <v>138</v>
      </c>
      <c r="O321" t="s">
        <v>74</v>
      </c>
      <c r="P321" t="s">
        <v>74</v>
      </c>
      <c r="Q321" t="s">
        <v>74</v>
      </c>
      <c r="R321" t="s">
        <v>74</v>
      </c>
      <c r="S321" t="s">
        <v>74</v>
      </c>
      <c r="T321" t="s">
        <v>6696</v>
      </c>
      <c r="U321" t="s">
        <v>6697</v>
      </c>
      <c r="V321" t="s">
        <v>6698</v>
      </c>
      <c r="W321" t="s">
        <v>6699</v>
      </c>
      <c r="X321" t="s">
        <v>6700</v>
      </c>
      <c r="Y321" t="s">
        <v>6701</v>
      </c>
      <c r="Z321" t="s">
        <v>6702</v>
      </c>
      <c r="AA321" t="s">
        <v>6703</v>
      </c>
      <c r="AB321" t="s">
        <v>6704</v>
      </c>
      <c r="AC321" t="s">
        <v>6705</v>
      </c>
      <c r="AD321" t="s">
        <v>6706</v>
      </c>
      <c r="AE321" t="s">
        <v>6707</v>
      </c>
      <c r="AF321" t="s">
        <v>74</v>
      </c>
      <c r="AG321">
        <v>69</v>
      </c>
      <c r="AH321">
        <v>8</v>
      </c>
      <c r="AI321">
        <v>8</v>
      </c>
      <c r="AJ321">
        <v>3</v>
      </c>
      <c r="AK321">
        <v>12</v>
      </c>
      <c r="AL321" t="s">
        <v>578</v>
      </c>
      <c r="AM321" t="s">
        <v>380</v>
      </c>
      <c r="AN321" t="s">
        <v>579</v>
      </c>
      <c r="AO321" t="s">
        <v>1679</v>
      </c>
      <c r="AP321" t="s">
        <v>74</v>
      </c>
      <c r="AQ321" t="s">
        <v>74</v>
      </c>
      <c r="AR321" t="s">
        <v>1680</v>
      </c>
      <c r="AS321" t="s">
        <v>1681</v>
      </c>
      <c r="AT321" t="s">
        <v>6708</v>
      </c>
      <c r="AU321">
        <v>2019</v>
      </c>
      <c r="AV321">
        <v>7</v>
      </c>
      <c r="AW321" t="s">
        <v>74</v>
      </c>
      <c r="AX321" t="s">
        <v>74</v>
      </c>
      <c r="AY321" t="s">
        <v>74</v>
      </c>
      <c r="AZ321" t="s">
        <v>74</v>
      </c>
      <c r="BA321" t="s">
        <v>74</v>
      </c>
      <c r="BB321" t="s">
        <v>74</v>
      </c>
      <c r="BC321" t="s">
        <v>74</v>
      </c>
      <c r="BD321" t="s">
        <v>6709</v>
      </c>
      <c r="BE321" t="s">
        <v>6710</v>
      </c>
      <c r="BF321" t="str">
        <f>HYPERLINK("http://dx.doi.org/10.1093/conphys/coz088","http://dx.doi.org/10.1093/conphys/coz088")</f>
        <v>http://dx.doi.org/10.1093/conphys/coz088</v>
      </c>
      <c r="BG321" t="s">
        <v>74</v>
      </c>
      <c r="BH321" t="s">
        <v>74</v>
      </c>
      <c r="BI321">
        <v>13</v>
      </c>
      <c r="BJ321" t="s">
        <v>1685</v>
      </c>
      <c r="BK321" t="s">
        <v>294</v>
      </c>
      <c r="BL321" t="s">
        <v>1686</v>
      </c>
      <c r="BM321" t="s">
        <v>6711</v>
      </c>
      <c r="BN321">
        <v>31798884</v>
      </c>
      <c r="BO321" t="s">
        <v>2865</v>
      </c>
      <c r="BP321" t="s">
        <v>74</v>
      </c>
      <c r="BQ321" t="s">
        <v>74</v>
      </c>
      <c r="BR321" t="s">
        <v>108</v>
      </c>
      <c r="BS321" t="s">
        <v>6712</v>
      </c>
      <c r="BT321" t="str">
        <f>HYPERLINK("https%3A%2F%2Fwww.webofscience.com%2Fwos%2Fwoscc%2Ffull-record%2FWOS:000522812900001","View Full Record in Web of Science")</f>
        <v>View Full Record in Web of Science</v>
      </c>
    </row>
    <row r="322" spans="1:72" x14ac:dyDescent="0.15">
      <c r="A322" t="s">
        <v>133</v>
      </c>
      <c r="B322" t="s">
        <v>6713</v>
      </c>
      <c r="C322" t="s">
        <v>74</v>
      </c>
      <c r="D322" t="s">
        <v>74</v>
      </c>
      <c r="E322" t="s">
        <v>74</v>
      </c>
      <c r="F322" t="s">
        <v>6714</v>
      </c>
      <c r="G322" t="s">
        <v>74</v>
      </c>
      <c r="H322" t="s">
        <v>74</v>
      </c>
      <c r="I322" t="s">
        <v>6715</v>
      </c>
      <c r="J322" t="s">
        <v>6716</v>
      </c>
      <c r="K322" t="s">
        <v>74</v>
      </c>
      <c r="L322" t="s">
        <v>74</v>
      </c>
      <c r="M322" t="s">
        <v>80</v>
      </c>
      <c r="N322" t="s">
        <v>138</v>
      </c>
      <c r="O322" t="s">
        <v>74</v>
      </c>
      <c r="P322" t="s">
        <v>74</v>
      </c>
      <c r="Q322" t="s">
        <v>74</v>
      </c>
      <c r="R322" t="s">
        <v>74</v>
      </c>
      <c r="S322" t="s">
        <v>74</v>
      </c>
      <c r="T322" t="s">
        <v>6717</v>
      </c>
      <c r="U322" t="s">
        <v>6718</v>
      </c>
      <c r="V322" t="s">
        <v>6719</v>
      </c>
      <c r="W322" t="s">
        <v>6720</v>
      </c>
      <c r="X322" t="s">
        <v>6721</v>
      </c>
      <c r="Y322" t="s">
        <v>6722</v>
      </c>
      <c r="Z322" t="s">
        <v>6723</v>
      </c>
      <c r="AA322" t="s">
        <v>6724</v>
      </c>
      <c r="AB322" t="s">
        <v>6725</v>
      </c>
      <c r="AC322" t="s">
        <v>6726</v>
      </c>
      <c r="AD322" t="s">
        <v>6727</v>
      </c>
      <c r="AE322" t="s">
        <v>6728</v>
      </c>
      <c r="AF322" t="s">
        <v>74</v>
      </c>
      <c r="AG322">
        <v>97</v>
      </c>
      <c r="AH322">
        <v>15</v>
      </c>
      <c r="AI322">
        <v>15</v>
      </c>
      <c r="AJ322">
        <v>3</v>
      </c>
      <c r="AK322">
        <v>32</v>
      </c>
      <c r="AL322" t="s">
        <v>578</v>
      </c>
      <c r="AM322" t="s">
        <v>380</v>
      </c>
      <c r="AN322" t="s">
        <v>579</v>
      </c>
      <c r="AO322" t="s">
        <v>6729</v>
      </c>
      <c r="AP322" t="s">
        <v>6730</v>
      </c>
      <c r="AQ322" t="s">
        <v>74</v>
      </c>
      <c r="AR322" t="s">
        <v>6731</v>
      </c>
      <c r="AS322" t="s">
        <v>6732</v>
      </c>
      <c r="AT322" t="s">
        <v>6708</v>
      </c>
      <c r="AU322">
        <v>2019</v>
      </c>
      <c r="AV322">
        <v>124</v>
      </c>
      <c r="AW322">
        <v>7</v>
      </c>
      <c r="AX322" t="s">
        <v>74</v>
      </c>
      <c r="AY322" t="s">
        <v>74</v>
      </c>
      <c r="AZ322" t="s">
        <v>74</v>
      </c>
      <c r="BA322" t="s">
        <v>74</v>
      </c>
      <c r="BB322">
        <v>1211</v>
      </c>
      <c r="BC322">
        <v>1226</v>
      </c>
      <c r="BD322" t="s">
        <v>74</v>
      </c>
      <c r="BE322" t="s">
        <v>6733</v>
      </c>
      <c r="BF322" t="str">
        <f>HYPERLINK("http://dx.doi.org/10.1093/aob/mcz149","http://dx.doi.org/10.1093/aob/mcz149")</f>
        <v>http://dx.doi.org/10.1093/aob/mcz149</v>
      </c>
      <c r="BG322" t="s">
        <v>74</v>
      </c>
      <c r="BH322" t="s">
        <v>74</v>
      </c>
      <c r="BI322">
        <v>16</v>
      </c>
      <c r="BJ322" t="s">
        <v>6734</v>
      </c>
      <c r="BK322" t="s">
        <v>294</v>
      </c>
      <c r="BL322" t="s">
        <v>6734</v>
      </c>
      <c r="BM322" t="s">
        <v>6735</v>
      </c>
      <c r="BN322">
        <v>31549137</v>
      </c>
      <c r="BO322" t="s">
        <v>6736</v>
      </c>
      <c r="BP322" t="s">
        <v>74</v>
      </c>
      <c r="BQ322" t="s">
        <v>74</v>
      </c>
      <c r="BR322" t="s">
        <v>108</v>
      </c>
      <c r="BS322" t="s">
        <v>6737</v>
      </c>
      <c r="BT322" t="str">
        <f>HYPERLINK("https%3A%2F%2Fwww.webofscience.com%2Fwos%2Fwoscc%2Ffull-record%2FWOS:000514599400008","View Full Record in Web of Science")</f>
        <v>View Full Record in Web of Science</v>
      </c>
    </row>
    <row r="323" spans="1:72" x14ac:dyDescent="0.15">
      <c r="A323" t="s">
        <v>133</v>
      </c>
      <c r="B323" t="s">
        <v>6738</v>
      </c>
      <c r="C323" t="s">
        <v>74</v>
      </c>
      <c r="D323" t="s">
        <v>74</v>
      </c>
      <c r="E323" t="s">
        <v>74</v>
      </c>
      <c r="F323" t="s">
        <v>6739</v>
      </c>
      <c r="G323" t="s">
        <v>74</v>
      </c>
      <c r="H323" t="s">
        <v>74</v>
      </c>
      <c r="I323" t="s">
        <v>6740</v>
      </c>
      <c r="J323" t="s">
        <v>3507</v>
      </c>
      <c r="K323" t="s">
        <v>74</v>
      </c>
      <c r="L323" t="s">
        <v>74</v>
      </c>
      <c r="M323" t="s">
        <v>80</v>
      </c>
      <c r="N323" t="s">
        <v>930</v>
      </c>
      <c r="O323" t="s">
        <v>74</v>
      </c>
      <c r="P323" t="s">
        <v>74</v>
      </c>
      <c r="Q323" t="s">
        <v>74</v>
      </c>
      <c r="R323" t="s">
        <v>74</v>
      </c>
      <c r="S323" t="s">
        <v>74</v>
      </c>
      <c r="T323" t="s">
        <v>6741</v>
      </c>
      <c r="U323" t="s">
        <v>6742</v>
      </c>
      <c r="V323" t="s">
        <v>6743</v>
      </c>
      <c r="W323" t="s">
        <v>6744</v>
      </c>
      <c r="X323" t="s">
        <v>6745</v>
      </c>
      <c r="Y323" t="s">
        <v>6746</v>
      </c>
      <c r="Z323" t="s">
        <v>6747</v>
      </c>
      <c r="AA323" t="s">
        <v>6748</v>
      </c>
      <c r="AB323" t="s">
        <v>6749</v>
      </c>
      <c r="AC323" t="s">
        <v>6750</v>
      </c>
      <c r="AD323" t="s">
        <v>6751</v>
      </c>
      <c r="AE323" t="s">
        <v>6752</v>
      </c>
      <c r="AF323" t="s">
        <v>74</v>
      </c>
      <c r="AG323">
        <v>97</v>
      </c>
      <c r="AH323">
        <v>5</v>
      </c>
      <c r="AI323">
        <v>7</v>
      </c>
      <c r="AJ323">
        <v>4</v>
      </c>
      <c r="AK323">
        <v>36</v>
      </c>
      <c r="AL323" t="s">
        <v>1964</v>
      </c>
      <c r="AM323" t="s">
        <v>1965</v>
      </c>
      <c r="AN323" t="s">
        <v>1966</v>
      </c>
      <c r="AO323" t="s">
        <v>3519</v>
      </c>
      <c r="AP323" t="s">
        <v>3520</v>
      </c>
      <c r="AQ323" t="s">
        <v>74</v>
      </c>
      <c r="AR323" t="s">
        <v>3521</v>
      </c>
      <c r="AS323" t="s">
        <v>3522</v>
      </c>
      <c r="AT323" t="s">
        <v>291</v>
      </c>
      <c r="AU323">
        <v>2020</v>
      </c>
      <c r="AV323">
        <v>43</v>
      </c>
      <c r="AW323">
        <v>1</v>
      </c>
      <c r="AX323" t="s">
        <v>74</v>
      </c>
      <c r="AY323" t="s">
        <v>74</v>
      </c>
      <c r="AZ323" t="s">
        <v>74</v>
      </c>
      <c r="BA323" t="s">
        <v>74</v>
      </c>
      <c r="BB323">
        <v>1</v>
      </c>
      <c r="BC323">
        <v>15</v>
      </c>
      <c r="BD323" t="s">
        <v>74</v>
      </c>
      <c r="BE323" t="s">
        <v>6753</v>
      </c>
      <c r="BF323" t="str">
        <f>HYPERLINK("http://dx.doi.org/10.1007/s00300-019-02607-z","http://dx.doi.org/10.1007/s00300-019-02607-z")</f>
        <v>http://dx.doi.org/10.1007/s00300-019-02607-z</v>
      </c>
      <c r="BG323" t="s">
        <v>74</v>
      </c>
      <c r="BH323" t="s">
        <v>6368</v>
      </c>
      <c r="BI323">
        <v>15</v>
      </c>
      <c r="BJ323" t="s">
        <v>3524</v>
      </c>
      <c r="BK323" t="s">
        <v>294</v>
      </c>
      <c r="BL323" t="s">
        <v>295</v>
      </c>
      <c r="BM323" t="s">
        <v>3525</v>
      </c>
      <c r="BN323" t="s">
        <v>74</v>
      </c>
      <c r="BO323" t="s">
        <v>74</v>
      </c>
      <c r="BP323" t="s">
        <v>74</v>
      </c>
      <c r="BQ323" t="s">
        <v>74</v>
      </c>
      <c r="BR323" t="s">
        <v>108</v>
      </c>
      <c r="BS323" t="s">
        <v>6754</v>
      </c>
      <c r="BT323" t="str">
        <f>HYPERLINK("https%3A%2F%2Fwww.webofscience.com%2Fwos%2Fwoscc%2Ffull-record%2FWOS:000498956500001","View Full Record in Web of Science")</f>
        <v>View Full Record in Web of Science</v>
      </c>
    </row>
    <row r="324" spans="1:72" x14ac:dyDescent="0.15">
      <c r="A324" t="s">
        <v>133</v>
      </c>
      <c r="B324" t="s">
        <v>6755</v>
      </c>
      <c r="C324" t="s">
        <v>74</v>
      </c>
      <c r="D324" t="s">
        <v>74</v>
      </c>
      <c r="E324" t="s">
        <v>74</v>
      </c>
      <c r="F324" t="s">
        <v>6756</v>
      </c>
      <c r="G324" t="s">
        <v>74</v>
      </c>
      <c r="H324" t="s">
        <v>74</v>
      </c>
      <c r="I324" t="s">
        <v>6757</v>
      </c>
      <c r="J324" t="s">
        <v>3507</v>
      </c>
      <c r="K324" t="s">
        <v>74</v>
      </c>
      <c r="L324" t="s">
        <v>74</v>
      </c>
      <c r="M324" t="s">
        <v>80</v>
      </c>
      <c r="N324" t="s">
        <v>138</v>
      </c>
      <c r="O324" t="s">
        <v>74</v>
      </c>
      <c r="P324" t="s">
        <v>74</v>
      </c>
      <c r="Q324" t="s">
        <v>74</v>
      </c>
      <c r="R324" t="s">
        <v>74</v>
      </c>
      <c r="S324" t="s">
        <v>74</v>
      </c>
      <c r="T324" t="s">
        <v>6758</v>
      </c>
      <c r="U324" t="s">
        <v>6759</v>
      </c>
      <c r="V324" t="s">
        <v>6760</v>
      </c>
      <c r="W324" t="s">
        <v>6761</v>
      </c>
      <c r="X324" t="s">
        <v>6762</v>
      </c>
      <c r="Y324" t="s">
        <v>6763</v>
      </c>
      <c r="Z324" t="s">
        <v>6764</v>
      </c>
      <c r="AA324" t="s">
        <v>6765</v>
      </c>
      <c r="AB324" t="s">
        <v>6766</v>
      </c>
      <c r="AC324" t="s">
        <v>6767</v>
      </c>
      <c r="AD324" t="s">
        <v>6768</v>
      </c>
      <c r="AE324" t="s">
        <v>6769</v>
      </c>
      <c r="AF324" t="s">
        <v>74</v>
      </c>
      <c r="AG324">
        <v>62</v>
      </c>
      <c r="AH324">
        <v>10</v>
      </c>
      <c r="AI324">
        <v>10</v>
      </c>
      <c r="AJ324">
        <v>1</v>
      </c>
      <c r="AK324">
        <v>12</v>
      </c>
      <c r="AL324" t="s">
        <v>1964</v>
      </c>
      <c r="AM324" t="s">
        <v>1965</v>
      </c>
      <c r="AN324" t="s">
        <v>1966</v>
      </c>
      <c r="AO324" t="s">
        <v>3519</v>
      </c>
      <c r="AP324" t="s">
        <v>3520</v>
      </c>
      <c r="AQ324" t="s">
        <v>74</v>
      </c>
      <c r="AR324" t="s">
        <v>3521</v>
      </c>
      <c r="AS324" t="s">
        <v>3522</v>
      </c>
      <c r="AT324" t="s">
        <v>291</v>
      </c>
      <c r="AU324">
        <v>2020</v>
      </c>
      <c r="AV324">
        <v>43</v>
      </c>
      <c r="AW324">
        <v>1</v>
      </c>
      <c r="AX324" t="s">
        <v>74</v>
      </c>
      <c r="AY324" t="s">
        <v>74</v>
      </c>
      <c r="AZ324" t="s">
        <v>74</v>
      </c>
      <c r="BA324" t="s">
        <v>74</v>
      </c>
      <c r="BB324">
        <v>17</v>
      </c>
      <c r="BC324">
        <v>34</v>
      </c>
      <c r="BD324" t="s">
        <v>74</v>
      </c>
      <c r="BE324" t="s">
        <v>6770</v>
      </c>
      <c r="BF324" t="str">
        <f>HYPERLINK("http://dx.doi.org/10.1007/s00300-019-02608-y","http://dx.doi.org/10.1007/s00300-019-02608-y")</f>
        <v>http://dx.doi.org/10.1007/s00300-019-02608-y</v>
      </c>
      <c r="BG324" t="s">
        <v>74</v>
      </c>
      <c r="BH324" t="s">
        <v>6368</v>
      </c>
      <c r="BI324">
        <v>18</v>
      </c>
      <c r="BJ324" t="s">
        <v>3524</v>
      </c>
      <c r="BK324" t="s">
        <v>294</v>
      </c>
      <c r="BL324" t="s">
        <v>295</v>
      </c>
      <c r="BM324" t="s">
        <v>3525</v>
      </c>
      <c r="BN324" t="s">
        <v>74</v>
      </c>
      <c r="BO324" t="s">
        <v>74</v>
      </c>
      <c r="BP324" t="s">
        <v>74</v>
      </c>
      <c r="BQ324" t="s">
        <v>74</v>
      </c>
      <c r="BR324" t="s">
        <v>108</v>
      </c>
      <c r="BS324" t="s">
        <v>6771</v>
      </c>
      <c r="BT324" t="str">
        <f>HYPERLINK("https%3A%2F%2Fwww.webofscience.com%2Fwos%2Fwoscc%2Ffull-record%2FWOS:000498956500002","View Full Record in Web of Science")</f>
        <v>View Full Record in Web of Science</v>
      </c>
    </row>
    <row r="325" spans="1:72" x14ac:dyDescent="0.15">
      <c r="A325" t="s">
        <v>133</v>
      </c>
      <c r="B325" t="s">
        <v>6772</v>
      </c>
      <c r="C325" t="s">
        <v>74</v>
      </c>
      <c r="D325" t="s">
        <v>74</v>
      </c>
      <c r="E325" t="s">
        <v>74</v>
      </c>
      <c r="F325" t="s">
        <v>6773</v>
      </c>
      <c r="G325" t="s">
        <v>74</v>
      </c>
      <c r="H325" t="s">
        <v>74</v>
      </c>
      <c r="I325" t="s">
        <v>6774</v>
      </c>
      <c r="J325" t="s">
        <v>2623</v>
      </c>
      <c r="K325" t="s">
        <v>74</v>
      </c>
      <c r="L325" t="s">
        <v>74</v>
      </c>
      <c r="M325" t="s">
        <v>80</v>
      </c>
      <c r="N325" t="s">
        <v>138</v>
      </c>
      <c r="O325" t="s">
        <v>74</v>
      </c>
      <c r="P325" t="s">
        <v>74</v>
      </c>
      <c r="Q325" t="s">
        <v>74</v>
      </c>
      <c r="R325" t="s">
        <v>74</v>
      </c>
      <c r="S325" t="s">
        <v>74</v>
      </c>
      <c r="T325" t="s">
        <v>74</v>
      </c>
      <c r="U325" t="s">
        <v>6775</v>
      </c>
      <c r="V325" t="s">
        <v>6776</v>
      </c>
      <c r="W325" t="s">
        <v>6777</v>
      </c>
      <c r="X325" t="s">
        <v>3760</v>
      </c>
      <c r="Y325" t="s">
        <v>6778</v>
      </c>
      <c r="Z325" t="s">
        <v>6779</v>
      </c>
      <c r="AA325" t="s">
        <v>6780</v>
      </c>
      <c r="AB325" t="s">
        <v>6781</v>
      </c>
      <c r="AC325" t="s">
        <v>6782</v>
      </c>
      <c r="AD325" t="s">
        <v>6783</v>
      </c>
      <c r="AE325" t="s">
        <v>6784</v>
      </c>
      <c r="AF325" t="s">
        <v>74</v>
      </c>
      <c r="AG325">
        <v>61</v>
      </c>
      <c r="AH325">
        <v>11</v>
      </c>
      <c r="AI325">
        <v>12</v>
      </c>
      <c r="AJ325">
        <v>0</v>
      </c>
      <c r="AK325">
        <v>6</v>
      </c>
      <c r="AL325" t="s">
        <v>2635</v>
      </c>
      <c r="AM325" t="s">
        <v>841</v>
      </c>
      <c r="AN325" t="s">
        <v>842</v>
      </c>
      <c r="AO325" t="s">
        <v>2636</v>
      </c>
      <c r="AP325" t="s">
        <v>74</v>
      </c>
      <c r="AQ325" t="s">
        <v>74</v>
      </c>
      <c r="AR325" t="s">
        <v>2637</v>
      </c>
      <c r="AS325" t="s">
        <v>2638</v>
      </c>
      <c r="AT325" t="s">
        <v>6708</v>
      </c>
      <c r="AU325">
        <v>2019</v>
      </c>
      <c r="AV325">
        <v>9</v>
      </c>
      <c r="AW325" t="s">
        <v>74</v>
      </c>
      <c r="AX325" t="s">
        <v>74</v>
      </c>
      <c r="AY325" t="s">
        <v>74</v>
      </c>
      <c r="AZ325" t="s">
        <v>74</v>
      </c>
      <c r="BA325" t="s">
        <v>74</v>
      </c>
      <c r="BB325" t="s">
        <v>74</v>
      </c>
      <c r="BC325" t="s">
        <v>74</v>
      </c>
      <c r="BD325">
        <v>17705</v>
      </c>
      <c r="BE325" t="s">
        <v>6785</v>
      </c>
      <c r="BF325" t="str">
        <f>HYPERLINK("http://dx.doi.org/10.1038/s41598-019-54092-3","http://dx.doi.org/10.1038/s41598-019-54092-3")</f>
        <v>http://dx.doi.org/10.1038/s41598-019-54092-3</v>
      </c>
      <c r="BG325" t="s">
        <v>74</v>
      </c>
      <c r="BH325" t="s">
        <v>74</v>
      </c>
      <c r="BI325">
        <v>15</v>
      </c>
      <c r="BJ325" t="s">
        <v>1245</v>
      </c>
      <c r="BK325" t="s">
        <v>294</v>
      </c>
      <c r="BL325" t="s">
        <v>1246</v>
      </c>
      <c r="BM325" t="s">
        <v>6786</v>
      </c>
      <c r="BN325">
        <v>31776401</v>
      </c>
      <c r="BO325" t="s">
        <v>2934</v>
      </c>
      <c r="BP325" t="s">
        <v>74</v>
      </c>
      <c r="BQ325" t="s">
        <v>74</v>
      </c>
      <c r="BR325" t="s">
        <v>108</v>
      </c>
      <c r="BS325" t="s">
        <v>6787</v>
      </c>
      <c r="BT325" t="str">
        <f>HYPERLINK("https%3A%2F%2Fwww.webofscience.com%2Fwos%2Fwoscc%2Ffull-record%2FWOS:000499197300001","View Full Record in Web of Science")</f>
        <v>View Full Record in Web of Science</v>
      </c>
    </row>
    <row r="326" spans="1:72" x14ac:dyDescent="0.15">
      <c r="A326" t="s">
        <v>133</v>
      </c>
      <c r="B326" t="s">
        <v>6788</v>
      </c>
      <c r="C326" t="s">
        <v>74</v>
      </c>
      <c r="D326" t="s">
        <v>74</v>
      </c>
      <c r="E326" t="s">
        <v>74</v>
      </c>
      <c r="F326" t="s">
        <v>6789</v>
      </c>
      <c r="G326" t="s">
        <v>74</v>
      </c>
      <c r="H326" t="s">
        <v>74</v>
      </c>
      <c r="I326" t="s">
        <v>6790</v>
      </c>
      <c r="J326" t="s">
        <v>6791</v>
      </c>
      <c r="K326" t="s">
        <v>74</v>
      </c>
      <c r="L326" t="s">
        <v>74</v>
      </c>
      <c r="M326" t="s">
        <v>80</v>
      </c>
      <c r="N326" t="s">
        <v>138</v>
      </c>
      <c r="O326" t="s">
        <v>74</v>
      </c>
      <c r="P326" t="s">
        <v>74</v>
      </c>
      <c r="Q326" t="s">
        <v>74</v>
      </c>
      <c r="R326" t="s">
        <v>74</v>
      </c>
      <c r="S326" t="s">
        <v>74</v>
      </c>
      <c r="T326" t="s">
        <v>6792</v>
      </c>
      <c r="U326" t="s">
        <v>6793</v>
      </c>
      <c r="V326" t="s">
        <v>6794</v>
      </c>
      <c r="W326" t="s">
        <v>6795</v>
      </c>
      <c r="X326" t="s">
        <v>6796</v>
      </c>
      <c r="Y326" t="s">
        <v>6797</v>
      </c>
      <c r="Z326" t="s">
        <v>6798</v>
      </c>
      <c r="AA326" t="s">
        <v>6799</v>
      </c>
      <c r="AB326" t="s">
        <v>6800</v>
      </c>
      <c r="AC326" t="s">
        <v>6801</v>
      </c>
      <c r="AD326" t="s">
        <v>3210</v>
      </c>
      <c r="AE326" t="s">
        <v>74</v>
      </c>
      <c r="AF326" t="s">
        <v>74</v>
      </c>
      <c r="AG326">
        <v>43</v>
      </c>
      <c r="AH326">
        <v>12</v>
      </c>
      <c r="AI326">
        <v>12</v>
      </c>
      <c r="AJ326">
        <v>11</v>
      </c>
      <c r="AK326">
        <v>69</v>
      </c>
      <c r="AL326" t="s">
        <v>1758</v>
      </c>
      <c r="AM326" t="s">
        <v>1759</v>
      </c>
      <c r="AN326" t="s">
        <v>1760</v>
      </c>
      <c r="AO326" t="s">
        <v>6802</v>
      </c>
      <c r="AP326" t="s">
        <v>6803</v>
      </c>
      <c r="AQ326" t="s">
        <v>74</v>
      </c>
      <c r="AR326" t="s">
        <v>6804</v>
      </c>
      <c r="AS326" t="s">
        <v>6805</v>
      </c>
      <c r="AT326" t="s">
        <v>6806</v>
      </c>
      <c r="AU326">
        <v>2020</v>
      </c>
      <c r="AV326">
        <v>20</v>
      </c>
      <c r="AW326">
        <v>2</v>
      </c>
      <c r="AX326" t="s">
        <v>74</v>
      </c>
      <c r="AY326" t="s">
        <v>74</v>
      </c>
      <c r="AZ326" t="s">
        <v>74</v>
      </c>
      <c r="BA326" t="s">
        <v>74</v>
      </c>
      <c r="BB326">
        <v>149</v>
      </c>
      <c r="BC326">
        <v>162</v>
      </c>
      <c r="BD326" t="s">
        <v>74</v>
      </c>
      <c r="BE326" t="s">
        <v>6807</v>
      </c>
      <c r="BF326" t="str">
        <f>HYPERLINK("http://dx.doi.org/10.1080/14693062.2019.1694482","http://dx.doi.org/10.1080/14693062.2019.1694482")</f>
        <v>http://dx.doi.org/10.1080/14693062.2019.1694482</v>
      </c>
      <c r="BG326" t="s">
        <v>74</v>
      </c>
      <c r="BH326" t="s">
        <v>6368</v>
      </c>
      <c r="BI326">
        <v>14</v>
      </c>
      <c r="BJ326" t="s">
        <v>6808</v>
      </c>
      <c r="BK326" t="s">
        <v>717</v>
      </c>
      <c r="BL326" t="s">
        <v>6809</v>
      </c>
      <c r="BM326" t="s">
        <v>6810</v>
      </c>
      <c r="BN326" t="s">
        <v>74</v>
      </c>
      <c r="BO326" t="s">
        <v>1482</v>
      </c>
      <c r="BP326" t="s">
        <v>74</v>
      </c>
      <c r="BQ326" t="s">
        <v>74</v>
      </c>
      <c r="BR326" t="s">
        <v>108</v>
      </c>
      <c r="BS326" t="s">
        <v>6811</v>
      </c>
      <c r="BT326" t="str">
        <f>HYPERLINK("https%3A%2F%2Fwww.webofscience.com%2Fwos%2Fwoscc%2Ffull-record%2FWOS:000498783100001","View Full Record in Web of Science")</f>
        <v>View Full Record in Web of Science</v>
      </c>
    </row>
    <row r="327" spans="1:72" x14ac:dyDescent="0.15">
      <c r="A327" t="s">
        <v>133</v>
      </c>
      <c r="B327" t="s">
        <v>6812</v>
      </c>
      <c r="C327" t="s">
        <v>74</v>
      </c>
      <c r="D327" t="s">
        <v>74</v>
      </c>
      <c r="E327" t="s">
        <v>74</v>
      </c>
      <c r="F327" t="s">
        <v>6813</v>
      </c>
      <c r="G327" t="s">
        <v>74</v>
      </c>
      <c r="H327" t="s">
        <v>74</v>
      </c>
      <c r="I327" t="s">
        <v>6814</v>
      </c>
      <c r="J327" t="s">
        <v>6815</v>
      </c>
      <c r="K327" t="s">
        <v>74</v>
      </c>
      <c r="L327" t="s">
        <v>74</v>
      </c>
      <c r="M327" t="s">
        <v>80</v>
      </c>
      <c r="N327" t="s">
        <v>3200</v>
      </c>
      <c r="O327" t="s">
        <v>74</v>
      </c>
      <c r="P327" t="s">
        <v>74</v>
      </c>
      <c r="Q327" t="s">
        <v>74</v>
      </c>
      <c r="R327" t="s">
        <v>74</v>
      </c>
      <c r="S327" t="s">
        <v>74</v>
      </c>
      <c r="T327" t="s">
        <v>74</v>
      </c>
      <c r="U327" t="s">
        <v>6816</v>
      </c>
      <c r="V327" t="s">
        <v>6817</v>
      </c>
      <c r="W327" t="s">
        <v>6818</v>
      </c>
      <c r="X327" t="s">
        <v>6819</v>
      </c>
      <c r="Y327" t="s">
        <v>6820</v>
      </c>
      <c r="Z327" t="s">
        <v>6821</v>
      </c>
      <c r="AA327" t="s">
        <v>6822</v>
      </c>
      <c r="AB327" t="s">
        <v>6823</v>
      </c>
      <c r="AC327" t="s">
        <v>6824</v>
      </c>
      <c r="AD327" t="s">
        <v>6825</v>
      </c>
      <c r="AE327" t="s">
        <v>6826</v>
      </c>
      <c r="AF327" t="s">
        <v>74</v>
      </c>
      <c r="AG327">
        <v>76</v>
      </c>
      <c r="AH327">
        <v>24</v>
      </c>
      <c r="AI327">
        <v>27</v>
      </c>
      <c r="AJ327">
        <v>1</v>
      </c>
      <c r="AK327">
        <v>31</v>
      </c>
      <c r="AL327" t="s">
        <v>2038</v>
      </c>
      <c r="AM327" t="s">
        <v>1730</v>
      </c>
      <c r="AN327" t="s">
        <v>2039</v>
      </c>
      <c r="AO327" t="s">
        <v>74</v>
      </c>
      <c r="AP327" t="s">
        <v>6827</v>
      </c>
      <c r="AQ327" t="s">
        <v>74</v>
      </c>
      <c r="AR327" t="s">
        <v>6828</v>
      </c>
      <c r="AS327" t="s">
        <v>6829</v>
      </c>
      <c r="AT327" t="s">
        <v>6830</v>
      </c>
      <c r="AU327">
        <v>2019</v>
      </c>
      <c r="AV327">
        <v>6</v>
      </c>
      <c r="AW327" t="s">
        <v>74</v>
      </c>
      <c r="AX327" t="s">
        <v>74</v>
      </c>
      <c r="AY327" t="s">
        <v>74</v>
      </c>
      <c r="AZ327" t="s">
        <v>74</v>
      </c>
      <c r="BA327" t="s">
        <v>74</v>
      </c>
      <c r="BB327" t="s">
        <v>74</v>
      </c>
      <c r="BC327" t="s">
        <v>74</v>
      </c>
      <c r="BD327">
        <v>286</v>
      </c>
      <c r="BE327" t="s">
        <v>6831</v>
      </c>
      <c r="BF327" t="str">
        <f>HYPERLINK("http://dx.doi.org/10.1038/s41597-019-0288-y","http://dx.doi.org/10.1038/s41597-019-0288-y")</f>
        <v>http://dx.doi.org/10.1038/s41597-019-0288-y</v>
      </c>
      <c r="BG327" t="s">
        <v>74</v>
      </c>
      <c r="BH327" t="s">
        <v>74</v>
      </c>
      <c r="BI327">
        <v>8</v>
      </c>
      <c r="BJ327" t="s">
        <v>1245</v>
      </c>
      <c r="BK327" t="s">
        <v>294</v>
      </c>
      <c r="BL327" t="s">
        <v>1246</v>
      </c>
      <c r="BM327" t="s">
        <v>6832</v>
      </c>
      <c r="BN327">
        <v>31772255</v>
      </c>
      <c r="BO327" t="s">
        <v>1354</v>
      </c>
      <c r="BP327" t="s">
        <v>74</v>
      </c>
      <c r="BQ327" t="s">
        <v>74</v>
      </c>
      <c r="BR327" t="s">
        <v>108</v>
      </c>
      <c r="BS327" t="s">
        <v>6833</v>
      </c>
      <c r="BT327" t="str">
        <f>HYPERLINK("https%3A%2F%2Fwww.webofscience.com%2Fwos%2Fwoscc%2Ffull-record%2FWOS:000501873300002","View Full Record in Web of Science")</f>
        <v>View Full Record in Web of Science</v>
      </c>
    </row>
    <row r="328" spans="1:72" x14ac:dyDescent="0.15">
      <c r="A328" t="s">
        <v>133</v>
      </c>
      <c r="B328" t="s">
        <v>6834</v>
      </c>
      <c r="C328" t="s">
        <v>74</v>
      </c>
      <c r="D328" t="s">
        <v>74</v>
      </c>
      <c r="E328" t="s">
        <v>74</v>
      </c>
      <c r="F328" t="s">
        <v>6835</v>
      </c>
      <c r="G328" t="s">
        <v>74</v>
      </c>
      <c r="H328" t="s">
        <v>74</v>
      </c>
      <c r="I328" t="s">
        <v>6836</v>
      </c>
      <c r="J328" t="s">
        <v>1553</v>
      </c>
      <c r="K328" t="s">
        <v>74</v>
      </c>
      <c r="L328" t="s">
        <v>74</v>
      </c>
      <c r="M328" t="s">
        <v>80</v>
      </c>
      <c r="N328" t="s">
        <v>138</v>
      </c>
      <c r="O328" t="s">
        <v>74</v>
      </c>
      <c r="P328" t="s">
        <v>74</v>
      </c>
      <c r="Q328" t="s">
        <v>74</v>
      </c>
      <c r="R328" t="s">
        <v>74</v>
      </c>
      <c r="S328" t="s">
        <v>74</v>
      </c>
      <c r="T328" t="s">
        <v>6837</v>
      </c>
      <c r="U328" t="s">
        <v>6838</v>
      </c>
      <c r="V328" t="s">
        <v>6839</v>
      </c>
      <c r="W328" t="s">
        <v>6840</v>
      </c>
      <c r="X328" t="s">
        <v>6841</v>
      </c>
      <c r="Y328" t="s">
        <v>6842</v>
      </c>
      <c r="Z328" t="s">
        <v>6843</v>
      </c>
      <c r="AA328" t="s">
        <v>6844</v>
      </c>
      <c r="AB328" t="s">
        <v>6845</v>
      </c>
      <c r="AC328" t="s">
        <v>6846</v>
      </c>
      <c r="AD328" t="s">
        <v>6847</v>
      </c>
      <c r="AE328" t="s">
        <v>6848</v>
      </c>
      <c r="AF328" t="s">
        <v>74</v>
      </c>
      <c r="AG328">
        <v>62</v>
      </c>
      <c r="AH328">
        <v>6</v>
      </c>
      <c r="AI328">
        <v>6</v>
      </c>
      <c r="AJ328">
        <v>0</v>
      </c>
      <c r="AK328">
        <v>12</v>
      </c>
      <c r="AL328" t="s">
        <v>1264</v>
      </c>
      <c r="AM328" t="s">
        <v>1265</v>
      </c>
      <c r="AN328" t="s">
        <v>1266</v>
      </c>
      <c r="AO328" t="s">
        <v>1566</v>
      </c>
      <c r="AP328" t="s">
        <v>1567</v>
      </c>
      <c r="AQ328" t="s">
        <v>74</v>
      </c>
      <c r="AR328" t="s">
        <v>1568</v>
      </c>
      <c r="AS328" t="s">
        <v>1569</v>
      </c>
      <c r="AT328" t="s">
        <v>3457</v>
      </c>
      <c r="AU328">
        <v>2019</v>
      </c>
      <c r="AV328">
        <v>124</v>
      </c>
      <c r="AW328">
        <v>11</v>
      </c>
      <c r="AX328" t="s">
        <v>74</v>
      </c>
      <c r="AY328" t="s">
        <v>74</v>
      </c>
      <c r="AZ328" t="s">
        <v>74</v>
      </c>
      <c r="BA328" t="s">
        <v>74</v>
      </c>
      <c r="BB328">
        <v>9626</v>
      </c>
      <c r="BC328">
        <v>9639</v>
      </c>
      <c r="BD328" t="s">
        <v>74</v>
      </c>
      <c r="BE328" t="s">
        <v>6849</v>
      </c>
      <c r="BF328" t="str">
        <f>HYPERLINK("http://dx.doi.org/10.1029/2019JA026891","http://dx.doi.org/10.1029/2019JA026891")</f>
        <v>http://dx.doi.org/10.1029/2019JA026891</v>
      </c>
      <c r="BG328" t="s">
        <v>74</v>
      </c>
      <c r="BH328" t="s">
        <v>6368</v>
      </c>
      <c r="BI328">
        <v>14</v>
      </c>
      <c r="BJ328" t="s">
        <v>1571</v>
      </c>
      <c r="BK328" t="s">
        <v>294</v>
      </c>
      <c r="BL328" t="s">
        <v>1571</v>
      </c>
      <c r="BM328" t="s">
        <v>6850</v>
      </c>
      <c r="BN328" t="s">
        <v>74</v>
      </c>
      <c r="BO328" t="s">
        <v>1740</v>
      </c>
      <c r="BP328" t="s">
        <v>74</v>
      </c>
      <c r="BQ328" t="s">
        <v>74</v>
      </c>
      <c r="BR328" t="s">
        <v>108</v>
      </c>
      <c r="BS328" t="s">
        <v>6851</v>
      </c>
      <c r="BT328" t="str">
        <f>HYPERLINK("https%3A%2F%2Fwww.webofscience.com%2Fwos%2Fwoscc%2Ffull-record%2FWOS:000498480900001","View Full Record in Web of Science")</f>
        <v>View Full Record in Web of Science</v>
      </c>
    </row>
    <row r="329" spans="1:72" x14ac:dyDescent="0.15">
      <c r="A329" t="s">
        <v>133</v>
      </c>
      <c r="B329" t="s">
        <v>6852</v>
      </c>
      <c r="C329" t="s">
        <v>74</v>
      </c>
      <c r="D329" t="s">
        <v>74</v>
      </c>
      <c r="E329" t="s">
        <v>74</v>
      </c>
      <c r="F329" t="s">
        <v>6853</v>
      </c>
      <c r="G329" t="s">
        <v>74</v>
      </c>
      <c r="H329" t="s">
        <v>74</v>
      </c>
      <c r="I329" t="s">
        <v>6854</v>
      </c>
      <c r="J329" t="s">
        <v>6855</v>
      </c>
      <c r="K329" t="s">
        <v>74</v>
      </c>
      <c r="L329" t="s">
        <v>74</v>
      </c>
      <c r="M329" t="s">
        <v>80</v>
      </c>
      <c r="N329" t="s">
        <v>138</v>
      </c>
      <c r="O329" t="s">
        <v>74</v>
      </c>
      <c r="P329" t="s">
        <v>74</v>
      </c>
      <c r="Q329" t="s">
        <v>74</v>
      </c>
      <c r="R329" t="s">
        <v>74</v>
      </c>
      <c r="S329" t="s">
        <v>74</v>
      </c>
      <c r="T329" t="s">
        <v>6856</v>
      </c>
      <c r="U329" t="s">
        <v>6857</v>
      </c>
      <c r="V329" t="s">
        <v>6858</v>
      </c>
      <c r="W329" t="s">
        <v>6859</v>
      </c>
      <c r="X329" t="s">
        <v>6860</v>
      </c>
      <c r="Y329" t="s">
        <v>6861</v>
      </c>
      <c r="Z329" t="s">
        <v>6862</v>
      </c>
      <c r="AA329" t="s">
        <v>6863</v>
      </c>
      <c r="AB329" t="s">
        <v>6864</v>
      </c>
      <c r="AC329" t="s">
        <v>6865</v>
      </c>
      <c r="AD329" t="s">
        <v>6866</v>
      </c>
      <c r="AE329" t="s">
        <v>6867</v>
      </c>
      <c r="AF329" t="s">
        <v>74</v>
      </c>
      <c r="AG329">
        <v>61</v>
      </c>
      <c r="AH329">
        <v>3</v>
      </c>
      <c r="AI329">
        <v>3</v>
      </c>
      <c r="AJ329">
        <v>0</v>
      </c>
      <c r="AK329">
        <v>3</v>
      </c>
      <c r="AL329" t="s">
        <v>1758</v>
      </c>
      <c r="AM329" t="s">
        <v>1759</v>
      </c>
      <c r="AN329" t="s">
        <v>1760</v>
      </c>
      <c r="AO329" t="s">
        <v>6868</v>
      </c>
      <c r="AP329" t="s">
        <v>6869</v>
      </c>
      <c r="AQ329" t="s">
        <v>74</v>
      </c>
      <c r="AR329" t="s">
        <v>6870</v>
      </c>
      <c r="AS329" t="s">
        <v>6871</v>
      </c>
      <c r="AT329" t="s">
        <v>6830</v>
      </c>
      <c r="AU329">
        <v>2019</v>
      </c>
      <c r="AV329">
        <v>31</v>
      </c>
      <c r="AW329">
        <v>10</v>
      </c>
      <c r="AX329" t="s">
        <v>74</v>
      </c>
      <c r="AY329" t="s">
        <v>74</v>
      </c>
      <c r="AZ329" t="s">
        <v>74</v>
      </c>
      <c r="BA329" t="s">
        <v>74</v>
      </c>
      <c r="BB329">
        <v>1341</v>
      </c>
      <c r="BC329">
        <v>1349</v>
      </c>
      <c r="BD329" t="s">
        <v>74</v>
      </c>
      <c r="BE329" t="s">
        <v>6872</v>
      </c>
      <c r="BF329" t="str">
        <f>HYPERLINK("http://dx.doi.org/10.1080/08912963.2018.1452206","http://dx.doi.org/10.1080/08912963.2018.1452206")</f>
        <v>http://dx.doi.org/10.1080/08912963.2018.1452206</v>
      </c>
      <c r="BG329" t="s">
        <v>74</v>
      </c>
      <c r="BH329" t="s">
        <v>74</v>
      </c>
      <c r="BI329">
        <v>9</v>
      </c>
      <c r="BJ329" t="s">
        <v>6873</v>
      </c>
      <c r="BK329" t="s">
        <v>294</v>
      </c>
      <c r="BL329" t="s">
        <v>6874</v>
      </c>
      <c r="BM329" t="s">
        <v>6875</v>
      </c>
      <c r="BN329" t="s">
        <v>74</v>
      </c>
      <c r="BO329" t="s">
        <v>74</v>
      </c>
      <c r="BP329" t="s">
        <v>74</v>
      </c>
      <c r="BQ329" t="s">
        <v>74</v>
      </c>
      <c r="BR329" t="s">
        <v>108</v>
      </c>
      <c r="BS329" t="s">
        <v>6876</v>
      </c>
      <c r="BT329" t="str">
        <f>HYPERLINK("https%3A%2F%2Fwww.webofscience.com%2Fwos%2Fwoscc%2Ffull-record%2FWOS:000491225000006","View Full Record in Web of Science")</f>
        <v>View Full Record in Web of Science</v>
      </c>
    </row>
    <row r="330" spans="1:72" x14ac:dyDescent="0.15">
      <c r="A330" t="s">
        <v>133</v>
      </c>
      <c r="B330" t="s">
        <v>6877</v>
      </c>
      <c r="C330" t="s">
        <v>74</v>
      </c>
      <c r="D330" t="s">
        <v>74</v>
      </c>
      <c r="E330" t="s">
        <v>74</v>
      </c>
      <c r="F330" t="s">
        <v>6878</v>
      </c>
      <c r="G330" t="s">
        <v>74</v>
      </c>
      <c r="H330" t="s">
        <v>74</v>
      </c>
      <c r="I330" t="s">
        <v>6879</v>
      </c>
      <c r="J330" t="s">
        <v>1462</v>
      </c>
      <c r="K330" t="s">
        <v>74</v>
      </c>
      <c r="L330" t="s">
        <v>74</v>
      </c>
      <c r="M330" t="s">
        <v>80</v>
      </c>
      <c r="N330" t="s">
        <v>138</v>
      </c>
      <c r="O330" t="s">
        <v>74</v>
      </c>
      <c r="P330" t="s">
        <v>74</v>
      </c>
      <c r="Q330" t="s">
        <v>74</v>
      </c>
      <c r="R330" t="s">
        <v>74</v>
      </c>
      <c r="S330" t="s">
        <v>74</v>
      </c>
      <c r="T330" t="s">
        <v>6880</v>
      </c>
      <c r="U330" t="s">
        <v>6881</v>
      </c>
      <c r="V330" t="s">
        <v>6882</v>
      </c>
      <c r="W330" t="s">
        <v>6883</v>
      </c>
      <c r="X330" t="s">
        <v>6884</v>
      </c>
      <c r="Y330" t="s">
        <v>6885</v>
      </c>
      <c r="Z330" t="s">
        <v>6886</v>
      </c>
      <c r="AA330" t="s">
        <v>6887</v>
      </c>
      <c r="AB330" t="s">
        <v>6888</v>
      </c>
      <c r="AC330" t="s">
        <v>6889</v>
      </c>
      <c r="AD330" t="s">
        <v>6890</v>
      </c>
      <c r="AE330" t="s">
        <v>6891</v>
      </c>
      <c r="AF330" t="s">
        <v>74</v>
      </c>
      <c r="AG330">
        <v>36</v>
      </c>
      <c r="AH330">
        <v>17</v>
      </c>
      <c r="AI330">
        <v>20</v>
      </c>
      <c r="AJ330">
        <v>0</v>
      </c>
      <c r="AK330">
        <v>7</v>
      </c>
      <c r="AL330" t="s">
        <v>1264</v>
      </c>
      <c r="AM330" t="s">
        <v>1265</v>
      </c>
      <c r="AN330" t="s">
        <v>1266</v>
      </c>
      <c r="AO330" t="s">
        <v>1475</v>
      </c>
      <c r="AP330" t="s">
        <v>1476</v>
      </c>
      <c r="AQ330" t="s">
        <v>74</v>
      </c>
      <c r="AR330" t="s">
        <v>1477</v>
      </c>
      <c r="AS330" t="s">
        <v>1478</v>
      </c>
      <c r="AT330" t="s">
        <v>6403</v>
      </c>
      <c r="AU330">
        <v>2019</v>
      </c>
      <c r="AV330">
        <v>46</v>
      </c>
      <c r="AW330">
        <v>22</v>
      </c>
      <c r="AX330" t="s">
        <v>74</v>
      </c>
      <c r="AY330" t="s">
        <v>74</v>
      </c>
      <c r="AZ330" t="s">
        <v>74</v>
      </c>
      <c r="BA330" t="s">
        <v>74</v>
      </c>
      <c r="BB330">
        <v>13126</v>
      </c>
      <c r="BC330">
        <v>13134</v>
      </c>
      <c r="BD330" t="s">
        <v>74</v>
      </c>
      <c r="BE330" t="s">
        <v>6892</v>
      </c>
      <c r="BF330" t="str">
        <f>HYPERLINK("http://dx.doi.org/10.1029/2019GL085363","http://dx.doi.org/10.1029/2019GL085363")</f>
        <v>http://dx.doi.org/10.1029/2019GL085363</v>
      </c>
      <c r="BG330" t="s">
        <v>74</v>
      </c>
      <c r="BH330" t="s">
        <v>6368</v>
      </c>
      <c r="BI330">
        <v>9</v>
      </c>
      <c r="BJ330" t="s">
        <v>849</v>
      </c>
      <c r="BK330" t="s">
        <v>294</v>
      </c>
      <c r="BL330" t="s">
        <v>850</v>
      </c>
      <c r="BM330" t="s">
        <v>6405</v>
      </c>
      <c r="BN330" t="s">
        <v>74</v>
      </c>
      <c r="BO330" t="s">
        <v>559</v>
      </c>
      <c r="BP330" t="s">
        <v>74</v>
      </c>
      <c r="BQ330" t="s">
        <v>74</v>
      </c>
      <c r="BR330" t="s">
        <v>108</v>
      </c>
      <c r="BS330" t="s">
        <v>6893</v>
      </c>
      <c r="BT330" t="str">
        <f>HYPERLINK("https%3A%2F%2Fwww.webofscience.com%2Fwos%2Fwoscc%2Ffull-record%2FWOS:000498353900001","View Full Record in Web of Science")</f>
        <v>View Full Record in Web of Science</v>
      </c>
    </row>
    <row r="331" spans="1:72" x14ac:dyDescent="0.15">
      <c r="A331" t="s">
        <v>133</v>
      </c>
      <c r="B331" t="s">
        <v>6894</v>
      </c>
      <c r="C331" t="s">
        <v>74</v>
      </c>
      <c r="D331" t="s">
        <v>74</v>
      </c>
      <c r="E331" t="s">
        <v>74</v>
      </c>
      <c r="F331" t="s">
        <v>6895</v>
      </c>
      <c r="G331" t="s">
        <v>74</v>
      </c>
      <c r="H331" t="s">
        <v>74</v>
      </c>
      <c r="I331" t="s">
        <v>6896</v>
      </c>
      <c r="J331" t="s">
        <v>1073</v>
      </c>
      <c r="K331" t="s">
        <v>74</v>
      </c>
      <c r="L331" t="s">
        <v>74</v>
      </c>
      <c r="M331" t="s">
        <v>80</v>
      </c>
      <c r="N331" t="s">
        <v>138</v>
      </c>
      <c r="O331" t="s">
        <v>74</v>
      </c>
      <c r="P331" t="s">
        <v>74</v>
      </c>
      <c r="Q331" t="s">
        <v>74</v>
      </c>
      <c r="R331" t="s">
        <v>74</v>
      </c>
      <c r="S331" t="s">
        <v>74</v>
      </c>
      <c r="T331" t="s">
        <v>6897</v>
      </c>
      <c r="U331" t="s">
        <v>6898</v>
      </c>
      <c r="V331" t="s">
        <v>6899</v>
      </c>
      <c r="W331" t="s">
        <v>6900</v>
      </c>
      <c r="X331" t="s">
        <v>6901</v>
      </c>
      <c r="Y331" t="s">
        <v>6902</v>
      </c>
      <c r="Z331" t="s">
        <v>6903</v>
      </c>
      <c r="AA331" t="s">
        <v>6904</v>
      </c>
      <c r="AB331" t="s">
        <v>6905</v>
      </c>
      <c r="AC331" t="s">
        <v>6906</v>
      </c>
      <c r="AD331" t="s">
        <v>6907</v>
      </c>
      <c r="AE331" t="s">
        <v>6908</v>
      </c>
      <c r="AF331" t="s">
        <v>74</v>
      </c>
      <c r="AG331">
        <v>61</v>
      </c>
      <c r="AH331">
        <v>10</v>
      </c>
      <c r="AI331">
        <v>10</v>
      </c>
      <c r="AJ331">
        <v>6</v>
      </c>
      <c r="AK331">
        <v>33</v>
      </c>
      <c r="AL331" t="s">
        <v>284</v>
      </c>
      <c r="AM331" t="s">
        <v>285</v>
      </c>
      <c r="AN331" t="s">
        <v>286</v>
      </c>
      <c r="AO331" t="s">
        <v>1086</v>
      </c>
      <c r="AP331" t="s">
        <v>1087</v>
      </c>
      <c r="AQ331" t="s">
        <v>74</v>
      </c>
      <c r="AR331" t="s">
        <v>1088</v>
      </c>
      <c r="AS331" t="s">
        <v>1089</v>
      </c>
      <c r="AT331" t="s">
        <v>6909</v>
      </c>
      <c r="AU331">
        <v>2019</v>
      </c>
      <c r="AV331">
        <v>693</v>
      </c>
      <c r="AW331" t="s">
        <v>74</v>
      </c>
      <c r="AX331" t="s">
        <v>74</v>
      </c>
      <c r="AY331" t="s">
        <v>74</v>
      </c>
      <c r="AZ331" t="s">
        <v>74</v>
      </c>
      <c r="BA331" t="s">
        <v>74</v>
      </c>
      <c r="BB331" t="s">
        <v>74</v>
      </c>
      <c r="BC331" t="s">
        <v>74</v>
      </c>
      <c r="BD331">
        <v>133444</v>
      </c>
      <c r="BE331" t="s">
        <v>6910</v>
      </c>
      <c r="BF331" t="str">
        <f>HYPERLINK("http://dx.doi.org/10.1016/j.scitotenv.2019.07.250","http://dx.doi.org/10.1016/j.scitotenv.2019.07.250")</f>
        <v>http://dx.doi.org/10.1016/j.scitotenv.2019.07.250</v>
      </c>
      <c r="BG331" t="s">
        <v>74</v>
      </c>
      <c r="BH331" t="s">
        <v>74</v>
      </c>
      <c r="BI331">
        <v>10</v>
      </c>
      <c r="BJ331" t="s">
        <v>387</v>
      </c>
      <c r="BK331" t="s">
        <v>294</v>
      </c>
      <c r="BL331" t="s">
        <v>388</v>
      </c>
      <c r="BM331" t="s">
        <v>6911</v>
      </c>
      <c r="BN331">
        <v>31362229</v>
      </c>
      <c r="BO331" t="s">
        <v>789</v>
      </c>
      <c r="BP331" t="s">
        <v>74</v>
      </c>
      <c r="BQ331" t="s">
        <v>74</v>
      </c>
      <c r="BR331" t="s">
        <v>108</v>
      </c>
      <c r="BS331" t="s">
        <v>6912</v>
      </c>
      <c r="BT331" t="str">
        <f>HYPERLINK("https%3A%2F%2Fwww.webofscience.com%2Fwos%2Fwoscc%2Ffull-record%2FWOS:000489694700070","View Full Record in Web of Science")</f>
        <v>View Full Record in Web of Science</v>
      </c>
    </row>
    <row r="332" spans="1:72" x14ac:dyDescent="0.15">
      <c r="A332" t="s">
        <v>133</v>
      </c>
      <c r="B332" t="s">
        <v>6913</v>
      </c>
      <c r="C332" t="s">
        <v>74</v>
      </c>
      <c r="D332" t="s">
        <v>74</v>
      </c>
      <c r="E332" t="s">
        <v>74</v>
      </c>
      <c r="F332" t="s">
        <v>6914</v>
      </c>
      <c r="G332" t="s">
        <v>74</v>
      </c>
      <c r="H332" t="s">
        <v>74</v>
      </c>
      <c r="I332" t="s">
        <v>6915</v>
      </c>
      <c r="J332" t="s">
        <v>1774</v>
      </c>
      <c r="K332" t="s">
        <v>74</v>
      </c>
      <c r="L332" t="s">
        <v>74</v>
      </c>
      <c r="M332" t="s">
        <v>80</v>
      </c>
      <c r="N332" t="s">
        <v>138</v>
      </c>
      <c r="O332" t="s">
        <v>74</v>
      </c>
      <c r="P332" t="s">
        <v>74</v>
      </c>
      <c r="Q332" t="s">
        <v>74</v>
      </c>
      <c r="R332" t="s">
        <v>74</v>
      </c>
      <c r="S332" t="s">
        <v>74</v>
      </c>
      <c r="T332" t="s">
        <v>6916</v>
      </c>
      <c r="U332" t="s">
        <v>6917</v>
      </c>
      <c r="V332" t="s">
        <v>6918</v>
      </c>
      <c r="W332" t="s">
        <v>6919</v>
      </c>
      <c r="X332" t="s">
        <v>6920</v>
      </c>
      <c r="Y332" t="s">
        <v>6921</v>
      </c>
      <c r="Z332" t="s">
        <v>6922</v>
      </c>
      <c r="AA332" t="s">
        <v>6923</v>
      </c>
      <c r="AB332" t="s">
        <v>6924</v>
      </c>
      <c r="AC332" t="s">
        <v>6925</v>
      </c>
      <c r="AD332" t="s">
        <v>6926</v>
      </c>
      <c r="AE332" t="s">
        <v>6927</v>
      </c>
      <c r="AF332" t="s">
        <v>74</v>
      </c>
      <c r="AG332">
        <v>87</v>
      </c>
      <c r="AH332">
        <v>13</v>
      </c>
      <c r="AI332">
        <v>13</v>
      </c>
      <c r="AJ332">
        <v>0</v>
      </c>
      <c r="AK332">
        <v>6</v>
      </c>
      <c r="AL332" t="s">
        <v>1264</v>
      </c>
      <c r="AM332" t="s">
        <v>1265</v>
      </c>
      <c r="AN332" t="s">
        <v>1266</v>
      </c>
      <c r="AO332" t="s">
        <v>74</v>
      </c>
      <c r="AP332" t="s">
        <v>1786</v>
      </c>
      <c r="AQ332" t="s">
        <v>74</v>
      </c>
      <c r="AR332" t="s">
        <v>1787</v>
      </c>
      <c r="AS332" t="s">
        <v>1788</v>
      </c>
      <c r="AT332" t="s">
        <v>3457</v>
      </c>
      <c r="AU332">
        <v>2019</v>
      </c>
      <c r="AV332">
        <v>11</v>
      </c>
      <c r="AW332">
        <v>11</v>
      </c>
      <c r="AX332" t="s">
        <v>74</v>
      </c>
      <c r="AY332" t="s">
        <v>74</v>
      </c>
      <c r="AZ332" t="s">
        <v>74</v>
      </c>
      <c r="BA332" t="s">
        <v>74</v>
      </c>
      <c r="BB332">
        <v>3777</v>
      </c>
      <c r="BC332">
        <v>3793</v>
      </c>
      <c r="BD332" t="s">
        <v>74</v>
      </c>
      <c r="BE332" t="s">
        <v>6928</v>
      </c>
      <c r="BF332" t="str">
        <f>HYPERLINK("http://dx.doi.org/10.1029/2019MS001764","http://dx.doi.org/10.1029/2019MS001764")</f>
        <v>http://dx.doi.org/10.1029/2019MS001764</v>
      </c>
      <c r="BG332" t="s">
        <v>74</v>
      </c>
      <c r="BH332" t="s">
        <v>6368</v>
      </c>
      <c r="BI332">
        <v>17</v>
      </c>
      <c r="BJ332" t="s">
        <v>1024</v>
      </c>
      <c r="BK332" t="s">
        <v>294</v>
      </c>
      <c r="BL332" t="s">
        <v>1024</v>
      </c>
      <c r="BM332" t="s">
        <v>6929</v>
      </c>
      <c r="BN332" t="s">
        <v>74</v>
      </c>
      <c r="BO332" t="s">
        <v>107</v>
      </c>
      <c r="BP332" t="s">
        <v>74</v>
      </c>
      <c r="BQ332" t="s">
        <v>74</v>
      </c>
      <c r="BR332" t="s">
        <v>108</v>
      </c>
      <c r="BS332" t="s">
        <v>6930</v>
      </c>
      <c r="BT332" t="str">
        <f>HYPERLINK("https%3A%2F%2Fwww.webofscience.com%2Fwos%2Fwoscc%2Ffull-record%2FWOS:000498237600001","View Full Record in Web of Science")</f>
        <v>View Full Record in Web of Science</v>
      </c>
    </row>
    <row r="333" spans="1:72" x14ac:dyDescent="0.15">
      <c r="A333" t="s">
        <v>133</v>
      </c>
      <c r="B333" t="s">
        <v>6931</v>
      </c>
      <c r="C333" t="s">
        <v>74</v>
      </c>
      <c r="D333" t="s">
        <v>74</v>
      </c>
      <c r="E333" t="s">
        <v>74</v>
      </c>
      <c r="F333" t="s">
        <v>6932</v>
      </c>
      <c r="G333" t="s">
        <v>74</v>
      </c>
      <c r="H333" t="s">
        <v>74</v>
      </c>
      <c r="I333" t="s">
        <v>6933</v>
      </c>
      <c r="J333" t="s">
        <v>1487</v>
      </c>
      <c r="K333" t="s">
        <v>74</v>
      </c>
      <c r="L333" t="s">
        <v>74</v>
      </c>
      <c r="M333" t="s">
        <v>80</v>
      </c>
      <c r="N333" t="s">
        <v>138</v>
      </c>
      <c r="O333" t="s">
        <v>74</v>
      </c>
      <c r="P333" t="s">
        <v>74</v>
      </c>
      <c r="Q333" t="s">
        <v>74</v>
      </c>
      <c r="R333" t="s">
        <v>74</v>
      </c>
      <c r="S333" t="s">
        <v>74</v>
      </c>
      <c r="T333" t="s">
        <v>6934</v>
      </c>
      <c r="U333" t="s">
        <v>6935</v>
      </c>
      <c r="V333" t="s">
        <v>6936</v>
      </c>
      <c r="W333" t="s">
        <v>6937</v>
      </c>
      <c r="X333" t="s">
        <v>6938</v>
      </c>
      <c r="Y333" t="s">
        <v>6939</v>
      </c>
      <c r="Z333" t="s">
        <v>6940</v>
      </c>
      <c r="AA333" t="s">
        <v>6941</v>
      </c>
      <c r="AB333" t="s">
        <v>6942</v>
      </c>
      <c r="AC333" t="s">
        <v>6943</v>
      </c>
      <c r="AD333" t="s">
        <v>6944</v>
      </c>
      <c r="AE333" t="s">
        <v>6945</v>
      </c>
      <c r="AF333" t="s">
        <v>74</v>
      </c>
      <c r="AG333">
        <v>56</v>
      </c>
      <c r="AH333">
        <v>17</v>
      </c>
      <c r="AI333">
        <v>17</v>
      </c>
      <c r="AJ333">
        <v>0</v>
      </c>
      <c r="AK333">
        <v>5</v>
      </c>
      <c r="AL333" t="s">
        <v>1264</v>
      </c>
      <c r="AM333" t="s">
        <v>1265</v>
      </c>
      <c r="AN333" t="s">
        <v>1266</v>
      </c>
      <c r="AO333" t="s">
        <v>1500</v>
      </c>
      <c r="AP333" t="s">
        <v>1501</v>
      </c>
      <c r="AQ333" t="s">
        <v>74</v>
      </c>
      <c r="AR333" t="s">
        <v>1502</v>
      </c>
      <c r="AS333" t="s">
        <v>1503</v>
      </c>
      <c r="AT333" t="s">
        <v>6708</v>
      </c>
      <c r="AU333">
        <v>2019</v>
      </c>
      <c r="AV333">
        <v>124</v>
      </c>
      <c r="AW333">
        <v>22</v>
      </c>
      <c r="AX333" t="s">
        <v>74</v>
      </c>
      <c r="AY333" t="s">
        <v>74</v>
      </c>
      <c r="AZ333" t="s">
        <v>74</v>
      </c>
      <c r="BA333" t="s">
        <v>74</v>
      </c>
      <c r="BB333">
        <v>12227</v>
      </c>
      <c r="BC333">
        <v>12243</v>
      </c>
      <c r="BD333" t="s">
        <v>74</v>
      </c>
      <c r="BE333" t="s">
        <v>6946</v>
      </c>
      <c r="BF333" t="str">
        <f>HYPERLINK("http://dx.doi.org/10.1029/2019JD030835","http://dx.doi.org/10.1029/2019JD030835")</f>
        <v>http://dx.doi.org/10.1029/2019JD030835</v>
      </c>
      <c r="BG333" t="s">
        <v>74</v>
      </c>
      <c r="BH333" t="s">
        <v>6368</v>
      </c>
      <c r="BI333">
        <v>17</v>
      </c>
      <c r="BJ333" t="s">
        <v>1024</v>
      </c>
      <c r="BK333" t="s">
        <v>294</v>
      </c>
      <c r="BL333" t="s">
        <v>1024</v>
      </c>
      <c r="BM333" t="s">
        <v>6947</v>
      </c>
      <c r="BN333" t="s">
        <v>74</v>
      </c>
      <c r="BO333" t="s">
        <v>4828</v>
      </c>
      <c r="BP333" t="s">
        <v>74</v>
      </c>
      <c r="BQ333" t="s">
        <v>74</v>
      </c>
      <c r="BR333" t="s">
        <v>108</v>
      </c>
      <c r="BS333" t="s">
        <v>6948</v>
      </c>
      <c r="BT333" t="str">
        <f>HYPERLINK("https%3A%2F%2Fwww.webofscience.com%2Fwos%2Fwoscc%2Ffull-record%2FWOS:000498240600001","View Full Record in Web of Science")</f>
        <v>View Full Record in Web of Science</v>
      </c>
    </row>
    <row r="334" spans="1:72" x14ac:dyDescent="0.15">
      <c r="A334" t="s">
        <v>133</v>
      </c>
      <c r="B334" t="s">
        <v>6949</v>
      </c>
      <c r="C334" t="s">
        <v>74</v>
      </c>
      <c r="D334" t="s">
        <v>74</v>
      </c>
      <c r="E334" t="s">
        <v>74</v>
      </c>
      <c r="F334" t="s">
        <v>6950</v>
      </c>
      <c r="G334" t="s">
        <v>74</v>
      </c>
      <c r="H334" t="s">
        <v>74</v>
      </c>
      <c r="I334" t="s">
        <v>6951</v>
      </c>
      <c r="J334" t="s">
        <v>6952</v>
      </c>
      <c r="K334" t="s">
        <v>74</v>
      </c>
      <c r="L334" t="s">
        <v>74</v>
      </c>
      <c r="M334" t="s">
        <v>80</v>
      </c>
      <c r="N334" t="s">
        <v>138</v>
      </c>
      <c r="O334" t="s">
        <v>74</v>
      </c>
      <c r="P334" t="s">
        <v>74</v>
      </c>
      <c r="Q334" t="s">
        <v>74</v>
      </c>
      <c r="R334" t="s">
        <v>74</v>
      </c>
      <c r="S334" t="s">
        <v>74</v>
      </c>
      <c r="T334" t="s">
        <v>6953</v>
      </c>
      <c r="U334" t="s">
        <v>6954</v>
      </c>
      <c r="V334" t="s">
        <v>6955</v>
      </c>
      <c r="W334" t="s">
        <v>6956</v>
      </c>
      <c r="X334" t="s">
        <v>6957</v>
      </c>
      <c r="Y334" t="s">
        <v>6958</v>
      </c>
      <c r="Z334" t="s">
        <v>6959</v>
      </c>
      <c r="AA334" t="s">
        <v>6960</v>
      </c>
      <c r="AB334" t="s">
        <v>6961</v>
      </c>
      <c r="AC334" t="s">
        <v>6962</v>
      </c>
      <c r="AD334" t="s">
        <v>6962</v>
      </c>
      <c r="AE334" t="s">
        <v>6963</v>
      </c>
      <c r="AF334" t="s">
        <v>74</v>
      </c>
      <c r="AG334">
        <v>60</v>
      </c>
      <c r="AH334">
        <v>29</v>
      </c>
      <c r="AI334">
        <v>31</v>
      </c>
      <c r="AJ334">
        <v>14</v>
      </c>
      <c r="AK334">
        <v>66</v>
      </c>
      <c r="AL334" t="s">
        <v>1964</v>
      </c>
      <c r="AM334" t="s">
        <v>4096</v>
      </c>
      <c r="AN334" t="s">
        <v>4097</v>
      </c>
      <c r="AO334" t="s">
        <v>6964</v>
      </c>
      <c r="AP334" t="s">
        <v>6965</v>
      </c>
      <c r="AQ334" t="s">
        <v>74</v>
      </c>
      <c r="AR334" t="s">
        <v>6966</v>
      </c>
      <c r="AS334" t="s">
        <v>6967</v>
      </c>
      <c r="AT334" t="s">
        <v>1298</v>
      </c>
      <c r="AU334">
        <v>2020</v>
      </c>
      <c r="AV334">
        <v>22</v>
      </c>
      <c r="AW334">
        <v>3</v>
      </c>
      <c r="AX334" t="s">
        <v>74</v>
      </c>
      <c r="AY334" t="s">
        <v>74</v>
      </c>
      <c r="AZ334" t="s">
        <v>74</v>
      </c>
      <c r="BA334" t="s">
        <v>74</v>
      </c>
      <c r="BB334">
        <v>1037</v>
      </c>
      <c r="BC334">
        <v>1054</v>
      </c>
      <c r="BD334" t="s">
        <v>74</v>
      </c>
      <c r="BE334" t="s">
        <v>6968</v>
      </c>
      <c r="BF334" t="str">
        <f>HYPERLINK("http://dx.doi.org/10.1007/s10530-019-02154-y","http://dx.doi.org/10.1007/s10530-019-02154-y")</f>
        <v>http://dx.doi.org/10.1007/s10530-019-02154-y</v>
      </c>
      <c r="BG334" t="s">
        <v>74</v>
      </c>
      <c r="BH334" t="s">
        <v>6368</v>
      </c>
      <c r="BI334">
        <v>18</v>
      </c>
      <c r="BJ334" t="s">
        <v>3524</v>
      </c>
      <c r="BK334" t="s">
        <v>294</v>
      </c>
      <c r="BL334" t="s">
        <v>295</v>
      </c>
      <c r="BM334" t="s">
        <v>6969</v>
      </c>
      <c r="BN334" t="s">
        <v>74</v>
      </c>
      <c r="BO334" t="s">
        <v>74</v>
      </c>
      <c r="BP334" t="s">
        <v>74</v>
      </c>
      <c r="BQ334" t="s">
        <v>74</v>
      </c>
      <c r="BR334" t="s">
        <v>108</v>
      </c>
      <c r="BS334" t="s">
        <v>6970</v>
      </c>
      <c r="BT334" t="str">
        <f>HYPERLINK("https%3A%2F%2Fwww.webofscience.com%2Fwos%2Fwoscc%2Ffull-record%2FWOS:000498098100001","View Full Record in Web of Science")</f>
        <v>View Full Record in Web of Science</v>
      </c>
    </row>
    <row r="335" spans="1:72" x14ac:dyDescent="0.15">
      <c r="A335" t="s">
        <v>133</v>
      </c>
      <c r="B335" t="s">
        <v>6971</v>
      </c>
      <c r="C335" t="s">
        <v>74</v>
      </c>
      <c r="D335" t="s">
        <v>74</v>
      </c>
      <c r="E335" t="s">
        <v>74</v>
      </c>
      <c r="F335" t="s">
        <v>6972</v>
      </c>
      <c r="G335" t="s">
        <v>74</v>
      </c>
      <c r="H335" t="s">
        <v>74</v>
      </c>
      <c r="I335" t="s">
        <v>6973</v>
      </c>
      <c r="J335" t="s">
        <v>6974</v>
      </c>
      <c r="K335" t="s">
        <v>74</v>
      </c>
      <c r="L335" t="s">
        <v>74</v>
      </c>
      <c r="M335" t="s">
        <v>80</v>
      </c>
      <c r="N335" t="s">
        <v>138</v>
      </c>
      <c r="O335" t="s">
        <v>74</v>
      </c>
      <c r="P335" t="s">
        <v>74</v>
      </c>
      <c r="Q335" t="s">
        <v>74</v>
      </c>
      <c r="R335" t="s">
        <v>74</v>
      </c>
      <c r="S335" t="s">
        <v>74</v>
      </c>
      <c r="T335" t="s">
        <v>74</v>
      </c>
      <c r="U335" t="s">
        <v>6975</v>
      </c>
      <c r="V335" t="s">
        <v>6976</v>
      </c>
      <c r="W335" t="s">
        <v>6977</v>
      </c>
      <c r="X335" t="s">
        <v>6978</v>
      </c>
      <c r="Y335" t="s">
        <v>6979</v>
      </c>
      <c r="Z335" t="s">
        <v>6980</v>
      </c>
      <c r="AA335" t="s">
        <v>6981</v>
      </c>
      <c r="AB335" t="s">
        <v>6982</v>
      </c>
      <c r="AC335" t="s">
        <v>74</v>
      </c>
      <c r="AD335" t="s">
        <v>74</v>
      </c>
      <c r="AE335" t="s">
        <v>74</v>
      </c>
      <c r="AF335" t="s">
        <v>74</v>
      </c>
      <c r="AG335">
        <v>43</v>
      </c>
      <c r="AH335">
        <v>23</v>
      </c>
      <c r="AI335">
        <v>24</v>
      </c>
      <c r="AJ335">
        <v>2</v>
      </c>
      <c r="AK335">
        <v>6</v>
      </c>
      <c r="AL335" t="s">
        <v>5962</v>
      </c>
      <c r="AM335" t="s">
        <v>5963</v>
      </c>
      <c r="AN335" t="s">
        <v>5964</v>
      </c>
      <c r="AO335" t="s">
        <v>6983</v>
      </c>
      <c r="AP335" t="s">
        <v>6984</v>
      </c>
      <c r="AQ335" t="s">
        <v>74</v>
      </c>
      <c r="AR335" t="s">
        <v>6985</v>
      </c>
      <c r="AS335" t="s">
        <v>6986</v>
      </c>
      <c r="AT335" t="s">
        <v>6987</v>
      </c>
      <c r="AU335">
        <v>2020</v>
      </c>
      <c r="AV335">
        <v>132</v>
      </c>
      <c r="AW335">
        <v>5</v>
      </c>
      <c r="AX335" t="s">
        <v>74</v>
      </c>
      <c r="AY335" t="s">
        <v>74</v>
      </c>
      <c r="AZ335" t="s">
        <v>74</v>
      </c>
      <c r="BA335" t="s">
        <v>74</v>
      </c>
      <c r="BB335">
        <v>603</v>
      </c>
      <c r="BC335">
        <v>612</v>
      </c>
      <c r="BD335" t="s">
        <v>74</v>
      </c>
      <c r="BE335" t="s">
        <v>6988</v>
      </c>
      <c r="BF335" t="str">
        <f>HYPERLINK("http://dx.doi.org/10.1007/s00703-019-00711-7","http://dx.doi.org/10.1007/s00703-019-00711-7")</f>
        <v>http://dx.doi.org/10.1007/s00703-019-00711-7</v>
      </c>
      <c r="BG335" t="s">
        <v>74</v>
      </c>
      <c r="BH335" t="s">
        <v>6368</v>
      </c>
      <c r="BI335">
        <v>10</v>
      </c>
      <c r="BJ335" t="s">
        <v>1024</v>
      </c>
      <c r="BK335" t="s">
        <v>294</v>
      </c>
      <c r="BL335" t="s">
        <v>1024</v>
      </c>
      <c r="BM335" t="s">
        <v>6989</v>
      </c>
      <c r="BN335" t="s">
        <v>74</v>
      </c>
      <c r="BO335" t="s">
        <v>74</v>
      </c>
      <c r="BP335" t="s">
        <v>74</v>
      </c>
      <c r="BQ335" t="s">
        <v>74</v>
      </c>
      <c r="BR335" t="s">
        <v>108</v>
      </c>
      <c r="BS335" t="s">
        <v>6990</v>
      </c>
      <c r="BT335" t="str">
        <f>HYPERLINK("https%3A%2F%2Fwww.webofscience.com%2Fwos%2Fwoscc%2Ffull-record%2FWOS:000498037700001","View Full Record in Web of Science")</f>
        <v>View Full Record in Web of Science</v>
      </c>
    </row>
    <row r="336" spans="1:72" x14ac:dyDescent="0.15">
      <c r="A336" t="s">
        <v>133</v>
      </c>
      <c r="B336" t="s">
        <v>6991</v>
      </c>
      <c r="C336" t="s">
        <v>74</v>
      </c>
      <c r="D336" t="s">
        <v>74</v>
      </c>
      <c r="E336" t="s">
        <v>74</v>
      </c>
      <c r="F336" t="s">
        <v>6992</v>
      </c>
      <c r="G336" t="s">
        <v>74</v>
      </c>
      <c r="H336" t="s">
        <v>74</v>
      </c>
      <c r="I336" t="s">
        <v>6993</v>
      </c>
      <c r="J336" t="s">
        <v>6994</v>
      </c>
      <c r="K336" t="s">
        <v>74</v>
      </c>
      <c r="L336" t="s">
        <v>74</v>
      </c>
      <c r="M336" t="s">
        <v>80</v>
      </c>
      <c r="N336" t="s">
        <v>138</v>
      </c>
      <c r="O336" t="s">
        <v>74</v>
      </c>
      <c r="P336" t="s">
        <v>74</v>
      </c>
      <c r="Q336" t="s">
        <v>74</v>
      </c>
      <c r="R336" t="s">
        <v>74</v>
      </c>
      <c r="S336" t="s">
        <v>74</v>
      </c>
      <c r="T336" t="s">
        <v>6995</v>
      </c>
      <c r="U336" t="s">
        <v>6996</v>
      </c>
      <c r="V336" t="s">
        <v>6997</v>
      </c>
      <c r="W336" t="s">
        <v>6998</v>
      </c>
      <c r="X336" t="s">
        <v>6999</v>
      </c>
      <c r="Y336" t="s">
        <v>7000</v>
      </c>
      <c r="Z336" t="s">
        <v>7001</v>
      </c>
      <c r="AA336" t="s">
        <v>7002</v>
      </c>
      <c r="AB336" t="s">
        <v>7003</v>
      </c>
      <c r="AC336" t="s">
        <v>7004</v>
      </c>
      <c r="AD336" t="s">
        <v>7005</v>
      </c>
      <c r="AE336" t="s">
        <v>7006</v>
      </c>
      <c r="AF336" t="s">
        <v>74</v>
      </c>
      <c r="AG336">
        <v>85</v>
      </c>
      <c r="AH336">
        <v>22</v>
      </c>
      <c r="AI336">
        <v>22</v>
      </c>
      <c r="AJ336">
        <v>3</v>
      </c>
      <c r="AK336">
        <v>11</v>
      </c>
      <c r="AL336" t="s">
        <v>2587</v>
      </c>
      <c r="AM336" t="s">
        <v>2588</v>
      </c>
      <c r="AN336" t="s">
        <v>2589</v>
      </c>
      <c r="AO336" t="s">
        <v>74</v>
      </c>
      <c r="AP336" t="s">
        <v>7007</v>
      </c>
      <c r="AQ336" t="s">
        <v>74</v>
      </c>
      <c r="AR336" t="s">
        <v>7008</v>
      </c>
      <c r="AS336" t="s">
        <v>7009</v>
      </c>
      <c r="AT336" t="s">
        <v>7010</v>
      </c>
      <c r="AU336">
        <v>2019</v>
      </c>
      <c r="AV336">
        <v>10</v>
      </c>
      <c r="AW336" t="s">
        <v>74</v>
      </c>
      <c r="AX336" t="s">
        <v>74</v>
      </c>
      <c r="AY336" t="s">
        <v>74</v>
      </c>
      <c r="AZ336" t="s">
        <v>74</v>
      </c>
      <c r="BA336" t="s">
        <v>74</v>
      </c>
      <c r="BB336" t="s">
        <v>74</v>
      </c>
      <c r="BC336" t="s">
        <v>74</v>
      </c>
      <c r="BD336">
        <v>2699</v>
      </c>
      <c r="BE336" t="s">
        <v>7011</v>
      </c>
      <c r="BF336" t="str">
        <f>HYPERLINK("http://dx.doi.org/10.3389/fmicb.2019.02699","http://dx.doi.org/10.3389/fmicb.2019.02699")</f>
        <v>http://dx.doi.org/10.3389/fmicb.2019.02699</v>
      </c>
      <c r="BG336" t="s">
        <v>74</v>
      </c>
      <c r="BH336" t="s">
        <v>74</v>
      </c>
      <c r="BI336">
        <v>14</v>
      </c>
      <c r="BJ336" t="s">
        <v>1713</v>
      </c>
      <c r="BK336" t="s">
        <v>294</v>
      </c>
      <c r="BL336" t="s">
        <v>1713</v>
      </c>
      <c r="BM336" t="s">
        <v>7012</v>
      </c>
      <c r="BN336">
        <v>31824467</v>
      </c>
      <c r="BO336" t="s">
        <v>693</v>
      </c>
      <c r="BP336" t="s">
        <v>74</v>
      </c>
      <c r="BQ336" t="s">
        <v>74</v>
      </c>
      <c r="BR336" t="s">
        <v>108</v>
      </c>
      <c r="BS336" t="s">
        <v>7013</v>
      </c>
      <c r="BT336" t="str">
        <f>HYPERLINK("https%3A%2F%2Fwww.webofscience.com%2Fwos%2Fwoscc%2Ffull-record%2FWOS:000585865100001","View Full Record in Web of Science")</f>
        <v>View Full Record in Web of Science</v>
      </c>
    </row>
    <row r="337" spans="1:72" x14ac:dyDescent="0.15">
      <c r="A337" t="s">
        <v>133</v>
      </c>
      <c r="B337" t="s">
        <v>7014</v>
      </c>
      <c r="C337" t="s">
        <v>74</v>
      </c>
      <c r="D337" t="s">
        <v>74</v>
      </c>
      <c r="E337" t="s">
        <v>74</v>
      </c>
      <c r="F337" t="s">
        <v>7015</v>
      </c>
      <c r="G337" t="s">
        <v>74</v>
      </c>
      <c r="H337" t="s">
        <v>74</v>
      </c>
      <c r="I337" t="s">
        <v>7016</v>
      </c>
      <c r="J337" t="s">
        <v>6994</v>
      </c>
      <c r="K337" t="s">
        <v>74</v>
      </c>
      <c r="L337" t="s">
        <v>74</v>
      </c>
      <c r="M337" t="s">
        <v>80</v>
      </c>
      <c r="N337" t="s">
        <v>138</v>
      </c>
      <c r="O337" t="s">
        <v>74</v>
      </c>
      <c r="P337" t="s">
        <v>74</v>
      </c>
      <c r="Q337" t="s">
        <v>74</v>
      </c>
      <c r="R337" t="s">
        <v>74</v>
      </c>
      <c r="S337" t="s">
        <v>74</v>
      </c>
      <c r="T337" t="s">
        <v>7017</v>
      </c>
      <c r="U337" t="s">
        <v>7018</v>
      </c>
      <c r="V337" t="s">
        <v>7019</v>
      </c>
      <c r="W337" t="s">
        <v>7020</v>
      </c>
      <c r="X337" t="s">
        <v>7021</v>
      </c>
      <c r="Y337" t="s">
        <v>7022</v>
      </c>
      <c r="Z337" t="s">
        <v>7023</v>
      </c>
      <c r="AA337" t="s">
        <v>7024</v>
      </c>
      <c r="AB337" t="s">
        <v>7025</v>
      </c>
      <c r="AC337" t="s">
        <v>7026</v>
      </c>
      <c r="AD337" t="s">
        <v>7027</v>
      </c>
      <c r="AE337" t="s">
        <v>7028</v>
      </c>
      <c r="AF337" t="s">
        <v>74</v>
      </c>
      <c r="AG337">
        <v>54</v>
      </c>
      <c r="AH337">
        <v>20</v>
      </c>
      <c r="AI337">
        <v>21</v>
      </c>
      <c r="AJ337">
        <v>3</v>
      </c>
      <c r="AK337">
        <v>21</v>
      </c>
      <c r="AL337" t="s">
        <v>2587</v>
      </c>
      <c r="AM337" t="s">
        <v>2588</v>
      </c>
      <c r="AN337" t="s">
        <v>2589</v>
      </c>
      <c r="AO337" t="s">
        <v>7007</v>
      </c>
      <c r="AP337" t="s">
        <v>74</v>
      </c>
      <c r="AQ337" t="s">
        <v>74</v>
      </c>
      <c r="AR337" t="s">
        <v>7008</v>
      </c>
      <c r="AS337" t="s">
        <v>7009</v>
      </c>
      <c r="AT337" t="s">
        <v>7010</v>
      </c>
      <c r="AU337">
        <v>2019</v>
      </c>
      <c r="AV337">
        <v>10</v>
      </c>
      <c r="AW337" t="s">
        <v>74</v>
      </c>
      <c r="AX337" t="s">
        <v>74</v>
      </c>
      <c r="AY337" t="s">
        <v>74</v>
      </c>
      <c r="AZ337" t="s">
        <v>74</v>
      </c>
      <c r="BA337" t="s">
        <v>74</v>
      </c>
      <c r="BB337" t="s">
        <v>74</v>
      </c>
      <c r="BC337" t="s">
        <v>74</v>
      </c>
      <c r="BD337">
        <v>2675</v>
      </c>
      <c r="BE337" t="s">
        <v>7029</v>
      </c>
      <c r="BF337" t="str">
        <f>HYPERLINK("http://dx.doi.org/10.3389/fmicb.2019.02675","http://dx.doi.org/10.3389/fmicb.2019.02675")</f>
        <v>http://dx.doi.org/10.3389/fmicb.2019.02675</v>
      </c>
      <c r="BG337" t="s">
        <v>74</v>
      </c>
      <c r="BH337" t="s">
        <v>74</v>
      </c>
      <c r="BI337">
        <v>10</v>
      </c>
      <c r="BJ337" t="s">
        <v>1713</v>
      </c>
      <c r="BK337" t="s">
        <v>294</v>
      </c>
      <c r="BL337" t="s">
        <v>1713</v>
      </c>
      <c r="BM337" t="s">
        <v>7030</v>
      </c>
      <c r="BN337">
        <v>31824460</v>
      </c>
      <c r="BO337" t="s">
        <v>693</v>
      </c>
      <c r="BP337" t="s">
        <v>74</v>
      </c>
      <c r="BQ337" t="s">
        <v>74</v>
      </c>
      <c r="BR337" t="s">
        <v>108</v>
      </c>
      <c r="BS337" t="s">
        <v>7031</v>
      </c>
      <c r="BT337" t="str">
        <f>HYPERLINK("https%3A%2F%2Fwww.webofscience.com%2Fwos%2Fwoscc%2Ffull-record%2FWOS:000501287800001","View Full Record in Web of Science")</f>
        <v>View Full Record in Web of Science</v>
      </c>
    </row>
    <row r="338" spans="1:72" x14ac:dyDescent="0.15">
      <c r="A338" t="s">
        <v>133</v>
      </c>
      <c r="B338" t="s">
        <v>7032</v>
      </c>
      <c r="C338" t="s">
        <v>74</v>
      </c>
      <c r="D338" t="s">
        <v>74</v>
      </c>
      <c r="E338" t="s">
        <v>74</v>
      </c>
      <c r="F338" t="s">
        <v>7033</v>
      </c>
      <c r="G338" t="s">
        <v>74</v>
      </c>
      <c r="H338" t="s">
        <v>74</v>
      </c>
      <c r="I338" t="s">
        <v>7034</v>
      </c>
      <c r="J338" t="s">
        <v>7035</v>
      </c>
      <c r="K338" t="s">
        <v>74</v>
      </c>
      <c r="L338" t="s">
        <v>74</v>
      </c>
      <c r="M338" t="s">
        <v>80</v>
      </c>
      <c r="N338" t="s">
        <v>138</v>
      </c>
      <c r="O338" t="s">
        <v>74</v>
      </c>
      <c r="P338" t="s">
        <v>74</v>
      </c>
      <c r="Q338" t="s">
        <v>74</v>
      </c>
      <c r="R338" t="s">
        <v>74</v>
      </c>
      <c r="S338" t="s">
        <v>74</v>
      </c>
      <c r="T338" t="s">
        <v>74</v>
      </c>
      <c r="U338" t="s">
        <v>7036</v>
      </c>
      <c r="V338" t="s">
        <v>7037</v>
      </c>
      <c r="W338" t="s">
        <v>7038</v>
      </c>
      <c r="X338" t="s">
        <v>7039</v>
      </c>
      <c r="Y338" t="s">
        <v>7040</v>
      </c>
      <c r="Z338" t="s">
        <v>7041</v>
      </c>
      <c r="AA338" t="s">
        <v>7042</v>
      </c>
      <c r="AB338" t="s">
        <v>7043</v>
      </c>
      <c r="AC338" t="s">
        <v>7044</v>
      </c>
      <c r="AD338" t="s">
        <v>7045</v>
      </c>
      <c r="AE338" t="s">
        <v>7046</v>
      </c>
      <c r="AF338" t="s">
        <v>74</v>
      </c>
      <c r="AG338">
        <v>125</v>
      </c>
      <c r="AH338">
        <v>15</v>
      </c>
      <c r="AI338">
        <v>15</v>
      </c>
      <c r="AJ338">
        <v>2</v>
      </c>
      <c r="AK338">
        <v>13</v>
      </c>
      <c r="AL338" t="s">
        <v>942</v>
      </c>
      <c r="AM338" t="s">
        <v>606</v>
      </c>
      <c r="AN338" t="s">
        <v>943</v>
      </c>
      <c r="AO338" t="s">
        <v>74</v>
      </c>
      <c r="AP338" t="s">
        <v>7047</v>
      </c>
      <c r="AQ338" t="s">
        <v>74</v>
      </c>
      <c r="AR338" t="s">
        <v>7035</v>
      </c>
      <c r="AS338" t="s">
        <v>7048</v>
      </c>
      <c r="AT338" t="s">
        <v>7010</v>
      </c>
      <c r="AU338">
        <v>2019</v>
      </c>
      <c r="AV338">
        <v>21</v>
      </c>
      <c r="AW338" t="s">
        <v>74</v>
      </c>
      <c r="AX338" t="s">
        <v>74</v>
      </c>
      <c r="AY338" t="s">
        <v>74</v>
      </c>
      <c r="AZ338" t="s">
        <v>74</v>
      </c>
      <c r="BA338" t="s">
        <v>74</v>
      </c>
      <c r="BB338">
        <v>587</v>
      </c>
      <c r="BC338" t="s">
        <v>847</v>
      </c>
      <c r="BD338" t="s">
        <v>74</v>
      </c>
      <c r="BE338" t="s">
        <v>7049</v>
      </c>
      <c r="BF338" t="str">
        <f>HYPERLINK("http://dx.doi.org/10.1016/j.isci.2019.10.039","http://dx.doi.org/10.1016/j.isci.2019.10.039")</f>
        <v>http://dx.doi.org/10.1016/j.isci.2019.10.039</v>
      </c>
      <c r="BG338" t="s">
        <v>74</v>
      </c>
      <c r="BH338" t="s">
        <v>74</v>
      </c>
      <c r="BI338">
        <v>53</v>
      </c>
      <c r="BJ338" t="s">
        <v>1245</v>
      </c>
      <c r="BK338" t="s">
        <v>294</v>
      </c>
      <c r="BL338" t="s">
        <v>1246</v>
      </c>
      <c r="BM338" t="s">
        <v>7050</v>
      </c>
      <c r="BN338">
        <v>31759330</v>
      </c>
      <c r="BO338" t="s">
        <v>7051</v>
      </c>
      <c r="BP338" t="s">
        <v>74</v>
      </c>
      <c r="BQ338" t="s">
        <v>74</v>
      </c>
      <c r="BR338" t="s">
        <v>108</v>
      </c>
      <c r="BS338" t="s">
        <v>7052</v>
      </c>
      <c r="BT338" t="str">
        <f>HYPERLINK("https%3A%2F%2Fwww.webofscience.com%2Fwos%2Fwoscc%2Ffull-record%2FWOS:000498899800045","View Full Record in Web of Science")</f>
        <v>View Full Record in Web of Science</v>
      </c>
    </row>
    <row r="339" spans="1:72" x14ac:dyDescent="0.15">
      <c r="A339" t="s">
        <v>133</v>
      </c>
      <c r="B339" t="s">
        <v>7053</v>
      </c>
      <c r="C339" t="s">
        <v>74</v>
      </c>
      <c r="D339" t="s">
        <v>74</v>
      </c>
      <c r="E339" t="s">
        <v>74</v>
      </c>
      <c r="F339" t="s">
        <v>7054</v>
      </c>
      <c r="G339" t="s">
        <v>74</v>
      </c>
      <c r="H339" t="s">
        <v>74</v>
      </c>
      <c r="I339" t="s">
        <v>7055</v>
      </c>
      <c r="J339" t="s">
        <v>7056</v>
      </c>
      <c r="K339" t="s">
        <v>74</v>
      </c>
      <c r="L339" t="s">
        <v>74</v>
      </c>
      <c r="M339" t="s">
        <v>80</v>
      </c>
      <c r="N339" t="s">
        <v>138</v>
      </c>
      <c r="O339" t="s">
        <v>74</v>
      </c>
      <c r="P339" t="s">
        <v>74</v>
      </c>
      <c r="Q339" t="s">
        <v>74</v>
      </c>
      <c r="R339" t="s">
        <v>74</v>
      </c>
      <c r="S339" t="s">
        <v>74</v>
      </c>
      <c r="T339" t="s">
        <v>7057</v>
      </c>
      <c r="U339" t="s">
        <v>7058</v>
      </c>
      <c r="V339" t="s">
        <v>7059</v>
      </c>
      <c r="W339" t="s">
        <v>7060</v>
      </c>
      <c r="X339" t="s">
        <v>7061</v>
      </c>
      <c r="Y339" t="s">
        <v>7062</v>
      </c>
      <c r="Z339" t="s">
        <v>7063</v>
      </c>
      <c r="AA339" t="s">
        <v>7064</v>
      </c>
      <c r="AB339" t="s">
        <v>7065</v>
      </c>
      <c r="AC339" t="s">
        <v>7066</v>
      </c>
      <c r="AD339" t="s">
        <v>7067</v>
      </c>
      <c r="AE339" t="s">
        <v>7068</v>
      </c>
      <c r="AF339" t="s">
        <v>74</v>
      </c>
      <c r="AG339">
        <v>18</v>
      </c>
      <c r="AH339">
        <v>15</v>
      </c>
      <c r="AI339">
        <v>17</v>
      </c>
      <c r="AJ339">
        <v>1</v>
      </c>
      <c r="AK339">
        <v>19</v>
      </c>
      <c r="AL339" t="s">
        <v>2587</v>
      </c>
      <c r="AM339" t="s">
        <v>2588</v>
      </c>
      <c r="AN339" t="s">
        <v>2589</v>
      </c>
      <c r="AO339" t="s">
        <v>7069</v>
      </c>
      <c r="AP339" t="s">
        <v>74</v>
      </c>
      <c r="AQ339" t="s">
        <v>74</v>
      </c>
      <c r="AR339" t="s">
        <v>7070</v>
      </c>
      <c r="AS339" t="s">
        <v>7071</v>
      </c>
      <c r="AT339" t="s">
        <v>7010</v>
      </c>
      <c r="AU339">
        <v>2019</v>
      </c>
      <c r="AV339">
        <v>10</v>
      </c>
      <c r="AW339" t="s">
        <v>74</v>
      </c>
      <c r="AX339" t="s">
        <v>74</v>
      </c>
      <c r="AY339" t="s">
        <v>74</v>
      </c>
      <c r="AZ339" t="s">
        <v>74</v>
      </c>
      <c r="BA339" t="s">
        <v>74</v>
      </c>
      <c r="BB339" t="s">
        <v>74</v>
      </c>
      <c r="BC339" t="s">
        <v>74</v>
      </c>
      <c r="BD339">
        <v>1457</v>
      </c>
      <c r="BE339" t="s">
        <v>7072</v>
      </c>
      <c r="BF339" t="str">
        <f>HYPERLINK("http://dx.doi.org/10.3389/fpls.2019.01457","http://dx.doi.org/10.3389/fpls.2019.01457")</f>
        <v>http://dx.doi.org/10.3389/fpls.2019.01457</v>
      </c>
      <c r="BG339" t="s">
        <v>74</v>
      </c>
      <c r="BH339" t="s">
        <v>74</v>
      </c>
      <c r="BI339">
        <v>13</v>
      </c>
      <c r="BJ339" t="s">
        <v>6734</v>
      </c>
      <c r="BK339" t="s">
        <v>294</v>
      </c>
      <c r="BL339" t="s">
        <v>6734</v>
      </c>
      <c r="BM339" t="s">
        <v>7073</v>
      </c>
      <c r="BN339">
        <v>31824526</v>
      </c>
      <c r="BO339" t="s">
        <v>1688</v>
      </c>
      <c r="BP339" t="s">
        <v>74</v>
      </c>
      <c r="BQ339" t="s">
        <v>74</v>
      </c>
      <c r="BR339" t="s">
        <v>108</v>
      </c>
      <c r="BS339" t="s">
        <v>7074</v>
      </c>
      <c r="BT339" t="str">
        <f>HYPERLINK("https%3A%2F%2Fwww.webofscience.com%2Fwos%2Fwoscc%2Ffull-record%2FWOS:000501235200001","View Full Record in Web of Science")</f>
        <v>View Full Record in Web of Science</v>
      </c>
    </row>
    <row r="340" spans="1:72" x14ac:dyDescent="0.15">
      <c r="A340" t="s">
        <v>133</v>
      </c>
      <c r="B340" t="s">
        <v>7075</v>
      </c>
      <c r="C340" t="s">
        <v>74</v>
      </c>
      <c r="D340" t="s">
        <v>74</v>
      </c>
      <c r="E340" t="s">
        <v>74</v>
      </c>
      <c r="F340" t="s">
        <v>7076</v>
      </c>
      <c r="G340" t="s">
        <v>74</v>
      </c>
      <c r="H340" t="s">
        <v>74</v>
      </c>
      <c r="I340" t="s">
        <v>7077</v>
      </c>
      <c r="J340" t="s">
        <v>1462</v>
      </c>
      <c r="K340" t="s">
        <v>74</v>
      </c>
      <c r="L340" t="s">
        <v>74</v>
      </c>
      <c r="M340" t="s">
        <v>80</v>
      </c>
      <c r="N340" t="s">
        <v>138</v>
      </c>
      <c r="O340" t="s">
        <v>74</v>
      </c>
      <c r="P340" t="s">
        <v>74</v>
      </c>
      <c r="Q340" t="s">
        <v>74</v>
      </c>
      <c r="R340" t="s">
        <v>74</v>
      </c>
      <c r="S340" t="s">
        <v>74</v>
      </c>
      <c r="T340" t="s">
        <v>7078</v>
      </c>
      <c r="U340" t="s">
        <v>7079</v>
      </c>
      <c r="V340" t="s">
        <v>7080</v>
      </c>
      <c r="W340" t="s">
        <v>7081</v>
      </c>
      <c r="X340" t="s">
        <v>7082</v>
      </c>
      <c r="Y340" t="s">
        <v>7083</v>
      </c>
      <c r="Z340" t="s">
        <v>7084</v>
      </c>
      <c r="AA340" t="s">
        <v>7085</v>
      </c>
      <c r="AB340" t="s">
        <v>7086</v>
      </c>
      <c r="AC340" t="s">
        <v>7087</v>
      </c>
      <c r="AD340" t="s">
        <v>7088</v>
      </c>
      <c r="AE340" t="s">
        <v>7089</v>
      </c>
      <c r="AF340" t="s">
        <v>74</v>
      </c>
      <c r="AG340">
        <v>37</v>
      </c>
      <c r="AH340">
        <v>6</v>
      </c>
      <c r="AI340">
        <v>6</v>
      </c>
      <c r="AJ340">
        <v>0</v>
      </c>
      <c r="AK340">
        <v>12</v>
      </c>
      <c r="AL340" t="s">
        <v>1264</v>
      </c>
      <c r="AM340" t="s">
        <v>1265</v>
      </c>
      <c r="AN340" t="s">
        <v>1266</v>
      </c>
      <c r="AO340" t="s">
        <v>1475</v>
      </c>
      <c r="AP340" t="s">
        <v>1476</v>
      </c>
      <c r="AQ340" t="s">
        <v>74</v>
      </c>
      <c r="AR340" t="s">
        <v>1477</v>
      </c>
      <c r="AS340" t="s">
        <v>1478</v>
      </c>
      <c r="AT340" t="s">
        <v>6403</v>
      </c>
      <c r="AU340">
        <v>2019</v>
      </c>
      <c r="AV340">
        <v>46</v>
      </c>
      <c r="AW340">
        <v>22</v>
      </c>
      <c r="AX340" t="s">
        <v>74</v>
      </c>
      <c r="AY340" t="s">
        <v>74</v>
      </c>
      <c r="AZ340" t="s">
        <v>74</v>
      </c>
      <c r="BA340" t="s">
        <v>74</v>
      </c>
      <c r="BB340">
        <v>13526</v>
      </c>
      <c r="BC340">
        <v>13534</v>
      </c>
      <c r="BD340" t="s">
        <v>74</v>
      </c>
      <c r="BE340" t="s">
        <v>7090</v>
      </c>
      <c r="BF340" t="str">
        <f>HYPERLINK("http://dx.doi.org/10.1029/2019GL084759","http://dx.doi.org/10.1029/2019GL084759")</f>
        <v>http://dx.doi.org/10.1029/2019GL084759</v>
      </c>
      <c r="BG340" t="s">
        <v>74</v>
      </c>
      <c r="BH340" t="s">
        <v>6368</v>
      </c>
      <c r="BI340">
        <v>9</v>
      </c>
      <c r="BJ340" t="s">
        <v>849</v>
      </c>
      <c r="BK340" t="s">
        <v>294</v>
      </c>
      <c r="BL340" t="s">
        <v>850</v>
      </c>
      <c r="BM340" t="s">
        <v>6405</v>
      </c>
      <c r="BN340" t="s">
        <v>74</v>
      </c>
      <c r="BO340" t="s">
        <v>1026</v>
      </c>
      <c r="BP340" t="s">
        <v>74</v>
      </c>
      <c r="BQ340" t="s">
        <v>74</v>
      </c>
      <c r="BR340" t="s">
        <v>108</v>
      </c>
      <c r="BS340" t="s">
        <v>7091</v>
      </c>
      <c r="BT340" t="str">
        <f>HYPERLINK("https%3A%2F%2Fwww.webofscience.com%2Fwos%2Fwoscc%2Ffull-record%2FWOS:000497910900001","View Full Record in Web of Science")</f>
        <v>View Full Record in Web of Science</v>
      </c>
    </row>
    <row r="341" spans="1:72" x14ac:dyDescent="0.15">
      <c r="A341" t="s">
        <v>133</v>
      </c>
      <c r="B341" t="s">
        <v>7092</v>
      </c>
      <c r="C341" t="s">
        <v>74</v>
      </c>
      <c r="D341" t="s">
        <v>74</v>
      </c>
      <c r="E341" t="s">
        <v>74</v>
      </c>
      <c r="F341" t="s">
        <v>7093</v>
      </c>
      <c r="G341" t="s">
        <v>74</v>
      </c>
      <c r="H341" t="s">
        <v>74</v>
      </c>
      <c r="I341" t="s">
        <v>7094</v>
      </c>
      <c r="J341" t="s">
        <v>1928</v>
      </c>
      <c r="K341" t="s">
        <v>74</v>
      </c>
      <c r="L341" t="s">
        <v>74</v>
      </c>
      <c r="M341" t="s">
        <v>80</v>
      </c>
      <c r="N341" t="s">
        <v>138</v>
      </c>
      <c r="O341" t="s">
        <v>74</v>
      </c>
      <c r="P341" t="s">
        <v>74</v>
      </c>
      <c r="Q341" t="s">
        <v>74</v>
      </c>
      <c r="R341" t="s">
        <v>74</v>
      </c>
      <c r="S341" t="s">
        <v>74</v>
      </c>
      <c r="T341" t="s">
        <v>7095</v>
      </c>
      <c r="U341" t="s">
        <v>7096</v>
      </c>
      <c r="V341" t="s">
        <v>7097</v>
      </c>
      <c r="W341" t="s">
        <v>7098</v>
      </c>
      <c r="X341" t="s">
        <v>7099</v>
      </c>
      <c r="Y341" t="s">
        <v>7100</v>
      </c>
      <c r="Z341" t="s">
        <v>7101</v>
      </c>
      <c r="AA341" t="s">
        <v>7102</v>
      </c>
      <c r="AB341" t="s">
        <v>7103</v>
      </c>
      <c r="AC341" t="s">
        <v>7104</v>
      </c>
      <c r="AD341" t="s">
        <v>7105</v>
      </c>
      <c r="AE341" t="s">
        <v>7106</v>
      </c>
      <c r="AF341" t="s">
        <v>74</v>
      </c>
      <c r="AG341">
        <v>63</v>
      </c>
      <c r="AH341">
        <v>8</v>
      </c>
      <c r="AI341">
        <v>11</v>
      </c>
      <c r="AJ341">
        <v>1</v>
      </c>
      <c r="AK341">
        <v>14</v>
      </c>
      <c r="AL341" t="s">
        <v>1264</v>
      </c>
      <c r="AM341" t="s">
        <v>1265</v>
      </c>
      <c r="AN341" t="s">
        <v>1266</v>
      </c>
      <c r="AO341" t="s">
        <v>1940</v>
      </c>
      <c r="AP341" t="s">
        <v>1941</v>
      </c>
      <c r="AQ341" t="s">
        <v>74</v>
      </c>
      <c r="AR341" t="s">
        <v>1942</v>
      </c>
      <c r="AS341" t="s">
        <v>1943</v>
      </c>
      <c r="AT341" t="s">
        <v>3457</v>
      </c>
      <c r="AU341">
        <v>2019</v>
      </c>
      <c r="AV341">
        <v>124</v>
      </c>
      <c r="AW341">
        <v>11</v>
      </c>
      <c r="AX341" t="s">
        <v>74</v>
      </c>
      <c r="AY341" t="s">
        <v>74</v>
      </c>
      <c r="AZ341" t="s">
        <v>74</v>
      </c>
      <c r="BA341" t="s">
        <v>74</v>
      </c>
      <c r="BB341">
        <v>8166</v>
      </c>
      <c r="BC341">
        <v>8192</v>
      </c>
      <c r="BD341" t="s">
        <v>74</v>
      </c>
      <c r="BE341" t="s">
        <v>7107</v>
      </c>
      <c r="BF341" t="str">
        <f>HYPERLINK("http://dx.doi.org/10.1029/2019JC015143","http://dx.doi.org/10.1029/2019JC015143")</f>
        <v>http://dx.doi.org/10.1029/2019JC015143</v>
      </c>
      <c r="BG341" t="s">
        <v>74</v>
      </c>
      <c r="BH341" t="s">
        <v>6368</v>
      </c>
      <c r="BI341">
        <v>27</v>
      </c>
      <c r="BJ341" t="s">
        <v>1945</v>
      </c>
      <c r="BK341" t="s">
        <v>294</v>
      </c>
      <c r="BL341" t="s">
        <v>1945</v>
      </c>
      <c r="BM341" t="s">
        <v>6369</v>
      </c>
      <c r="BN341" t="s">
        <v>74</v>
      </c>
      <c r="BO341" t="s">
        <v>588</v>
      </c>
      <c r="BP341" t="s">
        <v>74</v>
      </c>
      <c r="BQ341" t="s">
        <v>74</v>
      </c>
      <c r="BR341" t="s">
        <v>108</v>
      </c>
      <c r="BS341" t="s">
        <v>7108</v>
      </c>
      <c r="BT341" t="str">
        <f>HYPERLINK("https%3A%2F%2Fwww.webofscience.com%2Fwos%2Fwoscc%2Ffull-record%2FWOS:000497897100001","View Full Record in Web of Science")</f>
        <v>View Full Record in Web of Science</v>
      </c>
    </row>
    <row r="342" spans="1:72" x14ac:dyDescent="0.15">
      <c r="A342" t="s">
        <v>133</v>
      </c>
      <c r="B342" t="s">
        <v>7109</v>
      </c>
      <c r="C342" t="s">
        <v>74</v>
      </c>
      <c r="D342" t="s">
        <v>74</v>
      </c>
      <c r="E342" t="s">
        <v>74</v>
      </c>
      <c r="F342" t="s">
        <v>7110</v>
      </c>
      <c r="G342" t="s">
        <v>74</v>
      </c>
      <c r="H342" t="s">
        <v>74</v>
      </c>
      <c r="I342" t="s">
        <v>7111</v>
      </c>
      <c r="J342" t="s">
        <v>2623</v>
      </c>
      <c r="K342" t="s">
        <v>74</v>
      </c>
      <c r="L342" t="s">
        <v>74</v>
      </c>
      <c r="M342" t="s">
        <v>80</v>
      </c>
      <c r="N342" t="s">
        <v>138</v>
      </c>
      <c r="O342" t="s">
        <v>74</v>
      </c>
      <c r="P342" t="s">
        <v>74</v>
      </c>
      <c r="Q342" t="s">
        <v>74</v>
      </c>
      <c r="R342" t="s">
        <v>74</v>
      </c>
      <c r="S342" t="s">
        <v>74</v>
      </c>
      <c r="T342" t="s">
        <v>74</v>
      </c>
      <c r="U342" t="s">
        <v>7112</v>
      </c>
      <c r="V342" t="s">
        <v>7113</v>
      </c>
      <c r="W342" t="s">
        <v>7114</v>
      </c>
      <c r="X342" t="s">
        <v>7115</v>
      </c>
      <c r="Y342" t="s">
        <v>7116</v>
      </c>
      <c r="Z342" t="s">
        <v>7117</v>
      </c>
      <c r="AA342" t="s">
        <v>7118</v>
      </c>
      <c r="AB342" t="s">
        <v>7119</v>
      </c>
      <c r="AC342" t="s">
        <v>7120</v>
      </c>
      <c r="AD342" t="s">
        <v>7121</v>
      </c>
      <c r="AE342" t="s">
        <v>7122</v>
      </c>
      <c r="AF342" t="s">
        <v>74</v>
      </c>
      <c r="AG342">
        <v>52</v>
      </c>
      <c r="AH342">
        <v>39</v>
      </c>
      <c r="AI342">
        <v>46</v>
      </c>
      <c r="AJ342">
        <v>0</v>
      </c>
      <c r="AK342">
        <v>7</v>
      </c>
      <c r="AL342" t="s">
        <v>2038</v>
      </c>
      <c r="AM342" t="s">
        <v>1730</v>
      </c>
      <c r="AN342" t="s">
        <v>2039</v>
      </c>
      <c r="AO342" t="s">
        <v>2636</v>
      </c>
      <c r="AP342" t="s">
        <v>74</v>
      </c>
      <c r="AQ342" t="s">
        <v>74</v>
      </c>
      <c r="AR342" t="s">
        <v>2637</v>
      </c>
      <c r="AS342" t="s">
        <v>2638</v>
      </c>
      <c r="AT342" t="s">
        <v>7010</v>
      </c>
      <c r="AU342">
        <v>2019</v>
      </c>
      <c r="AV342">
        <v>9</v>
      </c>
      <c r="AW342" t="s">
        <v>74</v>
      </c>
      <c r="AX342" t="s">
        <v>74</v>
      </c>
      <c r="AY342" t="s">
        <v>74</v>
      </c>
      <c r="AZ342" t="s">
        <v>74</v>
      </c>
      <c r="BA342" t="s">
        <v>74</v>
      </c>
      <c r="BB342" t="s">
        <v>74</v>
      </c>
      <c r="BC342" t="s">
        <v>74</v>
      </c>
      <c r="BD342">
        <v>16649</v>
      </c>
      <c r="BE342" t="s">
        <v>7123</v>
      </c>
      <c r="BF342" t="str">
        <f>HYPERLINK("http://dx.doi.org/10.1038/s41598-019-53190-6","http://dx.doi.org/10.1038/s41598-019-53190-6")</f>
        <v>http://dx.doi.org/10.1038/s41598-019-53190-6</v>
      </c>
      <c r="BG342" t="s">
        <v>74</v>
      </c>
      <c r="BH342" t="s">
        <v>74</v>
      </c>
      <c r="BI342">
        <v>9</v>
      </c>
      <c r="BJ342" t="s">
        <v>1245</v>
      </c>
      <c r="BK342" t="s">
        <v>294</v>
      </c>
      <c r="BL342" t="s">
        <v>1246</v>
      </c>
      <c r="BM342" t="s">
        <v>7124</v>
      </c>
      <c r="BN342">
        <v>31757979</v>
      </c>
      <c r="BO342" t="s">
        <v>7051</v>
      </c>
      <c r="BP342" t="s">
        <v>74</v>
      </c>
      <c r="BQ342" t="s">
        <v>74</v>
      </c>
      <c r="BR342" t="s">
        <v>108</v>
      </c>
      <c r="BS342" t="s">
        <v>7125</v>
      </c>
      <c r="BT342" t="str">
        <f>HYPERLINK("https%3A%2F%2Fwww.webofscience.com%2Fwos%2Fwoscc%2Ffull-record%2FWOS:000498056300001","View Full Record in Web of Science")</f>
        <v>View Full Record in Web of Science</v>
      </c>
    </row>
    <row r="343" spans="1:72" x14ac:dyDescent="0.15">
      <c r="A343" t="s">
        <v>133</v>
      </c>
      <c r="B343" t="s">
        <v>7126</v>
      </c>
      <c r="C343" t="s">
        <v>74</v>
      </c>
      <c r="D343" t="s">
        <v>74</v>
      </c>
      <c r="E343" t="s">
        <v>74</v>
      </c>
      <c r="F343" t="s">
        <v>7127</v>
      </c>
      <c r="G343" t="s">
        <v>74</v>
      </c>
      <c r="H343" t="s">
        <v>74</v>
      </c>
      <c r="I343" t="s">
        <v>7128</v>
      </c>
      <c r="J343" t="s">
        <v>1902</v>
      </c>
      <c r="K343" t="s">
        <v>74</v>
      </c>
      <c r="L343" t="s">
        <v>74</v>
      </c>
      <c r="M343" t="s">
        <v>80</v>
      </c>
      <c r="N343" t="s">
        <v>138</v>
      </c>
      <c r="O343" t="s">
        <v>74</v>
      </c>
      <c r="P343" t="s">
        <v>74</v>
      </c>
      <c r="Q343" t="s">
        <v>74</v>
      </c>
      <c r="R343" t="s">
        <v>74</v>
      </c>
      <c r="S343" t="s">
        <v>74</v>
      </c>
      <c r="T343" t="s">
        <v>7129</v>
      </c>
      <c r="U343" t="s">
        <v>7130</v>
      </c>
      <c r="V343" t="s">
        <v>7131</v>
      </c>
      <c r="W343" t="s">
        <v>7132</v>
      </c>
      <c r="X343" t="s">
        <v>7133</v>
      </c>
      <c r="Y343" t="s">
        <v>7134</v>
      </c>
      <c r="Z343" t="s">
        <v>7135</v>
      </c>
      <c r="AA343" t="s">
        <v>7136</v>
      </c>
      <c r="AB343" t="s">
        <v>7137</v>
      </c>
      <c r="AC343" t="s">
        <v>7138</v>
      </c>
      <c r="AD343" t="s">
        <v>7139</v>
      </c>
      <c r="AE343" t="s">
        <v>7140</v>
      </c>
      <c r="AF343" t="s">
        <v>74</v>
      </c>
      <c r="AG343">
        <v>73</v>
      </c>
      <c r="AH343">
        <v>25</v>
      </c>
      <c r="AI343">
        <v>26</v>
      </c>
      <c r="AJ343">
        <v>9</v>
      </c>
      <c r="AK343">
        <v>42</v>
      </c>
      <c r="AL343" t="s">
        <v>1915</v>
      </c>
      <c r="AM343" t="s">
        <v>1916</v>
      </c>
      <c r="AN343" t="s">
        <v>1917</v>
      </c>
      <c r="AO343" t="s">
        <v>1918</v>
      </c>
      <c r="AP343" t="s">
        <v>1919</v>
      </c>
      <c r="AQ343" t="s">
        <v>74</v>
      </c>
      <c r="AR343" t="s">
        <v>1902</v>
      </c>
      <c r="AS343" t="s">
        <v>1920</v>
      </c>
      <c r="AT343" t="s">
        <v>1298</v>
      </c>
      <c r="AU343">
        <v>2020</v>
      </c>
      <c r="AV343">
        <v>24</v>
      </c>
      <c r="AW343">
        <v>2</v>
      </c>
      <c r="AX343" t="s">
        <v>74</v>
      </c>
      <c r="AY343" t="s">
        <v>74</v>
      </c>
      <c r="AZ343" t="s">
        <v>74</v>
      </c>
      <c r="BA343" t="s">
        <v>74</v>
      </c>
      <c r="BB343">
        <v>227</v>
      </c>
      <c r="BC343">
        <v>238</v>
      </c>
      <c r="BD343" t="s">
        <v>74</v>
      </c>
      <c r="BE343" t="s">
        <v>7141</v>
      </c>
      <c r="BF343" t="str">
        <f>HYPERLINK("http://dx.doi.org/10.1007/s00792-019-01148-x","http://dx.doi.org/10.1007/s00792-019-01148-x")</f>
        <v>http://dx.doi.org/10.1007/s00792-019-01148-x</v>
      </c>
      <c r="BG343" t="s">
        <v>74</v>
      </c>
      <c r="BH343" t="s">
        <v>6368</v>
      </c>
      <c r="BI343">
        <v>12</v>
      </c>
      <c r="BJ343" t="s">
        <v>1922</v>
      </c>
      <c r="BK343" t="s">
        <v>294</v>
      </c>
      <c r="BL343" t="s">
        <v>1922</v>
      </c>
      <c r="BM343" t="s">
        <v>1923</v>
      </c>
      <c r="BN343">
        <v>31758267</v>
      </c>
      <c r="BO343" t="s">
        <v>74</v>
      </c>
      <c r="BP343" t="s">
        <v>74</v>
      </c>
      <c r="BQ343" t="s">
        <v>74</v>
      </c>
      <c r="BR343" t="s">
        <v>108</v>
      </c>
      <c r="BS343" t="s">
        <v>7142</v>
      </c>
      <c r="BT343" t="str">
        <f>HYPERLINK("https%3A%2F%2Fwww.webofscience.com%2Fwos%2Fwoscc%2Ffull-record%2FWOS:000498035600001","View Full Record in Web of Science")</f>
        <v>View Full Record in Web of Science</v>
      </c>
    </row>
    <row r="344" spans="1:72" x14ac:dyDescent="0.15">
      <c r="A344" t="s">
        <v>133</v>
      </c>
      <c r="B344" t="s">
        <v>7143</v>
      </c>
      <c r="C344" t="s">
        <v>74</v>
      </c>
      <c r="D344" t="s">
        <v>74</v>
      </c>
      <c r="E344" t="s">
        <v>74</v>
      </c>
      <c r="F344" t="s">
        <v>7144</v>
      </c>
      <c r="G344" t="s">
        <v>74</v>
      </c>
      <c r="H344" t="s">
        <v>74</v>
      </c>
      <c r="I344" t="s">
        <v>7145</v>
      </c>
      <c r="J344" t="s">
        <v>1225</v>
      </c>
      <c r="K344" t="s">
        <v>74</v>
      </c>
      <c r="L344" t="s">
        <v>74</v>
      </c>
      <c r="M344" t="s">
        <v>80</v>
      </c>
      <c r="N344" t="s">
        <v>138</v>
      </c>
      <c r="O344" t="s">
        <v>74</v>
      </c>
      <c r="P344" t="s">
        <v>74</v>
      </c>
      <c r="Q344" t="s">
        <v>74</v>
      </c>
      <c r="R344" t="s">
        <v>74</v>
      </c>
      <c r="S344" t="s">
        <v>74</v>
      </c>
      <c r="T344" t="s">
        <v>74</v>
      </c>
      <c r="U344" t="s">
        <v>7146</v>
      </c>
      <c r="V344" t="s">
        <v>7147</v>
      </c>
      <c r="W344" t="s">
        <v>7148</v>
      </c>
      <c r="X344" t="s">
        <v>7149</v>
      </c>
      <c r="Y344" t="s">
        <v>7150</v>
      </c>
      <c r="Z344" t="s">
        <v>7151</v>
      </c>
      <c r="AA344" t="s">
        <v>7152</v>
      </c>
      <c r="AB344" t="s">
        <v>7153</v>
      </c>
      <c r="AC344" t="s">
        <v>7154</v>
      </c>
      <c r="AD344" t="s">
        <v>7155</v>
      </c>
      <c r="AE344" t="s">
        <v>7156</v>
      </c>
      <c r="AF344" t="s">
        <v>74</v>
      </c>
      <c r="AG344">
        <v>51</v>
      </c>
      <c r="AH344">
        <v>4</v>
      </c>
      <c r="AI344">
        <v>4</v>
      </c>
      <c r="AJ344">
        <v>1</v>
      </c>
      <c r="AK344">
        <v>7</v>
      </c>
      <c r="AL344" t="s">
        <v>1237</v>
      </c>
      <c r="AM344" t="s">
        <v>1238</v>
      </c>
      <c r="AN344" t="s">
        <v>1239</v>
      </c>
      <c r="AO344" t="s">
        <v>1240</v>
      </c>
      <c r="AP344" t="s">
        <v>74</v>
      </c>
      <c r="AQ344" t="s">
        <v>74</v>
      </c>
      <c r="AR344" t="s">
        <v>1225</v>
      </c>
      <c r="AS344" t="s">
        <v>1241</v>
      </c>
      <c r="AT344" t="s">
        <v>7157</v>
      </c>
      <c r="AU344">
        <v>2019</v>
      </c>
      <c r="AV344">
        <v>14</v>
      </c>
      <c r="AW344">
        <v>11</v>
      </c>
      <c r="AX344" t="s">
        <v>74</v>
      </c>
      <c r="AY344" t="s">
        <v>74</v>
      </c>
      <c r="AZ344" t="s">
        <v>74</v>
      </c>
      <c r="BA344" t="s">
        <v>74</v>
      </c>
      <c r="BB344" t="s">
        <v>74</v>
      </c>
      <c r="BC344" t="s">
        <v>74</v>
      </c>
      <c r="BD344" t="s">
        <v>7158</v>
      </c>
      <c r="BE344" t="s">
        <v>7159</v>
      </c>
      <c r="BF344" t="str">
        <f>HYPERLINK("http://dx.doi.org/10.1371/journal.pone.0225461","http://dx.doi.org/10.1371/journal.pone.0225461")</f>
        <v>http://dx.doi.org/10.1371/journal.pone.0225461</v>
      </c>
      <c r="BG344" t="s">
        <v>74</v>
      </c>
      <c r="BH344" t="s">
        <v>74</v>
      </c>
      <c r="BI344">
        <v>23</v>
      </c>
      <c r="BJ344" t="s">
        <v>1245</v>
      </c>
      <c r="BK344" t="s">
        <v>294</v>
      </c>
      <c r="BL344" t="s">
        <v>1246</v>
      </c>
      <c r="BM344" t="s">
        <v>7160</v>
      </c>
      <c r="BN344">
        <v>31751414</v>
      </c>
      <c r="BO344" t="s">
        <v>693</v>
      </c>
      <c r="BP344" t="s">
        <v>74</v>
      </c>
      <c r="BQ344" t="s">
        <v>74</v>
      </c>
      <c r="BR344" t="s">
        <v>108</v>
      </c>
      <c r="BS344" t="s">
        <v>7161</v>
      </c>
      <c r="BT344" t="str">
        <f>HYPERLINK("https%3A%2F%2Fwww.webofscience.com%2Fwos%2Fwoscc%2Ffull-record%2FWOS:000533886900066","View Full Record in Web of Science")</f>
        <v>View Full Record in Web of Science</v>
      </c>
    </row>
    <row r="345" spans="1:72" x14ac:dyDescent="0.15">
      <c r="A345" t="s">
        <v>133</v>
      </c>
      <c r="B345" t="s">
        <v>7162</v>
      </c>
      <c r="C345" t="s">
        <v>74</v>
      </c>
      <c r="D345" t="s">
        <v>74</v>
      </c>
      <c r="E345" t="s">
        <v>74</v>
      </c>
      <c r="F345" t="s">
        <v>7163</v>
      </c>
      <c r="G345" t="s">
        <v>74</v>
      </c>
      <c r="H345" t="s">
        <v>74</v>
      </c>
      <c r="I345" t="s">
        <v>7164</v>
      </c>
      <c r="J345" t="s">
        <v>2685</v>
      </c>
      <c r="K345" t="s">
        <v>74</v>
      </c>
      <c r="L345" t="s">
        <v>74</v>
      </c>
      <c r="M345" t="s">
        <v>80</v>
      </c>
      <c r="N345" t="s">
        <v>138</v>
      </c>
      <c r="O345" t="s">
        <v>74</v>
      </c>
      <c r="P345" t="s">
        <v>74</v>
      </c>
      <c r="Q345" t="s">
        <v>74</v>
      </c>
      <c r="R345" t="s">
        <v>74</v>
      </c>
      <c r="S345" t="s">
        <v>74</v>
      </c>
      <c r="T345" t="s">
        <v>7165</v>
      </c>
      <c r="U345" t="s">
        <v>7166</v>
      </c>
      <c r="V345" t="s">
        <v>7167</v>
      </c>
      <c r="W345" t="s">
        <v>7168</v>
      </c>
      <c r="X345" t="s">
        <v>7169</v>
      </c>
      <c r="Y345" t="s">
        <v>7170</v>
      </c>
      <c r="Z345" t="s">
        <v>7171</v>
      </c>
      <c r="AA345" t="s">
        <v>7172</v>
      </c>
      <c r="AB345" t="s">
        <v>7173</v>
      </c>
      <c r="AC345" t="s">
        <v>7174</v>
      </c>
      <c r="AD345" t="s">
        <v>7175</v>
      </c>
      <c r="AE345" t="s">
        <v>7176</v>
      </c>
      <c r="AF345" t="s">
        <v>74</v>
      </c>
      <c r="AG345">
        <v>64</v>
      </c>
      <c r="AH345">
        <v>11</v>
      </c>
      <c r="AI345">
        <v>13</v>
      </c>
      <c r="AJ345">
        <v>1</v>
      </c>
      <c r="AK345">
        <v>45</v>
      </c>
      <c r="AL345" t="s">
        <v>314</v>
      </c>
      <c r="AM345" t="s">
        <v>315</v>
      </c>
      <c r="AN345" t="s">
        <v>316</v>
      </c>
      <c r="AO345" t="s">
        <v>2695</v>
      </c>
      <c r="AP345" t="s">
        <v>2696</v>
      </c>
      <c r="AQ345" t="s">
        <v>74</v>
      </c>
      <c r="AR345" t="s">
        <v>2697</v>
      </c>
      <c r="AS345" t="s">
        <v>2698</v>
      </c>
      <c r="AT345" t="s">
        <v>7157</v>
      </c>
      <c r="AU345">
        <v>2019</v>
      </c>
      <c r="AV345">
        <v>631</v>
      </c>
      <c r="AW345" t="s">
        <v>74</v>
      </c>
      <c r="AX345" t="s">
        <v>74</v>
      </c>
      <c r="AY345" t="s">
        <v>74</v>
      </c>
      <c r="AZ345" t="s">
        <v>74</v>
      </c>
      <c r="BA345" t="s">
        <v>74</v>
      </c>
      <c r="BB345">
        <v>19</v>
      </c>
      <c r="BC345">
        <v>30</v>
      </c>
      <c r="BD345" t="s">
        <v>74</v>
      </c>
      <c r="BE345" t="s">
        <v>7177</v>
      </c>
      <c r="BF345" t="str">
        <f>HYPERLINK("http://dx.doi.org/10.3354/meps13137","http://dx.doi.org/10.3354/meps13137")</f>
        <v>http://dx.doi.org/10.3354/meps13137</v>
      </c>
      <c r="BG345" t="s">
        <v>74</v>
      </c>
      <c r="BH345" t="s">
        <v>74</v>
      </c>
      <c r="BI345">
        <v>12</v>
      </c>
      <c r="BJ345" t="s">
        <v>2701</v>
      </c>
      <c r="BK345" t="s">
        <v>294</v>
      </c>
      <c r="BL345" t="s">
        <v>2702</v>
      </c>
      <c r="BM345" t="s">
        <v>7178</v>
      </c>
      <c r="BN345" t="s">
        <v>74</v>
      </c>
      <c r="BO345" t="s">
        <v>74</v>
      </c>
      <c r="BP345" t="s">
        <v>74</v>
      </c>
      <c r="BQ345" t="s">
        <v>74</v>
      </c>
      <c r="BR345" t="s">
        <v>108</v>
      </c>
      <c r="BS345" t="s">
        <v>7179</v>
      </c>
      <c r="BT345" t="str">
        <f>HYPERLINK("https%3A%2F%2Fwww.webofscience.com%2Fwos%2Fwoscc%2Ffull-record%2FWOS:000521174300002","View Full Record in Web of Science")</f>
        <v>View Full Record in Web of Science</v>
      </c>
    </row>
    <row r="346" spans="1:72" x14ac:dyDescent="0.15">
      <c r="A346" t="s">
        <v>133</v>
      </c>
      <c r="B346" t="s">
        <v>7180</v>
      </c>
      <c r="C346" t="s">
        <v>74</v>
      </c>
      <c r="D346" t="s">
        <v>74</v>
      </c>
      <c r="E346" t="s">
        <v>74</v>
      </c>
      <c r="F346" t="s">
        <v>7181</v>
      </c>
      <c r="G346" t="s">
        <v>74</v>
      </c>
      <c r="H346" t="s">
        <v>74</v>
      </c>
      <c r="I346" t="s">
        <v>7182</v>
      </c>
      <c r="J346" t="s">
        <v>7183</v>
      </c>
      <c r="K346" t="s">
        <v>74</v>
      </c>
      <c r="L346" t="s">
        <v>74</v>
      </c>
      <c r="M346" t="s">
        <v>80</v>
      </c>
      <c r="N346" t="s">
        <v>138</v>
      </c>
      <c r="O346" t="s">
        <v>74</v>
      </c>
      <c r="P346" t="s">
        <v>74</v>
      </c>
      <c r="Q346" t="s">
        <v>74</v>
      </c>
      <c r="R346" t="s">
        <v>74</v>
      </c>
      <c r="S346" t="s">
        <v>74</v>
      </c>
      <c r="T346" t="s">
        <v>74</v>
      </c>
      <c r="U346" t="s">
        <v>7184</v>
      </c>
      <c r="V346" t="s">
        <v>7185</v>
      </c>
      <c r="W346" t="s">
        <v>7186</v>
      </c>
      <c r="X346" t="s">
        <v>7187</v>
      </c>
      <c r="Y346" t="s">
        <v>7188</v>
      </c>
      <c r="Z346" t="s">
        <v>7189</v>
      </c>
      <c r="AA346" t="s">
        <v>7190</v>
      </c>
      <c r="AB346" t="s">
        <v>7191</v>
      </c>
      <c r="AC346" t="s">
        <v>7192</v>
      </c>
      <c r="AD346" t="s">
        <v>7193</v>
      </c>
      <c r="AE346" t="s">
        <v>7194</v>
      </c>
      <c r="AF346" t="s">
        <v>74</v>
      </c>
      <c r="AG346">
        <v>44</v>
      </c>
      <c r="AH346">
        <v>3</v>
      </c>
      <c r="AI346">
        <v>6</v>
      </c>
      <c r="AJ346">
        <v>0</v>
      </c>
      <c r="AK346">
        <v>2</v>
      </c>
      <c r="AL346" t="s">
        <v>2099</v>
      </c>
      <c r="AM346" t="s">
        <v>2100</v>
      </c>
      <c r="AN346" t="s">
        <v>2101</v>
      </c>
      <c r="AO346" t="s">
        <v>7195</v>
      </c>
      <c r="AP346" t="s">
        <v>7196</v>
      </c>
      <c r="AQ346" t="s">
        <v>74</v>
      </c>
      <c r="AR346" t="s">
        <v>7197</v>
      </c>
      <c r="AS346" t="s">
        <v>7198</v>
      </c>
      <c r="AT346" t="s">
        <v>7157</v>
      </c>
      <c r="AU346">
        <v>2019</v>
      </c>
      <c r="AV346">
        <v>37</v>
      </c>
      <c r="AW346">
        <v>6</v>
      </c>
      <c r="AX346" t="s">
        <v>74</v>
      </c>
      <c r="AY346" t="s">
        <v>74</v>
      </c>
      <c r="AZ346" t="s">
        <v>74</v>
      </c>
      <c r="BA346" t="s">
        <v>74</v>
      </c>
      <c r="BB346">
        <v>1049</v>
      </c>
      <c r="BC346">
        <v>1061</v>
      </c>
      <c r="BD346" t="s">
        <v>74</v>
      </c>
      <c r="BE346" t="s">
        <v>7199</v>
      </c>
      <c r="BF346" t="str">
        <f>HYPERLINK("http://dx.doi.org/10.5194/angeo-37-1049-2019","http://dx.doi.org/10.5194/angeo-37-1049-2019")</f>
        <v>http://dx.doi.org/10.5194/angeo-37-1049-2019</v>
      </c>
      <c r="BG346" t="s">
        <v>74</v>
      </c>
      <c r="BH346" t="s">
        <v>74</v>
      </c>
      <c r="BI346">
        <v>13</v>
      </c>
      <c r="BJ346" t="s">
        <v>7200</v>
      </c>
      <c r="BK346" t="s">
        <v>294</v>
      </c>
      <c r="BL346" t="s">
        <v>7201</v>
      </c>
      <c r="BM346" t="s">
        <v>7202</v>
      </c>
      <c r="BN346" t="s">
        <v>74</v>
      </c>
      <c r="BO346" t="s">
        <v>976</v>
      </c>
      <c r="BP346" t="s">
        <v>74</v>
      </c>
      <c r="BQ346" t="s">
        <v>74</v>
      </c>
      <c r="BR346" t="s">
        <v>108</v>
      </c>
      <c r="BS346" t="s">
        <v>7203</v>
      </c>
      <c r="BT346" t="str">
        <f>HYPERLINK("https%3A%2F%2Fwww.webofscience.com%2Fwos%2Fwoscc%2Ffull-record%2FWOS:000498798400001","View Full Record in Web of Science")</f>
        <v>View Full Record in Web of Science</v>
      </c>
    </row>
    <row r="347" spans="1:72" x14ac:dyDescent="0.15">
      <c r="A347" t="s">
        <v>133</v>
      </c>
      <c r="B347" t="s">
        <v>7204</v>
      </c>
      <c r="C347" t="s">
        <v>74</v>
      </c>
      <c r="D347" t="s">
        <v>74</v>
      </c>
      <c r="E347" t="s">
        <v>74</v>
      </c>
      <c r="F347" t="s">
        <v>7205</v>
      </c>
      <c r="G347" t="s">
        <v>74</v>
      </c>
      <c r="H347" t="s">
        <v>74</v>
      </c>
      <c r="I347" t="s">
        <v>7206</v>
      </c>
      <c r="J347" t="s">
        <v>2242</v>
      </c>
      <c r="K347" t="s">
        <v>74</v>
      </c>
      <c r="L347" t="s">
        <v>74</v>
      </c>
      <c r="M347" t="s">
        <v>80</v>
      </c>
      <c r="N347" t="s">
        <v>138</v>
      </c>
      <c r="O347" t="s">
        <v>74</v>
      </c>
      <c r="P347" t="s">
        <v>74</v>
      </c>
      <c r="Q347" t="s">
        <v>74</v>
      </c>
      <c r="R347" t="s">
        <v>74</v>
      </c>
      <c r="S347" t="s">
        <v>74</v>
      </c>
      <c r="T347" t="s">
        <v>74</v>
      </c>
      <c r="U347" t="s">
        <v>7207</v>
      </c>
      <c r="V347" t="s">
        <v>7208</v>
      </c>
      <c r="W347" t="s">
        <v>7209</v>
      </c>
      <c r="X347" t="s">
        <v>7210</v>
      </c>
      <c r="Y347" t="s">
        <v>7211</v>
      </c>
      <c r="Z347" t="s">
        <v>7212</v>
      </c>
      <c r="AA347" t="s">
        <v>7213</v>
      </c>
      <c r="AB347" t="s">
        <v>7214</v>
      </c>
      <c r="AC347" t="s">
        <v>7215</v>
      </c>
      <c r="AD347" t="s">
        <v>7215</v>
      </c>
      <c r="AE347" t="s">
        <v>7216</v>
      </c>
      <c r="AF347" t="s">
        <v>74</v>
      </c>
      <c r="AG347">
        <v>120</v>
      </c>
      <c r="AH347">
        <v>8</v>
      </c>
      <c r="AI347">
        <v>9</v>
      </c>
      <c r="AJ347">
        <v>1</v>
      </c>
      <c r="AK347">
        <v>7</v>
      </c>
      <c r="AL347" t="s">
        <v>2099</v>
      </c>
      <c r="AM347" t="s">
        <v>2100</v>
      </c>
      <c r="AN347" t="s">
        <v>2101</v>
      </c>
      <c r="AO347" t="s">
        <v>2254</v>
      </c>
      <c r="AP347" t="s">
        <v>2255</v>
      </c>
      <c r="AQ347" t="s">
        <v>74</v>
      </c>
      <c r="AR347" t="s">
        <v>2256</v>
      </c>
      <c r="AS347" t="s">
        <v>2257</v>
      </c>
      <c r="AT347" t="s">
        <v>7157</v>
      </c>
      <c r="AU347">
        <v>2019</v>
      </c>
      <c r="AV347">
        <v>19</v>
      </c>
      <c r="AW347">
        <v>22</v>
      </c>
      <c r="AX347" t="s">
        <v>74</v>
      </c>
      <c r="AY347" t="s">
        <v>74</v>
      </c>
      <c r="AZ347" t="s">
        <v>74</v>
      </c>
      <c r="BA347" t="s">
        <v>74</v>
      </c>
      <c r="BB347">
        <v>14031</v>
      </c>
      <c r="BC347">
        <v>14056</v>
      </c>
      <c r="BD347" t="s">
        <v>74</v>
      </c>
      <c r="BE347" t="s">
        <v>7217</v>
      </c>
      <c r="BF347" t="str">
        <f>HYPERLINK("http://dx.doi.org/10.5194/acp-19-14031-2019","http://dx.doi.org/10.5194/acp-19-14031-2019")</f>
        <v>http://dx.doi.org/10.5194/acp-19-14031-2019</v>
      </c>
      <c r="BG347" t="s">
        <v>74</v>
      </c>
      <c r="BH347" t="s">
        <v>74</v>
      </c>
      <c r="BI347">
        <v>26</v>
      </c>
      <c r="BJ347" t="s">
        <v>103</v>
      </c>
      <c r="BK347" t="s">
        <v>294</v>
      </c>
      <c r="BL347" t="s">
        <v>105</v>
      </c>
      <c r="BM347" t="s">
        <v>7218</v>
      </c>
      <c r="BN347" t="s">
        <v>74</v>
      </c>
      <c r="BO347" t="s">
        <v>1276</v>
      </c>
      <c r="BP347" t="s">
        <v>74</v>
      </c>
      <c r="BQ347" t="s">
        <v>74</v>
      </c>
      <c r="BR347" t="s">
        <v>108</v>
      </c>
      <c r="BS347" t="s">
        <v>7219</v>
      </c>
      <c r="BT347" t="str">
        <f>HYPERLINK("https%3A%2F%2Fwww.webofscience.com%2Fwos%2Fwoscc%2Ffull-record%2FWOS:000498797200003","View Full Record in Web of Science")</f>
        <v>View Full Record in Web of Science</v>
      </c>
    </row>
    <row r="348" spans="1:72" x14ac:dyDescent="0.15">
      <c r="A348" t="s">
        <v>133</v>
      </c>
      <c r="B348" t="s">
        <v>7220</v>
      </c>
      <c r="C348" t="s">
        <v>74</v>
      </c>
      <c r="D348" t="s">
        <v>74</v>
      </c>
      <c r="E348" t="s">
        <v>74</v>
      </c>
      <c r="F348" t="s">
        <v>7221</v>
      </c>
      <c r="G348" t="s">
        <v>74</v>
      </c>
      <c r="H348" t="s">
        <v>74</v>
      </c>
      <c r="I348" t="s">
        <v>7222</v>
      </c>
      <c r="J348" t="s">
        <v>1553</v>
      </c>
      <c r="K348" t="s">
        <v>74</v>
      </c>
      <c r="L348" t="s">
        <v>74</v>
      </c>
      <c r="M348" t="s">
        <v>80</v>
      </c>
      <c r="N348" t="s">
        <v>138</v>
      </c>
      <c r="O348" t="s">
        <v>74</v>
      </c>
      <c r="P348" t="s">
        <v>74</v>
      </c>
      <c r="Q348" t="s">
        <v>74</v>
      </c>
      <c r="R348" t="s">
        <v>74</v>
      </c>
      <c r="S348" t="s">
        <v>74</v>
      </c>
      <c r="T348" t="s">
        <v>74</v>
      </c>
      <c r="U348" t="s">
        <v>7223</v>
      </c>
      <c r="V348" t="s">
        <v>7224</v>
      </c>
      <c r="W348" t="s">
        <v>7225</v>
      </c>
      <c r="X348" t="s">
        <v>7226</v>
      </c>
      <c r="Y348" t="s">
        <v>7227</v>
      </c>
      <c r="Z348" t="s">
        <v>7228</v>
      </c>
      <c r="AA348" t="s">
        <v>7229</v>
      </c>
      <c r="AB348" t="s">
        <v>7230</v>
      </c>
      <c r="AC348" t="s">
        <v>7231</v>
      </c>
      <c r="AD348" t="s">
        <v>7232</v>
      </c>
      <c r="AE348" t="s">
        <v>7233</v>
      </c>
      <c r="AF348" t="s">
        <v>74</v>
      </c>
      <c r="AG348">
        <v>86</v>
      </c>
      <c r="AH348">
        <v>4</v>
      </c>
      <c r="AI348">
        <v>4</v>
      </c>
      <c r="AJ348">
        <v>0</v>
      </c>
      <c r="AK348">
        <v>6</v>
      </c>
      <c r="AL348" t="s">
        <v>1264</v>
      </c>
      <c r="AM348" t="s">
        <v>1265</v>
      </c>
      <c r="AN348" t="s">
        <v>1266</v>
      </c>
      <c r="AO348" t="s">
        <v>1566</v>
      </c>
      <c r="AP348" t="s">
        <v>1567</v>
      </c>
      <c r="AQ348" t="s">
        <v>74</v>
      </c>
      <c r="AR348" t="s">
        <v>1568</v>
      </c>
      <c r="AS348" t="s">
        <v>1569</v>
      </c>
      <c r="AT348" t="s">
        <v>3457</v>
      </c>
      <c r="AU348">
        <v>2019</v>
      </c>
      <c r="AV348">
        <v>124</v>
      </c>
      <c r="AW348">
        <v>11</v>
      </c>
      <c r="AX348" t="s">
        <v>74</v>
      </c>
      <c r="AY348" t="s">
        <v>74</v>
      </c>
      <c r="AZ348" t="s">
        <v>74</v>
      </c>
      <c r="BA348" t="s">
        <v>74</v>
      </c>
      <c r="BB348">
        <v>9537</v>
      </c>
      <c r="BC348">
        <v>9551</v>
      </c>
      <c r="BD348" t="s">
        <v>74</v>
      </c>
      <c r="BE348" t="s">
        <v>7234</v>
      </c>
      <c r="BF348" t="str">
        <f>HYPERLINK("http://dx.doi.org/10.1029/2018JA026278","http://dx.doi.org/10.1029/2018JA026278")</f>
        <v>http://dx.doi.org/10.1029/2018JA026278</v>
      </c>
      <c r="BG348" t="s">
        <v>74</v>
      </c>
      <c r="BH348" t="s">
        <v>6368</v>
      </c>
      <c r="BI348">
        <v>15</v>
      </c>
      <c r="BJ348" t="s">
        <v>1571</v>
      </c>
      <c r="BK348" t="s">
        <v>294</v>
      </c>
      <c r="BL348" t="s">
        <v>1571</v>
      </c>
      <c r="BM348" t="s">
        <v>6850</v>
      </c>
      <c r="BN348" t="s">
        <v>74</v>
      </c>
      <c r="BO348" t="s">
        <v>638</v>
      </c>
      <c r="BP348" t="s">
        <v>74</v>
      </c>
      <c r="BQ348" t="s">
        <v>74</v>
      </c>
      <c r="BR348" t="s">
        <v>108</v>
      </c>
      <c r="BS348" t="s">
        <v>7235</v>
      </c>
      <c r="BT348" t="str">
        <f>HYPERLINK("https%3A%2F%2Fwww.webofscience.com%2Fwos%2Fwoscc%2Ffull-record%2FWOS:000497605200001","View Full Record in Web of Science")</f>
        <v>View Full Record in Web of Science</v>
      </c>
    </row>
    <row r="349" spans="1:72" x14ac:dyDescent="0.15">
      <c r="A349" t="s">
        <v>133</v>
      </c>
      <c r="B349" t="s">
        <v>7236</v>
      </c>
      <c r="C349" t="s">
        <v>74</v>
      </c>
      <c r="D349" t="s">
        <v>74</v>
      </c>
      <c r="E349" t="s">
        <v>74</v>
      </c>
      <c r="F349" t="s">
        <v>7237</v>
      </c>
      <c r="G349" t="s">
        <v>74</v>
      </c>
      <c r="H349" t="s">
        <v>74</v>
      </c>
      <c r="I349" t="s">
        <v>7238</v>
      </c>
      <c r="J349" t="s">
        <v>4016</v>
      </c>
      <c r="K349" t="s">
        <v>74</v>
      </c>
      <c r="L349" t="s">
        <v>74</v>
      </c>
      <c r="M349" t="s">
        <v>80</v>
      </c>
      <c r="N349" t="s">
        <v>138</v>
      </c>
      <c r="O349" t="s">
        <v>74</v>
      </c>
      <c r="P349" t="s">
        <v>74</v>
      </c>
      <c r="Q349" t="s">
        <v>74</v>
      </c>
      <c r="R349" t="s">
        <v>74</v>
      </c>
      <c r="S349" t="s">
        <v>74</v>
      </c>
      <c r="T349" t="s">
        <v>74</v>
      </c>
      <c r="U349" t="s">
        <v>7239</v>
      </c>
      <c r="V349" t="s">
        <v>7240</v>
      </c>
      <c r="W349" t="s">
        <v>7241</v>
      </c>
      <c r="X349" t="s">
        <v>7242</v>
      </c>
      <c r="Y349" t="s">
        <v>7243</v>
      </c>
      <c r="Z349" t="s">
        <v>7244</v>
      </c>
      <c r="AA349" t="s">
        <v>7245</v>
      </c>
      <c r="AB349" t="s">
        <v>7246</v>
      </c>
      <c r="AC349" t="s">
        <v>7247</v>
      </c>
      <c r="AD349" t="s">
        <v>7248</v>
      </c>
      <c r="AE349" t="s">
        <v>7249</v>
      </c>
      <c r="AF349" t="s">
        <v>74</v>
      </c>
      <c r="AG349">
        <v>52</v>
      </c>
      <c r="AH349">
        <v>20</v>
      </c>
      <c r="AI349">
        <v>20</v>
      </c>
      <c r="AJ349">
        <v>0</v>
      </c>
      <c r="AK349">
        <v>0</v>
      </c>
      <c r="AL349" t="s">
        <v>1264</v>
      </c>
      <c r="AM349" t="s">
        <v>1265</v>
      </c>
      <c r="AN349" t="s">
        <v>1266</v>
      </c>
      <c r="AO349" t="s">
        <v>74</v>
      </c>
      <c r="AP349" t="s">
        <v>4027</v>
      </c>
      <c r="AQ349" t="s">
        <v>74</v>
      </c>
      <c r="AR349" t="s">
        <v>4028</v>
      </c>
      <c r="AS349" t="s">
        <v>4029</v>
      </c>
      <c r="AT349" t="s">
        <v>3457</v>
      </c>
      <c r="AU349">
        <v>2019</v>
      </c>
      <c r="AV349">
        <v>17</v>
      </c>
      <c r="AW349">
        <v>11</v>
      </c>
      <c r="AX349" t="s">
        <v>74</v>
      </c>
      <c r="AY349" t="s">
        <v>74</v>
      </c>
      <c r="AZ349" t="s">
        <v>74</v>
      </c>
      <c r="BA349" t="s">
        <v>74</v>
      </c>
      <c r="BB349">
        <v>1605</v>
      </c>
      <c r="BC349">
        <v>1617</v>
      </c>
      <c r="BD349" t="s">
        <v>74</v>
      </c>
      <c r="BE349" t="s">
        <v>7250</v>
      </c>
      <c r="BF349" t="str">
        <f>HYPERLINK("http://dx.doi.org/10.1029/2019SW002281","http://dx.doi.org/10.1029/2019SW002281")</f>
        <v>http://dx.doi.org/10.1029/2019SW002281</v>
      </c>
      <c r="BG349" t="s">
        <v>74</v>
      </c>
      <c r="BH349" t="s">
        <v>6368</v>
      </c>
      <c r="BI349">
        <v>13</v>
      </c>
      <c r="BJ349" t="s">
        <v>4031</v>
      </c>
      <c r="BK349" t="s">
        <v>294</v>
      </c>
      <c r="BL349" t="s">
        <v>4031</v>
      </c>
      <c r="BM349" t="s">
        <v>7251</v>
      </c>
      <c r="BN349" t="s">
        <v>74</v>
      </c>
      <c r="BO349" t="s">
        <v>7252</v>
      </c>
      <c r="BP349" t="s">
        <v>74</v>
      </c>
      <c r="BQ349" t="s">
        <v>74</v>
      </c>
      <c r="BR349" t="s">
        <v>108</v>
      </c>
      <c r="BS349" t="s">
        <v>7253</v>
      </c>
      <c r="BT349" t="str">
        <f>HYPERLINK("https%3A%2F%2Fwww.webofscience.com%2Fwos%2Fwoscc%2Ffull-record%2FWOS:000497778600001","View Full Record in Web of Science")</f>
        <v>View Full Record in Web of Science</v>
      </c>
    </row>
    <row r="350" spans="1:72" x14ac:dyDescent="0.15">
      <c r="A350" t="s">
        <v>133</v>
      </c>
      <c r="B350" t="s">
        <v>7254</v>
      </c>
      <c r="C350" t="s">
        <v>74</v>
      </c>
      <c r="D350" t="s">
        <v>74</v>
      </c>
      <c r="E350" t="s">
        <v>74</v>
      </c>
      <c r="F350" t="s">
        <v>7255</v>
      </c>
      <c r="G350" t="s">
        <v>74</v>
      </c>
      <c r="H350" t="s">
        <v>74</v>
      </c>
      <c r="I350" t="s">
        <v>7256</v>
      </c>
      <c r="J350" t="s">
        <v>1774</v>
      </c>
      <c r="K350" t="s">
        <v>74</v>
      </c>
      <c r="L350" t="s">
        <v>74</v>
      </c>
      <c r="M350" t="s">
        <v>80</v>
      </c>
      <c r="N350" t="s">
        <v>138</v>
      </c>
      <c r="O350" t="s">
        <v>74</v>
      </c>
      <c r="P350" t="s">
        <v>74</v>
      </c>
      <c r="Q350" t="s">
        <v>74</v>
      </c>
      <c r="R350" t="s">
        <v>74</v>
      </c>
      <c r="S350" t="s">
        <v>74</v>
      </c>
      <c r="T350" t="s">
        <v>7257</v>
      </c>
      <c r="U350" t="s">
        <v>7258</v>
      </c>
      <c r="V350" t="s">
        <v>7259</v>
      </c>
      <c r="W350" t="s">
        <v>7260</v>
      </c>
      <c r="X350" t="s">
        <v>7261</v>
      </c>
      <c r="Y350" t="s">
        <v>7262</v>
      </c>
      <c r="Z350" t="s">
        <v>7263</v>
      </c>
      <c r="AA350" t="s">
        <v>7264</v>
      </c>
      <c r="AB350" t="s">
        <v>7265</v>
      </c>
      <c r="AC350" t="s">
        <v>7266</v>
      </c>
      <c r="AD350" t="s">
        <v>7267</v>
      </c>
      <c r="AE350" t="s">
        <v>7268</v>
      </c>
      <c r="AF350" t="s">
        <v>74</v>
      </c>
      <c r="AG350">
        <v>104</v>
      </c>
      <c r="AH350">
        <v>242</v>
      </c>
      <c r="AI350">
        <v>256</v>
      </c>
      <c r="AJ350">
        <v>3</v>
      </c>
      <c r="AK350">
        <v>40</v>
      </c>
      <c r="AL350" t="s">
        <v>1264</v>
      </c>
      <c r="AM350" t="s">
        <v>1265</v>
      </c>
      <c r="AN350" t="s">
        <v>1266</v>
      </c>
      <c r="AO350" t="s">
        <v>74</v>
      </c>
      <c r="AP350" t="s">
        <v>1786</v>
      </c>
      <c r="AQ350" t="s">
        <v>74</v>
      </c>
      <c r="AR350" t="s">
        <v>1787</v>
      </c>
      <c r="AS350" t="s">
        <v>1788</v>
      </c>
      <c r="AT350" t="s">
        <v>3457</v>
      </c>
      <c r="AU350">
        <v>2019</v>
      </c>
      <c r="AV350">
        <v>11</v>
      </c>
      <c r="AW350">
        <v>11</v>
      </c>
      <c r="AX350" t="s">
        <v>74</v>
      </c>
      <c r="AY350" t="s">
        <v>74</v>
      </c>
      <c r="AZ350" t="s">
        <v>74</v>
      </c>
      <c r="BA350" t="s">
        <v>74</v>
      </c>
      <c r="BB350">
        <v>3691</v>
      </c>
      <c r="BC350">
        <v>3727</v>
      </c>
      <c r="BD350" t="s">
        <v>74</v>
      </c>
      <c r="BE350" t="s">
        <v>7269</v>
      </c>
      <c r="BF350" t="str">
        <f>HYPERLINK("http://dx.doi.org/10.1029/2019MS001829","http://dx.doi.org/10.1029/2019MS001829")</f>
        <v>http://dx.doi.org/10.1029/2019MS001829</v>
      </c>
      <c r="BG350" t="s">
        <v>74</v>
      </c>
      <c r="BH350" t="s">
        <v>6368</v>
      </c>
      <c r="BI350">
        <v>37</v>
      </c>
      <c r="BJ350" t="s">
        <v>1024</v>
      </c>
      <c r="BK350" t="s">
        <v>294</v>
      </c>
      <c r="BL350" t="s">
        <v>1024</v>
      </c>
      <c r="BM350" t="s">
        <v>6929</v>
      </c>
      <c r="BN350" t="s">
        <v>74</v>
      </c>
      <c r="BO350" t="s">
        <v>1276</v>
      </c>
      <c r="BP350" t="s">
        <v>560</v>
      </c>
      <c r="BQ350" t="s">
        <v>561</v>
      </c>
      <c r="BR350" t="s">
        <v>108</v>
      </c>
      <c r="BS350" t="s">
        <v>7270</v>
      </c>
      <c r="BT350" t="str">
        <f>HYPERLINK("https%3A%2F%2Fwww.webofscience.com%2Fwos%2Fwoscc%2Ffull-record%2FWOS:000497821100001","View Full Record in Web of Science")</f>
        <v>View Full Record in Web of Science</v>
      </c>
    </row>
    <row r="351" spans="1:72" x14ac:dyDescent="0.15">
      <c r="A351" t="s">
        <v>133</v>
      </c>
      <c r="B351" t="s">
        <v>7271</v>
      </c>
      <c r="C351" t="s">
        <v>74</v>
      </c>
      <c r="D351" t="s">
        <v>74</v>
      </c>
      <c r="E351" t="s">
        <v>74</v>
      </c>
      <c r="F351" t="s">
        <v>7272</v>
      </c>
      <c r="G351" t="s">
        <v>74</v>
      </c>
      <c r="H351" t="s">
        <v>74</v>
      </c>
      <c r="I351" t="s">
        <v>7273</v>
      </c>
      <c r="J351" t="s">
        <v>7274</v>
      </c>
      <c r="K351" t="s">
        <v>74</v>
      </c>
      <c r="L351" t="s">
        <v>74</v>
      </c>
      <c r="M351" t="s">
        <v>80</v>
      </c>
      <c r="N351" t="s">
        <v>138</v>
      </c>
      <c r="O351" t="s">
        <v>74</v>
      </c>
      <c r="P351" t="s">
        <v>74</v>
      </c>
      <c r="Q351" t="s">
        <v>74</v>
      </c>
      <c r="R351" t="s">
        <v>74</v>
      </c>
      <c r="S351" t="s">
        <v>74</v>
      </c>
      <c r="T351" t="s">
        <v>7275</v>
      </c>
      <c r="U351" t="s">
        <v>7276</v>
      </c>
      <c r="V351" t="s">
        <v>7277</v>
      </c>
      <c r="W351" t="s">
        <v>7278</v>
      </c>
      <c r="X351" t="s">
        <v>7279</v>
      </c>
      <c r="Y351" t="s">
        <v>7280</v>
      </c>
      <c r="Z351" t="s">
        <v>7281</v>
      </c>
      <c r="AA351" t="s">
        <v>7282</v>
      </c>
      <c r="AB351" t="s">
        <v>7283</v>
      </c>
      <c r="AC351" t="s">
        <v>7284</v>
      </c>
      <c r="AD351" t="s">
        <v>7285</v>
      </c>
      <c r="AE351" t="s">
        <v>7286</v>
      </c>
      <c r="AF351" t="s">
        <v>74</v>
      </c>
      <c r="AG351">
        <v>233</v>
      </c>
      <c r="AH351">
        <v>41</v>
      </c>
      <c r="AI351">
        <v>46</v>
      </c>
      <c r="AJ351">
        <v>1</v>
      </c>
      <c r="AK351">
        <v>66</v>
      </c>
      <c r="AL351" t="s">
        <v>284</v>
      </c>
      <c r="AM351" t="s">
        <v>285</v>
      </c>
      <c r="AN351" t="s">
        <v>286</v>
      </c>
      <c r="AO351" t="s">
        <v>7287</v>
      </c>
      <c r="AP351" t="s">
        <v>7288</v>
      </c>
      <c r="AQ351" t="s">
        <v>74</v>
      </c>
      <c r="AR351" t="s">
        <v>7289</v>
      </c>
      <c r="AS351" t="s">
        <v>7290</v>
      </c>
      <c r="AT351" t="s">
        <v>7291</v>
      </c>
      <c r="AU351">
        <v>2019</v>
      </c>
      <c r="AV351">
        <v>217</v>
      </c>
      <c r="AW351" t="s">
        <v>74</v>
      </c>
      <c r="AX351" t="s">
        <v>74</v>
      </c>
      <c r="AY351" t="s">
        <v>74</v>
      </c>
      <c r="AZ351" t="s">
        <v>74</v>
      </c>
      <c r="BA351" t="s">
        <v>74</v>
      </c>
      <c r="BB351" t="s">
        <v>74</v>
      </c>
      <c r="BC351" t="s">
        <v>74</v>
      </c>
      <c r="BD351">
        <v>103704</v>
      </c>
      <c r="BE351" t="s">
        <v>7292</v>
      </c>
      <c r="BF351" t="str">
        <f>HYPERLINK("http://dx.doi.org/10.1016/j.marchem.2019.103704","http://dx.doi.org/10.1016/j.marchem.2019.103704")</f>
        <v>http://dx.doi.org/10.1016/j.marchem.2019.103704</v>
      </c>
      <c r="BG351" t="s">
        <v>74</v>
      </c>
      <c r="BH351" t="s">
        <v>74</v>
      </c>
      <c r="BI351">
        <v>16</v>
      </c>
      <c r="BJ351" t="s">
        <v>7293</v>
      </c>
      <c r="BK351" t="s">
        <v>294</v>
      </c>
      <c r="BL351" t="s">
        <v>7294</v>
      </c>
      <c r="BM351" t="s">
        <v>7295</v>
      </c>
      <c r="BN351" t="s">
        <v>74</v>
      </c>
      <c r="BO351" t="s">
        <v>7296</v>
      </c>
      <c r="BP351" t="s">
        <v>74</v>
      </c>
      <c r="BQ351" t="s">
        <v>74</v>
      </c>
      <c r="BR351" t="s">
        <v>108</v>
      </c>
      <c r="BS351" t="s">
        <v>7297</v>
      </c>
      <c r="BT351" t="str">
        <f>HYPERLINK("https%3A%2F%2Fwww.webofscience.com%2Fwos%2Fwoscc%2Ffull-record%2FWOS:000500377500002","View Full Record in Web of Science")</f>
        <v>View Full Record in Web of Science</v>
      </c>
    </row>
    <row r="352" spans="1:72" x14ac:dyDescent="0.15">
      <c r="A352" t="s">
        <v>133</v>
      </c>
      <c r="B352" t="s">
        <v>7298</v>
      </c>
      <c r="C352" t="s">
        <v>74</v>
      </c>
      <c r="D352" t="s">
        <v>74</v>
      </c>
      <c r="E352" t="s">
        <v>74</v>
      </c>
      <c r="F352" t="s">
        <v>7299</v>
      </c>
      <c r="G352" t="s">
        <v>74</v>
      </c>
      <c r="H352" t="s">
        <v>74</v>
      </c>
      <c r="I352" t="s">
        <v>7300</v>
      </c>
      <c r="J352" t="s">
        <v>7274</v>
      </c>
      <c r="K352" t="s">
        <v>74</v>
      </c>
      <c r="L352" t="s">
        <v>74</v>
      </c>
      <c r="M352" t="s">
        <v>80</v>
      </c>
      <c r="N352" t="s">
        <v>138</v>
      </c>
      <c r="O352" t="s">
        <v>74</v>
      </c>
      <c r="P352" t="s">
        <v>74</v>
      </c>
      <c r="Q352" t="s">
        <v>74</v>
      </c>
      <c r="R352" t="s">
        <v>74</v>
      </c>
      <c r="S352" t="s">
        <v>74</v>
      </c>
      <c r="T352" t="s">
        <v>74</v>
      </c>
      <c r="U352" t="s">
        <v>7301</v>
      </c>
      <c r="V352" t="s">
        <v>7302</v>
      </c>
      <c r="W352" t="s">
        <v>7303</v>
      </c>
      <c r="X352" t="s">
        <v>7304</v>
      </c>
      <c r="Y352" t="s">
        <v>7305</v>
      </c>
      <c r="Z352" t="s">
        <v>7306</v>
      </c>
      <c r="AA352" t="s">
        <v>74</v>
      </c>
      <c r="AB352" t="s">
        <v>74</v>
      </c>
      <c r="AC352" t="s">
        <v>7307</v>
      </c>
      <c r="AD352" t="s">
        <v>1522</v>
      </c>
      <c r="AE352" t="s">
        <v>7308</v>
      </c>
      <c r="AF352" t="s">
        <v>74</v>
      </c>
      <c r="AG352">
        <v>77</v>
      </c>
      <c r="AH352">
        <v>10</v>
      </c>
      <c r="AI352">
        <v>10</v>
      </c>
      <c r="AJ352">
        <v>3</v>
      </c>
      <c r="AK352">
        <v>19</v>
      </c>
      <c r="AL352" t="s">
        <v>284</v>
      </c>
      <c r="AM352" t="s">
        <v>285</v>
      </c>
      <c r="AN352" t="s">
        <v>286</v>
      </c>
      <c r="AO352" t="s">
        <v>7287</v>
      </c>
      <c r="AP352" t="s">
        <v>7288</v>
      </c>
      <c r="AQ352" t="s">
        <v>74</v>
      </c>
      <c r="AR352" t="s">
        <v>7289</v>
      </c>
      <c r="AS352" t="s">
        <v>7290</v>
      </c>
      <c r="AT352" t="s">
        <v>7291</v>
      </c>
      <c r="AU352">
        <v>2019</v>
      </c>
      <c r="AV352">
        <v>217</v>
      </c>
      <c r="AW352" t="s">
        <v>74</v>
      </c>
      <c r="AX352" t="s">
        <v>74</v>
      </c>
      <c r="AY352" t="s">
        <v>74</v>
      </c>
      <c r="AZ352" t="s">
        <v>74</v>
      </c>
      <c r="BA352" t="s">
        <v>74</v>
      </c>
      <c r="BB352" t="s">
        <v>74</v>
      </c>
      <c r="BC352" t="s">
        <v>74</v>
      </c>
      <c r="BD352">
        <v>103692</v>
      </c>
      <c r="BE352" t="s">
        <v>7309</v>
      </c>
      <c r="BF352" t="str">
        <f>HYPERLINK("http://dx.doi.org/10.1016/j.marchem.2019.103692","http://dx.doi.org/10.1016/j.marchem.2019.103692")</f>
        <v>http://dx.doi.org/10.1016/j.marchem.2019.103692</v>
      </c>
      <c r="BG352" t="s">
        <v>74</v>
      </c>
      <c r="BH352" t="s">
        <v>74</v>
      </c>
      <c r="BI352">
        <v>16</v>
      </c>
      <c r="BJ352" t="s">
        <v>7293</v>
      </c>
      <c r="BK352" t="s">
        <v>294</v>
      </c>
      <c r="BL352" t="s">
        <v>7294</v>
      </c>
      <c r="BM352" t="s">
        <v>7295</v>
      </c>
      <c r="BN352" t="s">
        <v>74</v>
      </c>
      <c r="BO352" t="s">
        <v>74</v>
      </c>
      <c r="BP352" t="s">
        <v>74</v>
      </c>
      <c r="BQ352" t="s">
        <v>74</v>
      </c>
      <c r="BR352" t="s">
        <v>108</v>
      </c>
      <c r="BS352" t="s">
        <v>7310</v>
      </c>
      <c r="BT352" t="str">
        <f>HYPERLINK("https%3A%2F%2Fwww.webofscience.com%2Fwos%2Fwoscc%2Ffull-record%2FWOS:000500377500001","View Full Record in Web of Science")</f>
        <v>View Full Record in Web of Science</v>
      </c>
    </row>
    <row r="353" spans="1:72" x14ac:dyDescent="0.15">
      <c r="A353" t="s">
        <v>133</v>
      </c>
      <c r="B353" t="s">
        <v>7311</v>
      </c>
      <c r="C353" t="s">
        <v>74</v>
      </c>
      <c r="D353" t="s">
        <v>74</v>
      </c>
      <c r="E353" t="s">
        <v>74</v>
      </c>
      <c r="F353" t="s">
        <v>7312</v>
      </c>
      <c r="G353" t="s">
        <v>74</v>
      </c>
      <c r="H353" t="s">
        <v>74</v>
      </c>
      <c r="I353" t="s">
        <v>7313</v>
      </c>
      <c r="J353" t="s">
        <v>7314</v>
      </c>
      <c r="K353" t="s">
        <v>74</v>
      </c>
      <c r="L353" t="s">
        <v>74</v>
      </c>
      <c r="M353" t="s">
        <v>80</v>
      </c>
      <c r="N353" t="s">
        <v>138</v>
      </c>
      <c r="O353" t="s">
        <v>74</v>
      </c>
      <c r="P353" t="s">
        <v>74</v>
      </c>
      <c r="Q353" t="s">
        <v>74</v>
      </c>
      <c r="R353" t="s">
        <v>74</v>
      </c>
      <c r="S353" t="s">
        <v>74</v>
      </c>
      <c r="T353" t="s">
        <v>7315</v>
      </c>
      <c r="U353" t="s">
        <v>7316</v>
      </c>
      <c r="V353" t="s">
        <v>7317</v>
      </c>
      <c r="W353" t="s">
        <v>7318</v>
      </c>
      <c r="X353" t="s">
        <v>7319</v>
      </c>
      <c r="Y353" t="s">
        <v>7320</v>
      </c>
      <c r="Z353" t="s">
        <v>7321</v>
      </c>
      <c r="AA353" t="s">
        <v>74</v>
      </c>
      <c r="AB353" t="s">
        <v>7322</v>
      </c>
      <c r="AC353" t="s">
        <v>7323</v>
      </c>
      <c r="AD353" t="s">
        <v>7324</v>
      </c>
      <c r="AE353" t="s">
        <v>7325</v>
      </c>
      <c r="AF353" t="s">
        <v>74</v>
      </c>
      <c r="AG353">
        <v>100</v>
      </c>
      <c r="AH353">
        <v>28</v>
      </c>
      <c r="AI353">
        <v>29</v>
      </c>
      <c r="AJ353">
        <v>0</v>
      </c>
      <c r="AK353">
        <v>0</v>
      </c>
      <c r="AL353" t="s">
        <v>96</v>
      </c>
      <c r="AM353" t="s">
        <v>97</v>
      </c>
      <c r="AN353" t="s">
        <v>3769</v>
      </c>
      <c r="AO353" t="s">
        <v>7326</v>
      </c>
      <c r="AP353" t="s">
        <v>7327</v>
      </c>
      <c r="AQ353" t="s">
        <v>74</v>
      </c>
      <c r="AR353" t="s">
        <v>7328</v>
      </c>
      <c r="AS353" t="s">
        <v>7329</v>
      </c>
      <c r="AT353" t="s">
        <v>7291</v>
      </c>
      <c r="AU353">
        <v>2019</v>
      </c>
      <c r="AV353">
        <v>886</v>
      </c>
      <c r="AW353">
        <v>1</v>
      </c>
      <c r="AX353" t="s">
        <v>74</v>
      </c>
      <c r="AY353" t="s">
        <v>74</v>
      </c>
      <c r="AZ353" t="s">
        <v>74</v>
      </c>
      <c r="BA353" t="s">
        <v>74</v>
      </c>
      <c r="BB353" t="s">
        <v>74</v>
      </c>
      <c r="BC353" t="s">
        <v>74</v>
      </c>
      <c r="BD353">
        <v>41</v>
      </c>
      <c r="BE353" t="s">
        <v>7330</v>
      </c>
      <c r="BF353" t="str">
        <f>HYPERLINK("http://dx.doi.org/10.3847/1538-4357/ab498a","http://dx.doi.org/10.3847/1538-4357/ab498a")</f>
        <v>http://dx.doi.org/10.3847/1538-4357/ab498a</v>
      </c>
      <c r="BG353" t="s">
        <v>74</v>
      </c>
      <c r="BH353" t="s">
        <v>74</v>
      </c>
      <c r="BI353">
        <v>19</v>
      </c>
      <c r="BJ353" t="s">
        <v>1571</v>
      </c>
      <c r="BK353" t="s">
        <v>294</v>
      </c>
      <c r="BL353" t="s">
        <v>1571</v>
      </c>
      <c r="BM353" t="s">
        <v>7331</v>
      </c>
      <c r="BN353" t="s">
        <v>74</v>
      </c>
      <c r="BO353" t="s">
        <v>4930</v>
      </c>
      <c r="BP353" t="s">
        <v>74</v>
      </c>
      <c r="BQ353" t="s">
        <v>74</v>
      </c>
      <c r="BR353" t="s">
        <v>108</v>
      </c>
      <c r="BS353" t="s">
        <v>7332</v>
      </c>
      <c r="BT353" t="str">
        <f>HYPERLINK("https%3A%2F%2Fwww.webofscience.com%2Fwos%2Fwoscc%2Ffull-record%2FWOS:000499359800001","View Full Record in Web of Science")</f>
        <v>View Full Record in Web of Science</v>
      </c>
    </row>
    <row r="354" spans="1:72" x14ac:dyDescent="0.15">
      <c r="A354" t="s">
        <v>133</v>
      </c>
      <c r="B354" t="s">
        <v>7333</v>
      </c>
      <c r="C354" t="s">
        <v>74</v>
      </c>
      <c r="D354" t="s">
        <v>74</v>
      </c>
      <c r="E354" t="s">
        <v>74</v>
      </c>
      <c r="F354" t="s">
        <v>7334</v>
      </c>
      <c r="G354" t="s">
        <v>74</v>
      </c>
      <c r="H354" t="s">
        <v>74</v>
      </c>
      <c r="I354" t="s">
        <v>7335</v>
      </c>
      <c r="J354" t="s">
        <v>1359</v>
      </c>
      <c r="K354" t="s">
        <v>74</v>
      </c>
      <c r="L354" t="s">
        <v>74</v>
      </c>
      <c r="M354" t="s">
        <v>80</v>
      </c>
      <c r="N354" t="s">
        <v>138</v>
      </c>
      <c r="O354" t="s">
        <v>74</v>
      </c>
      <c r="P354" t="s">
        <v>74</v>
      </c>
      <c r="Q354" t="s">
        <v>74</v>
      </c>
      <c r="R354" t="s">
        <v>74</v>
      </c>
      <c r="S354" t="s">
        <v>74</v>
      </c>
      <c r="T354" t="s">
        <v>7336</v>
      </c>
      <c r="U354" t="s">
        <v>7337</v>
      </c>
      <c r="V354" t="s">
        <v>7338</v>
      </c>
      <c r="W354" t="s">
        <v>7339</v>
      </c>
      <c r="X354" t="s">
        <v>7340</v>
      </c>
      <c r="Y354" t="s">
        <v>7341</v>
      </c>
      <c r="Z354" t="s">
        <v>7342</v>
      </c>
      <c r="AA354" t="s">
        <v>7343</v>
      </c>
      <c r="AB354" t="s">
        <v>7344</v>
      </c>
      <c r="AC354" t="s">
        <v>7345</v>
      </c>
      <c r="AD354" t="s">
        <v>7345</v>
      </c>
      <c r="AE354" t="s">
        <v>7346</v>
      </c>
      <c r="AF354" t="s">
        <v>74</v>
      </c>
      <c r="AG354">
        <v>69</v>
      </c>
      <c r="AH354">
        <v>6</v>
      </c>
      <c r="AI354">
        <v>6</v>
      </c>
      <c r="AJ354">
        <v>0</v>
      </c>
      <c r="AK354">
        <v>5</v>
      </c>
      <c r="AL354" t="s">
        <v>1372</v>
      </c>
      <c r="AM354" t="s">
        <v>1373</v>
      </c>
      <c r="AN354" t="s">
        <v>1374</v>
      </c>
      <c r="AO354" t="s">
        <v>1375</v>
      </c>
      <c r="AP354" t="s">
        <v>1376</v>
      </c>
      <c r="AQ354" t="s">
        <v>74</v>
      </c>
      <c r="AR354" t="s">
        <v>2616</v>
      </c>
      <c r="AS354" t="s">
        <v>1378</v>
      </c>
      <c r="AT354" t="s">
        <v>7291</v>
      </c>
      <c r="AU354">
        <v>2019</v>
      </c>
      <c r="AV354">
        <v>38</v>
      </c>
      <c r="AW354" t="s">
        <v>74</v>
      </c>
      <c r="AX354" t="s">
        <v>74</v>
      </c>
      <c r="AY354" t="s">
        <v>74</v>
      </c>
      <c r="AZ354" t="s">
        <v>74</v>
      </c>
      <c r="BA354" t="s">
        <v>74</v>
      </c>
      <c r="BB354" t="s">
        <v>74</v>
      </c>
      <c r="BC354" t="s">
        <v>74</v>
      </c>
      <c r="BD354">
        <v>3379</v>
      </c>
      <c r="BE354" t="s">
        <v>7347</v>
      </c>
      <c r="BF354" t="str">
        <f>HYPERLINK("http://dx.doi.org/10.33265/polar.v38.3379","http://dx.doi.org/10.33265/polar.v38.3379")</f>
        <v>http://dx.doi.org/10.33265/polar.v38.3379</v>
      </c>
      <c r="BG354" t="s">
        <v>74</v>
      </c>
      <c r="BH354" t="s">
        <v>74</v>
      </c>
      <c r="BI354">
        <v>13</v>
      </c>
      <c r="BJ354" t="s">
        <v>1381</v>
      </c>
      <c r="BK354" t="s">
        <v>294</v>
      </c>
      <c r="BL354" t="s">
        <v>1382</v>
      </c>
      <c r="BM354" t="s">
        <v>7348</v>
      </c>
      <c r="BN354" t="s">
        <v>74</v>
      </c>
      <c r="BO354" t="s">
        <v>2934</v>
      </c>
      <c r="BP354" t="s">
        <v>74</v>
      </c>
      <c r="BQ354" t="s">
        <v>74</v>
      </c>
      <c r="BR354" t="s">
        <v>108</v>
      </c>
      <c r="BS354" t="s">
        <v>7349</v>
      </c>
      <c r="BT354" t="str">
        <f>HYPERLINK("https%3A%2F%2Fwww.webofscience.com%2Fwos%2Fwoscc%2Ffull-record%2FWOS:000500248000001","View Full Record in Web of Science")</f>
        <v>View Full Record in Web of Science</v>
      </c>
    </row>
    <row r="355" spans="1:72" x14ac:dyDescent="0.15">
      <c r="A355" t="s">
        <v>133</v>
      </c>
      <c r="B355" t="s">
        <v>7350</v>
      </c>
      <c r="C355" t="s">
        <v>74</v>
      </c>
      <c r="D355" t="s">
        <v>74</v>
      </c>
      <c r="E355" t="s">
        <v>74</v>
      </c>
      <c r="F355" t="s">
        <v>7351</v>
      </c>
      <c r="G355" t="s">
        <v>74</v>
      </c>
      <c r="H355" t="s">
        <v>74</v>
      </c>
      <c r="I355" t="s">
        <v>7352</v>
      </c>
      <c r="J355" t="s">
        <v>2088</v>
      </c>
      <c r="K355" t="s">
        <v>74</v>
      </c>
      <c r="L355" t="s">
        <v>74</v>
      </c>
      <c r="M355" t="s">
        <v>80</v>
      </c>
      <c r="N355" t="s">
        <v>138</v>
      </c>
      <c r="O355" t="s">
        <v>74</v>
      </c>
      <c r="P355" t="s">
        <v>74</v>
      </c>
      <c r="Q355" t="s">
        <v>74</v>
      </c>
      <c r="R355" t="s">
        <v>74</v>
      </c>
      <c r="S355" t="s">
        <v>74</v>
      </c>
      <c r="T355" t="s">
        <v>74</v>
      </c>
      <c r="U355" t="s">
        <v>7353</v>
      </c>
      <c r="V355" t="s">
        <v>7354</v>
      </c>
      <c r="W355" t="s">
        <v>7355</v>
      </c>
      <c r="X355" t="s">
        <v>7356</v>
      </c>
      <c r="Y355" t="s">
        <v>7357</v>
      </c>
      <c r="Z355" t="s">
        <v>7358</v>
      </c>
      <c r="AA355" t="s">
        <v>74</v>
      </c>
      <c r="AB355" t="s">
        <v>7359</v>
      </c>
      <c r="AC355" t="s">
        <v>7360</v>
      </c>
      <c r="AD355" t="s">
        <v>7361</v>
      </c>
      <c r="AE355" t="s">
        <v>7362</v>
      </c>
      <c r="AF355" t="s">
        <v>74</v>
      </c>
      <c r="AG355">
        <v>55</v>
      </c>
      <c r="AH355">
        <v>11</v>
      </c>
      <c r="AI355">
        <v>13</v>
      </c>
      <c r="AJ355">
        <v>0</v>
      </c>
      <c r="AK355">
        <v>1</v>
      </c>
      <c r="AL355" t="s">
        <v>2099</v>
      </c>
      <c r="AM355" t="s">
        <v>2100</v>
      </c>
      <c r="AN355" t="s">
        <v>2101</v>
      </c>
      <c r="AO355" t="s">
        <v>2102</v>
      </c>
      <c r="AP355" t="s">
        <v>2103</v>
      </c>
      <c r="AQ355" t="s">
        <v>74</v>
      </c>
      <c r="AR355" t="s">
        <v>2088</v>
      </c>
      <c r="AS355" t="s">
        <v>2104</v>
      </c>
      <c r="AT355" t="s">
        <v>7291</v>
      </c>
      <c r="AU355">
        <v>2019</v>
      </c>
      <c r="AV355">
        <v>13</v>
      </c>
      <c r="AW355">
        <v>11</v>
      </c>
      <c r="AX355" t="s">
        <v>74</v>
      </c>
      <c r="AY355" t="s">
        <v>74</v>
      </c>
      <c r="AZ355" t="s">
        <v>74</v>
      </c>
      <c r="BA355" t="s">
        <v>74</v>
      </c>
      <c r="BB355">
        <v>3061</v>
      </c>
      <c r="BC355">
        <v>3075</v>
      </c>
      <c r="BD355" t="s">
        <v>74</v>
      </c>
      <c r="BE355" t="s">
        <v>7363</v>
      </c>
      <c r="BF355" t="str">
        <f>HYPERLINK("http://dx.doi.org/10.5194/tc-13-3061-2019","http://dx.doi.org/10.5194/tc-13-3061-2019")</f>
        <v>http://dx.doi.org/10.5194/tc-13-3061-2019</v>
      </c>
      <c r="BG355" t="s">
        <v>74</v>
      </c>
      <c r="BH355" t="s">
        <v>74</v>
      </c>
      <c r="BI355">
        <v>15</v>
      </c>
      <c r="BJ355" t="s">
        <v>462</v>
      </c>
      <c r="BK355" t="s">
        <v>294</v>
      </c>
      <c r="BL355" t="s">
        <v>463</v>
      </c>
      <c r="BM355" t="s">
        <v>7364</v>
      </c>
      <c r="BN355" t="s">
        <v>74</v>
      </c>
      <c r="BO355" t="s">
        <v>1276</v>
      </c>
      <c r="BP355" t="s">
        <v>74</v>
      </c>
      <c r="BQ355" t="s">
        <v>74</v>
      </c>
      <c r="BR355" t="s">
        <v>108</v>
      </c>
      <c r="BS355" t="s">
        <v>7365</v>
      </c>
      <c r="BT355" t="str">
        <f>HYPERLINK("https%3A%2F%2Fwww.webofscience.com%2Fwos%2Fwoscc%2Ffull-record%2FWOS:000498711200001","View Full Record in Web of Science")</f>
        <v>View Full Record in Web of Science</v>
      </c>
    </row>
    <row r="356" spans="1:72" x14ac:dyDescent="0.15">
      <c r="A356" t="s">
        <v>133</v>
      </c>
      <c r="B356" t="s">
        <v>7366</v>
      </c>
      <c r="C356" t="s">
        <v>74</v>
      </c>
      <c r="D356" t="s">
        <v>74</v>
      </c>
      <c r="E356" t="s">
        <v>74</v>
      </c>
      <c r="F356" t="s">
        <v>7367</v>
      </c>
      <c r="G356" t="s">
        <v>74</v>
      </c>
      <c r="H356" t="s">
        <v>74</v>
      </c>
      <c r="I356" t="s">
        <v>7368</v>
      </c>
      <c r="J356" t="s">
        <v>7369</v>
      </c>
      <c r="K356" t="s">
        <v>74</v>
      </c>
      <c r="L356" t="s">
        <v>74</v>
      </c>
      <c r="M356" t="s">
        <v>80</v>
      </c>
      <c r="N356" t="s">
        <v>138</v>
      </c>
      <c r="O356" t="s">
        <v>74</v>
      </c>
      <c r="P356" t="s">
        <v>74</v>
      </c>
      <c r="Q356" t="s">
        <v>74</v>
      </c>
      <c r="R356" t="s">
        <v>74</v>
      </c>
      <c r="S356" t="s">
        <v>74</v>
      </c>
      <c r="T356" t="s">
        <v>7370</v>
      </c>
      <c r="U356" t="s">
        <v>7371</v>
      </c>
      <c r="V356" t="s">
        <v>7372</v>
      </c>
      <c r="W356" t="s">
        <v>7373</v>
      </c>
      <c r="X356" t="s">
        <v>7374</v>
      </c>
      <c r="Y356" t="s">
        <v>7375</v>
      </c>
      <c r="Z356" t="s">
        <v>7376</v>
      </c>
      <c r="AA356" t="s">
        <v>74</v>
      </c>
      <c r="AB356" t="s">
        <v>7377</v>
      </c>
      <c r="AC356" t="s">
        <v>7378</v>
      </c>
      <c r="AD356" t="s">
        <v>7379</v>
      </c>
      <c r="AE356" t="s">
        <v>7380</v>
      </c>
      <c r="AF356" t="s">
        <v>74</v>
      </c>
      <c r="AG356">
        <v>80</v>
      </c>
      <c r="AH356">
        <v>11</v>
      </c>
      <c r="AI356">
        <v>11</v>
      </c>
      <c r="AJ356">
        <v>0</v>
      </c>
      <c r="AK356">
        <v>8</v>
      </c>
      <c r="AL356" t="s">
        <v>1264</v>
      </c>
      <c r="AM356" t="s">
        <v>1265</v>
      </c>
      <c r="AN356" t="s">
        <v>1266</v>
      </c>
      <c r="AO356" t="s">
        <v>7381</v>
      </c>
      <c r="AP356" t="s">
        <v>7382</v>
      </c>
      <c r="AQ356" t="s">
        <v>74</v>
      </c>
      <c r="AR356" t="s">
        <v>7383</v>
      </c>
      <c r="AS356" t="s">
        <v>7384</v>
      </c>
      <c r="AT356" t="s">
        <v>3457</v>
      </c>
      <c r="AU356">
        <v>2019</v>
      </c>
      <c r="AV356">
        <v>124</v>
      </c>
      <c r="AW356">
        <v>11</v>
      </c>
      <c r="AX356" t="s">
        <v>74</v>
      </c>
      <c r="AY356" t="s">
        <v>74</v>
      </c>
      <c r="AZ356" t="s">
        <v>74</v>
      </c>
      <c r="BA356" t="s">
        <v>74</v>
      </c>
      <c r="BB356">
        <v>2945</v>
      </c>
      <c r="BC356">
        <v>2969</v>
      </c>
      <c r="BD356" t="s">
        <v>74</v>
      </c>
      <c r="BE356" t="s">
        <v>7385</v>
      </c>
      <c r="BF356" t="str">
        <f>HYPERLINK("http://dx.doi.org/10.1029/2019JE005940","http://dx.doi.org/10.1029/2019JE005940")</f>
        <v>http://dx.doi.org/10.1029/2019JE005940</v>
      </c>
      <c r="BG356" t="s">
        <v>74</v>
      </c>
      <c r="BH356" t="s">
        <v>6368</v>
      </c>
      <c r="BI356">
        <v>25</v>
      </c>
      <c r="BJ356" t="s">
        <v>1067</v>
      </c>
      <c r="BK356" t="s">
        <v>294</v>
      </c>
      <c r="BL356" t="s">
        <v>1067</v>
      </c>
      <c r="BM356" t="s">
        <v>7386</v>
      </c>
      <c r="BN356" t="s">
        <v>74</v>
      </c>
      <c r="BO356" t="s">
        <v>74</v>
      </c>
      <c r="BP356" t="s">
        <v>74</v>
      </c>
      <c r="BQ356" t="s">
        <v>74</v>
      </c>
      <c r="BR356" t="s">
        <v>108</v>
      </c>
      <c r="BS356" t="s">
        <v>7387</v>
      </c>
      <c r="BT356" t="str">
        <f>HYPERLINK("https%3A%2F%2Fwww.webofscience.com%2Fwos%2Fwoscc%2Ffull-record%2FWOS:000497266900001","View Full Record in Web of Science")</f>
        <v>View Full Record in Web of Science</v>
      </c>
    </row>
    <row r="357" spans="1:72" x14ac:dyDescent="0.15">
      <c r="A357" t="s">
        <v>133</v>
      </c>
      <c r="B357" t="s">
        <v>7388</v>
      </c>
      <c r="C357" t="s">
        <v>74</v>
      </c>
      <c r="D357" t="s">
        <v>74</v>
      </c>
      <c r="E357" t="s">
        <v>74</v>
      </c>
      <c r="F357" t="s">
        <v>7389</v>
      </c>
      <c r="G357" t="s">
        <v>74</v>
      </c>
      <c r="H357" t="s">
        <v>74</v>
      </c>
      <c r="I357" t="s">
        <v>7390</v>
      </c>
      <c r="J357" t="s">
        <v>2026</v>
      </c>
      <c r="K357" t="s">
        <v>74</v>
      </c>
      <c r="L357" t="s">
        <v>74</v>
      </c>
      <c r="M357" t="s">
        <v>80</v>
      </c>
      <c r="N357" t="s">
        <v>7391</v>
      </c>
      <c r="O357" t="s">
        <v>74</v>
      </c>
      <c r="P357" t="s">
        <v>74</v>
      </c>
      <c r="Q357" t="s">
        <v>74</v>
      </c>
      <c r="R357" t="s">
        <v>74</v>
      </c>
      <c r="S357" t="s">
        <v>74</v>
      </c>
      <c r="T357" t="s">
        <v>74</v>
      </c>
      <c r="U357" t="s">
        <v>74</v>
      </c>
      <c r="V357" t="s">
        <v>74</v>
      </c>
      <c r="W357" t="s">
        <v>74</v>
      </c>
      <c r="X357" t="s">
        <v>74</v>
      </c>
      <c r="Y357" t="s">
        <v>74</v>
      </c>
      <c r="Z357" t="s">
        <v>74</v>
      </c>
      <c r="AA357" t="s">
        <v>7392</v>
      </c>
      <c r="AB357" t="s">
        <v>7393</v>
      </c>
      <c r="AC357" t="s">
        <v>74</v>
      </c>
      <c r="AD357" t="s">
        <v>74</v>
      </c>
      <c r="AE357" t="s">
        <v>74</v>
      </c>
      <c r="AF357" t="s">
        <v>74</v>
      </c>
      <c r="AG357">
        <v>1</v>
      </c>
      <c r="AH357">
        <v>0</v>
      </c>
      <c r="AI357">
        <v>1</v>
      </c>
      <c r="AJ357">
        <v>1</v>
      </c>
      <c r="AK357">
        <v>21</v>
      </c>
      <c r="AL357" t="s">
        <v>2038</v>
      </c>
      <c r="AM357" t="s">
        <v>1730</v>
      </c>
      <c r="AN357" t="s">
        <v>2039</v>
      </c>
      <c r="AO357" t="s">
        <v>2040</v>
      </c>
      <c r="AP357" t="s">
        <v>74</v>
      </c>
      <c r="AQ357" t="s">
        <v>74</v>
      </c>
      <c r="AR357" t="s">
        <v>2041</v>
      </c>
      <c r="AS357" t="s">
        <v>2042</v>
      </c>
      <c r="AT357" t="s">
        <v>7291</v>
      </c>
      <c r="AU357">
        <v>2019</v>
      </c>
      <c r="AV357">
        <v>10</v>
      </c>
      <c r="AW357" t="s">
        <v>74</v>
      </c>
      <c r="AX357" t="s">
        <v>74</v>
      </c>
      <c r="AY357" t="s">
        <v>74</v>
      </c>
      <c r="AZ357" t="s">
        <v>74</v>
      </c>
      <c r="BA357" t="s">
        <v>74</v>
      </c>
      <c r="BB357" t="s">
        <v>74</v>
      </c>
      <c r="BC357" t="s">
        <v>74</v>
      </c>
      <c r="BD357">
        <v>5340</v>
      </c>
      <c r="BE357" t="s">
        <v>7394</v>
      </c>
      <c r="BF357" t="str">
        <f>HYPERLINK("http://dx.doi.org/10.1038/s41467-019-13390-0","http://dx.doi.org/10.1038/s41467-019-13390-0")</f>
        <v>http://dx.doi.org/10.1038/s41467-019-13390-0</v>
      </c>
      <c r="BG357" t="s">
        <v>74</v>
      </c>
      <c r="BH357" t="s">
        <v>74</v>
      </c>
      <c r="BI357">
        <v>1</v>
      </c>
      <c r="BJ357" t="s">
        <v>1245</v>
      </c>
      <c r="BK357" t="s">
        <v>294</v>
      </c>
      <c r="BL357" t="s">
        <v>1246</v>
      </c>
      <c r="BM357" t="s">
        <v>7395</v>
      </c>
      <c r="BN357">
        <v>31745095</v>
      </c>
      <c r="BO357" t="s">
        <v>2934</v>
      </c>
      <c r="BP357" t="s">
        <v>74</v>
      </c>
      <c r="BQ357" t="s">
        <v>74</v>
      </c>
      <c r="BR357" t="s">
        <v>108</v>
      </c>
      <c r="BS357" t="s">
        <v>7396</v>
      </c>
      <c r="BT357" t="str">
        <f>HYPERLINK("https%3A%2F%2Fwww.webofscience.com%2Fwos%2Fwoscc%2Ffull-record%2FWOS:000497696300001","View Full Record in Web of Science")</f>
        <v>View Full Record in Web of Science</v>
      </c>
    </row>
    <row r="358" spans="1:72" x14ac:dyDescent="0.15">
      <c r="A358" t="s">
        <v>133</v>
      </c>
      <c r="B358" t="s">
        <v>7397</v>
      </c>
      <c r="C358" t="s">
        <v>74</v>
      </c>
      <c r="D358" t="s">
        <v>74</v>
      </c>
      <c r="E358" t="s">
        <v>74</v>
      </c>
      <c r="F358" t="s">
        <v>7398</v>
      </c>
      <c r="G358" t="s">
        <v>74</v>
      </c>
      <c r="H358" t="s">
        <v>74</v>
      </c>
      <c r="I358" t="s">
        <v>7399</v>
      </c>
      <c r="J358" t="s">
        <v>2026</v>
      </c>
      <c r="K358" t="s">
        <v>74</v>
      </c>
      <c r="L358" t="s">
        <v>74</v>
      </c>
      <c r="M358" t="s">
        <v>80</v>
      </c>
      <c r="N358" t="s">
        <v>138</v>
      </c>
      <c r="O358" t="s">
        <v>74</v>
      </c>
      <c r="P358" t="s">
        <v>74</v>
      </c>
      <c r="Q358" t="s">
        <v>74</v>
      </c>
      <c r="R358" t="s">
        <v>74</v>
      </c>
      <c r="S358" t="s">
        <v>74</v>
      </c>
      <c r="T358" t="s">
        <v>74</v>
      </c>
      <c r="U358" t="s">
        <v>7400</v>
      </c>
      <c r="V358" t="s">
        <v>7401</v>
      </c>
      <c r="W358" t="s">
        <v>7402</v>
      </c>
      <c r="X358" t="s">
        <v>7403</v>
      </c>
      <c r="Y358" t="s">
        <v>7404</v>
      </c>
      <c r="Z358" t="s">
        <v>7405</v>
      </c>
      <c r="AA358" t="s">
        <v>7406</v>
      </c>
      <c r="AB358" t="s">
        <v>7407</v>
      </c>
      <c r="AC358" t="s">
        <v>74</v>
      </c>
      <c r="AD358" t="s">
        <v>74</v>
      </c>
      <c r="AE358" t="s">
        <v>74</v>
      </c>
      <c r="AF358" t="s">
        <v>74</v>
      </c>
      <c r="AG358">
        <v>81</v>
      </c>
      <c r="AH358">
        <v>25</v>
      </c>
      <c r="AI358">
        <v>28</v>
      </c>
      <c r="AJ358">
        <v>2</v>
      </c>
      <c r="AK358">
        <v>29</v>
      </c>
      <c r="AL358" t="s">
        <v>2038</v>
      </c>
      <c r="AM358" t="s">
        <v>1730</v>
      </c>
      <c r="AN358" t="s">
        <v>2039</v>
      </c>
      <c r="AO358" t="s">
        <v>2040</v>
      </c>
      <c r="AP358" t="s">
        <v>74</v>
      </c>
      <c r="AQ358" t="s">
        <v>74</v>
      </c>
      <c r="AR358" t="s">
        <v>2041</v>
      </c>
      <c r="AS358" t="s">
        <v>2042</v>
      </c>
      <c r="AT358" t="s">
        <v>7291</v>
      </c>
      <c r="AU358">
        <v>2019</v>
      </c>
      <c r="AV358">
        <v>10</v>
      </c>
      <c r="AW358" t="s">
        <v>74</v>
      </c>
      <c r="AX358" t="s">
        <v>74</v>
      </c>
      <c r="AY358" t="s">
        <v>74</v>
      </c>
      <c r="AZ358" t="s">
        <v>74</v>
      </c>
      <c r="BA358" t="s">
        <v>74</v>
      </c>
      <c r="BB358" t="s">
        <v>74</v>
      </c>
      <c r="BC358" t="s">
        <v>74</v>
      </c>
      <c r="BD358">
        <v>5261</v>
      </c>
      <c r="BE358" t="s">
        <v>7408</v>
      </c>
      <c r="BF358" t="str">
        <f>HYPERLINK("http://dx.doi.org/10.1038/s41467-019-13231-0","http://dx.doi.org/10.1038/s41467-019-13231-0")</f>
        <v>http://dx.doi.org/10.1038/s41467-019-13231-0</v>
      </c>
      <c r="BG358" t="s">
        <v>74</v>
      </c>
      <c r="BH358" t="s">
        <v>74</v>
      </c>
      <c r="BI358">
        <v>10</v>
      </c>
      <c r="BJ358" t="s">
        <v>1245</v>
      </c>
      <c r="BK358" t="s">
        <v>294</v>
      </c>
      <c r="BL358" t="s">
        <v>1246</v>
      </c>
      <c r="BM358" t="s">
        <v>7409</v>
      </c>
      <c r="BN358">
        <v>31748607</v>
      </c>
      <c r="BO358" t="s">
        <v>1791</v>
      </c>
      <c r="BP358" t="s">
        <v>74</v>
      </c>
      <c r="BQ358" t="s">
        <v>74</v>
      </c>
      <c r="BR358" t="s">
        <v>108</v>
      </c>
      <c r="BS358" t="s">
        <v>7410</v>
      </c>
      <c r="BT358" t="str">
        <f>HYPERLINK("https%3A%2F%2Fwww.webofscience.com%2Fwos%2Fwoscc%2Ffull-record%2FWOS:000497695300003","View Full Record in Web of Science")</f>
        <v>View Full Record in Web of Science</v>
      </c>
    </row>
    <row r="359" spans="1:72" x14ac:dyDescent="0.15">
      <c r="A359" t="s">
        <v>133</v>
      </c>
      <c r="B359" t="s">
        <v>7411</v>
      </c>
      <c r="C359" t="s">
        <v>74</v>
      </c>
      <c r="D359" t="s">
        <v>74</v>
      </c>
      <c r="E359" t="s">
        <v>74</v>
      </c>
      <c r="F359" t="s">
        <v>7412</v>
      </c>
      <c r="G359" t="s">
        <v>74</v>
      </c>
      <c r="H359" t="s">
        <v>74</v>
      </c>
      <c r="I359" t="s">
        <v>7413</v>
      </c>
      <c r="J359" t="s">
        <v>7414</v>
      </c>
      <c r="K359" t="s">
        <v>74</v>
      </c>
      <c r="L359" t="s">
        <v>74</v>
      </c>
      <c r="M359" t="s">
        <v>80</v>
      </c>
      <c r="N359" t="s">
        <v>138</v>
      </c>
      <c r="O359" t="s">
        <v>74</v>
      </c>
      <c r="P359" t="s">
        <v>74</v>
      </c>
      <c r="Q359" t="s">
        <v>74</v>
      </c>
      <c r="R359" t="s">
        <v>74</v>
      </c>
      <c r="S359" t="s">
        <v>74</v>
      </c>
      <c r="T359" t="s">
        <v>7415</v>
      </c>
      <c r="U359" t="s">
        <v>7416</v>
      </c>
      <c r="V359" t="s">
        <v>7417</v>
      </c>
      <c r="W359" t="s">
        <v>7418</v>
      </c>
      <c r="X359" t="s">
        <v>7419</v>
      </c>
      <c r="Y359" t="s">
        <v>7420</v>
      </c>
      <c r="Z359" t="s">
        <v>7421</v>
      </c>
      <c r="AA359" t="s">
        <v>7422</v>
      </c>
      <c r="AB359" t="s">
        <v>7423</v>
      </c>
      <c r="AC359" t="s">
        <v>7424</v>
      </c>
      <c r="AD359" t="s">
        <v>7425</v>
      </c>
      <c r="AE359" t="s">
        <v>7426</v>
      </c>
      <c r="AF359" t="s">
        <v>74</v>
      </c>
      <c r="AG359">
        <v>54</v>
      </c>
      <c r="AH359">
        <v>33</v>
      </c>
      <c r="AI359">
        <v>35</v>
      </c>
      <c r="AJ359">
        <v>0</v>
      </c>
      <c r="AK359">
        <v>3</v>
      </c>
      <c r="AL359" t="s">
        <v>96</v>
      </c>
      <c r="AM359" t="s">
        <v>97</v>
      </c>
      <c r="AN359" t="s">
        <v>3769</v>
      </c>
      <c r="AO359" t="s">
        <v>7427</v>
      </c>
      <c r="AP359" t="s">
        <v>7428</v>
      </c>
      <c r="AQ359" t="s">
        <v>74</v>
      </c>
      <c r="AR359" t="s">
        <v>7429</v>
      </c>
      <c r="AS359" t="s">
        <v>7430</v>
      </c>
      <c r="AT359" t="s">
        <v>7291</v>
      </c>
      <c r="AU359">
        <v>2019</v>
      </c>
      <c r="AV359">
        <v>886</v>
      </c>
      <c r="AW359">
        <v>1</v>
      </c>
      <c r="AX359" t="s">
        <v>74</v>
      </c>
      <c r="AY359" t="s">
        <v>74</v>
      </c>
      <c r="AZ359" t="s">
        <v>74</v>
      </c>
      <c r="BA359" t="s">
        <v>74</v>
      </c>
      <c r="BB359" t="s">
        <v>74</v>
      </c>
      <c r="BC359" t="s">
        <v>74</v>
      </c>
      <c r="BD359" t="s">
        <v>7431</v>
      </c>
      <c r="BE359" t="s">
        <v>7432</v>
      </c>
      <c r="BF359" t="str">
        <f>HYPERLINK("http://dx.doi.org/10.3847/2041-8213/ab5446","http://dx.doi.org/10.3847/2041-8213/ab5446")</f>
        <v>http://dx.doi.org/10.3847/2041-8213/ab5446</v>
      </c>
      <c r="BG359" t="s">
        <v>74</v>
      </c>
      <c r="BH359" t="s">
        <v>74</v>
      </c>
      <c r="BI359">
        <v>13</v>
      </c>
      <c r="BJ359" t="s">
        <v>1571</v>
      </c>
      <c r="BK359" t="s">
        <v>294</v>
      </c>
      <c r="BL359" t="s">
        <v>1571</v>
      </c>
      <c r="BM359" t="s">
        <v>7433</v>
      </c>
      <c r="BN359" t="s">
        <v>74</v>
      </c>
      <c r="BO359" t="s">
        <v>1026</v>
      </c>
      <c r="BP359" t="s">
        <v>74</v>
      </c>
      <c r="BQ359" t="s">
        <v>74</v>
      </c>
      <c r="BR359" t="s">
        <v>108</v>
      </c>
      <c r="BS359" t="s">
        <v>7434</v>
      </c>
      <c r="BT359" t="str">
        <f>HYPERLINK("https%3A%2F%2Fwww.webofscience.com%2Fwos%2Fwoscc%2Ffull-record%2FWOS:000499328800001","View Full Record in Web of Science")</f>
        <v>View Full Record in Web of Science</v>
      </c>
    </row>
    <row r="360" spans="1:72" x14ac:dyDescent="0.15">
      <c r="A360" t="s">
        <v>133</v>
      </c>
      <c r="B360" t="s">
        <v>7435</v>
      </c>
      <c r="C360" t="s">
        <v>74</v>
      </c>
      <c r="D360" t="s">
        <v>74</v>
      </c>
      <c r="E360" t="s">
        <v>74</v>
      </c>
      <c r="F360" t="s">
        <v>7436</v>
      </c>
      <c r="G360" t="s">
        <v>74</v>
      </c>
      <c r="H360" t="s">
        <v>74</v>
      </c>
      <c r="I360" t="s">
        <v>7437</v>
      </c>
      <c r="J360" t="s">
        <v>7414</v>
      </c>
      <c r="K360" t="s">
        <v>74</v>
      </c>
      <c r="L360" t="s">
        <v>74</v>
      </c>
      <c r="M360" t="s">
        <v>80</v>
      </c>
      <c r="N360" t="s">
        <v>138</v>
      </c>
      <c r="O360" t="s">
        <v>74</v>
      </c>
      <c r="P360" t="s">
        <v>74</v>
      </c>
      <c r="Q360" t="s">
        <v>74</v>
      </c>
      <c r="R360" t="s">
        <v>74</v>
      </c>
      <c r="S360" t="s">
        <v>74</v>
      </c>
      <c r="T360" t="s">
        <v>7438</v>
      </c>
      <c r="U360" t="s">
        <v>7439</v>
      </c>
      <c r="V360" t="s">
        <v>7440</v>
      </c>
      <c r="W360" t="s">
        <v>7441</v>
      </c>
      <c r="X360" t="s">
        <v>7442</v>
      </c>
      <c r="Y360" t="s">
        <v>7443</v>
      </c>
      <c r="Z360" t="s">
        <v>7444</v>
      </c>
      <c r="AA360" t="s">
        <v>74</v>
      </c>
      <c r="AB360" t="s">
        <v>7445</v>
      </c>
      <c r="AC360" t="s">
        <v>7446</v>
      </c>
      <c r="AD360" t="s">
        <v>7447</v>
      </c>
      <c r="AE360" t="s">
        <v>7448</v>
      </c>
      <c r="AF360" t="s">
        <v>74</v>
      </c>
      <c r="AG360">
        <v>48</v>
      </c>
      <c r="AH360">
        <v>18</v>
      </c>
      <c r="AI360">
        <v>19</v>
      </c>
      <c r="AJ360">
        <v>0</v>
      </c>
      <c r="AK360">
        <v>3</v>
      </c>
      <c r="AL360" t="s">
        <v>96</v>
      </c>
      <c r="AM360" t="s">
        <v>97</v>
      </c>
      <c r="AN360" t="s">
        <v>3769</v>
      </c>
      <c r="AO360" t="s">
        <v>7427</v>
      </c>
      <c r="AP360" t="s">
        <v>7428</v>
      </c>
      <c r="AQ360" t="s">
        <v>74</v>
      </c>
      <c r="AR360" t="s">
        <v>7429</v>
      </c>
      <c r="AS360" t="s">
        <v>7430</v>
      </c>
      <c r="AT360" t="s">
        <v>7291</v>
      </c>
      <c r="AU360">
        <v>2019</v>
      </c>
      <c r="AV360">
        <v>886</v>
      </c>
      <c r="AW360">
        <v>1</v>
      </c>
      <c r="AX360" t="s">
        <v>74</v>
      </c>
      <c r="AY360" t="s">
        <v>74</v>
      </c>
      <c r="AZ360" t="s">
        <v>74</v>
      </c>
      <c r="BA360" t="s">
        <v>74</v>
      </c>
      <c r="BB360" t="s">
        <v>74</v>
      </c>
      <c r="BC360" t="s">
        <v>74</v>
      </c>
      <c r="BD360" t="s">
        <v>7449</v>
      </c>
      <c r="BE360" t="s">
        <v>7450</v>
      </c>
      <c r="BF360" t="str">
        <f>HYPERLINK("http://dx.doi.org/10.3847/2041-8213/ab53ed","http://dx.doi.org/10.3847/2041-8213/ab53ed")</f>
        <v>http://dx.doi.org/10.3847/2041-8213/ab53ed</v>
      </c>
      <c r="BG360" t="s">
        <v>74</v>
      </c>
      <c r="BH360" t="s">
        <v>74</v>
      </c>
      <c r="BI360">
        <v>8</v>
      </c>
      <c r="BJ360" t="s">
        <v>1571</v>
      </c>
      <c r="BK360" t="s">
        <v>294</v>
      </c>
      <c r="BL360" t="s">
        <v>1571</v>
      </c>
      <c r="BM360" t="s">
        <v>7451</v>
      </c>
      <c r="BN360" t="s">
        <v>74</v>
      </c>
      <c r="BO360" t="s">
        <v>7452</v>
      </c>
      <c r="BP360" t="s">
        <v>74</v>
      </c>
      <c r="BQ360" t="s">
        <v>74</v>
      </c>
      <c r="BR360" t="s">
        <v>108</v>
      </c>
      <c r="BS360" t="s">
        <v>7453</v>
      </c>
      <c r="BT360" t="str">
        <f>HYPERLINK("https%3A%2F%2Fwww.webofscience.com%2Fwos%2Fwoscc%2Ffull-record%2FWOS:000499338400001","View Full Record in Web of Science")</f>
        <v>View Full Record in Web of Science</v>
      </c>
    </row>
    <row r="361" spans="1:72" x14ac:dyDescent="0.15">
      <c r="A361" t="s">
        <v>133</v>
      </c>
      <c r="B361" t="s">
        <v>7454</v>
      </c>
      <c r="C361" t="s">
        <v>74</v>
      </c>
      <c r="D361" t="s">
        <v>74</v>
      </c>
      <c r="E361" t="s">
        <v>74</v>
      </c>
      <c r="F361" t="s">
        <v>7455</v>
      </c>
      <c r="G361" t="s">
        <v>74</v>
      </c>
      <c r="H361" t="s">
        <v>74</v>
      </c>
      <c r="I361" t="s">
        <v>7456</v>
      </c>
      <c r="J361" t="s">
        <v>1462</v>
      </c>
      <c r="K361" t="s">
        <v>74</v>
      </c>
      <c r="L361" t="s">
        <v>74</v>
      </c>
      <c r="M361" t="s">
        <v>80</v>
      </c>
      <c r="N361" t="s">
        <v>138</v>
      </c>
      <c r="O361" t="s">
        <v>74</v>
      </c>
      <c r="P361" t="s">
        <v>74</v>
      </c>
      <c r="Q361" t="s">
        <v>74</v>
      </c>
      <c r="R361" t="s">
        <v>74</v>
      </c>
      <c r="S361" t="s">
        <v>74</v>
      </c>
      <c r="T361" t="s">
        <v>7457</v>
      </c>
      <c r="U361" t="s">
        <v>7458</v>
      </c>
      <c r="V361" t="s">
        <v>7459</v>
      </c>
      <c r="W361" t="s">
        <v>7460</v>
      </c>
      <c r="X361" t="s">
        <v>7461</v>
      </c>
      <c r="Y361" t="s">
        <v>7462</v>
      </c>
      <c r="Z361" t="s">
        <v>7463</v>
      </c>
      <c r="AA361" t="s">
        <v>74</v>
      </c>
      <c r="AB361" t="s">
        <v>7464</v>
      </c>
      <c r="AC361" t="s">
        <v>7465</v>
      </c>
      <c r="AD361" t="s">
        <v>3210</v>
      </c>
      <c r="AE361" t="s">
        <v>74</v>
      </c>
      <c r="AF361" t="s">
        <v>74</v>
      </c>
      <c r="AG361">
        <v>36</v>
      </c>
      <c r="AH361">
        <v>6</v>
      </c>
      <c r="AI361">
        <v>6</v>
      </c>
      <c r="AJ361">
        <v>2</v>
      </c>
      <c r="AK361">
        <v>7</v>
      </c>
      <c r="AL361" t="s">
        <v>1264</v>
      </c>
      <c r="AM361" t="s">
        <v>1265</v>
      </c>
      <c r="AN361" t="s">
        <v>1266</v>
      </c>
      <c r="AO361" t="s">
        <v>1475</v>
      </c>
      <c r="AP361" t="s">
        <v>1476</v>
      </c>
      <c r="AQ361" t="s">
        <v>74</v>
      </c>
      <c r="AR361" t="s">
        <v>1477</v>
      </c>
      <c r="AS361" t="s">
        <v>1478</v>
      </c>
      <c r="AT361" t="s">
        <v>6403</v>
      </c>
      <c r="AU361">
        <v>2019</v>
      </c>
      <c r="AV361">
        <v>46</v>
      </c>
      <c r="AW361">
        <v>22</v>
      </c>
      <c r="AX361" t="s">
        <v>74</v>
      </c>
      <c r="AY361" t="s">
        <v>74</v>
      </c>
      <c r="AZ361" t="s">
        <v>74</v>
      </c>
      <c r="BA361" t="s">
        <v>74</v>
      </c>
      <c r="BB361">
        <v>13099</v>
      </c>
      <c r="BC361">
        <v>13106</v>
      </c>
      <c r="BD361" t="s">
        <v>74</v>
      </c>
      <c r="BE361" t="s">
        <v>7466</v>
      </c>
      <c r="BF361" t="str">
        <f>HYPERLINK("http://dx.doi.org/10.1029/2019GL084896","http://dx.doi.org/10.1029/2019GL084896")</f>
        <v>http://dx.doi.org/10.1029/2019GL084896</v>
      </c>
      <c r="BG361" t="s">
        <v>74</v>
      </c>
      <c r="BH361" t="s">
        <v>6368</v>
      </c>
      <c r="BI361">
        <v>8</v>
      </c>
      <c r="BJ361" t="s">
        <v>849</v>
      </c>
      <c r="BK361" t="s">
        <v>294</v>
      </c>
      <c r="BL361" t="s">
        <v>850</v>
      </c>
      <c r="BM361" t="s">
        <v>6405</v>
      </c>
      <c r="BN361" t="s">
        <v>74</v>
      </c>
      <c r="BO361" t="s">
        <v>1482</v>
      </c>
      <c r="BP361" t="s">
        <v>74</v>
      </c>
      <c r="BQ361" t="s">
        <v>74</v>
      </c>
      <c r="BR361" t="s">
        <v>108</v>
      </c>
      <c r="BS361" t="s">
        <v>7467</v>
      </c>
      <c r="BT361" t="str">
        <f>HYPERLINK("https%3A%2F%2Fwww.webofscience.com%2Fwos%2Fwoscc%2Ffull-record%2FWOS:000497261400001","View Full Record in Web of Science")</f>
        <v>View Full Record in Web of Science</v>
      </c>
    </row>
    <row r="362" spans="1:72" x14ac:dyDescent="0.15">
      <c r="A362" t="s">
        <v>133</v>
      </c>
      <c r="B362" t="s">
        <v>7468</v>
      </c>
      <c r="C362" t="s">
        <v>74</v>
      </c>
      <c r="D362" t="s">
        <v>74</v>
      </c>
      <c r="E362" t="s">
        <v>74</v>
      </c>
      <c r="F362" t="s">
        <v>7469</v>
      </c>
      <c r="G362" t="s">
        <v>74</v>
      </c>
      <c r="H362" t="s">
        <v>74</v>
      </c>
      <c r="I362" t="s">
        <v>7470</v>
      </c>
      <c r="J362" t="s">
        <v>1388</v>
      </c>
      <c r="K362" t="s">
        <v>74</v>
      </c>
      <c r="L362" t="s">
        <v>74</v>
      </c>
      <c r="M362" t="s">
        <v>80</v>
      </c>
      <c r="N362" t="s">
        <v>138</v>
      </c>
      <c r="O362" t="s">
        <v>74</v>
      </c>
      <c r="P362" t="s">
        <v>74</v>
      </c>
      <c r="Q362" t="s">
        <v>74</v>
      </c>
      <c r="R362" t="s">
        <v>74</v>
      </c>
      <c r="S362" t="s">
        <v>74</v>
      </c>
      <c r="T362" t="s">
        <v>7471</v>
      </c>
      <c r="U362" t="s">
        <v>7472</v>
      </c>
      <c r="V362" t="s">
        <v>7473</v>
      </c>
      <c r="W362" t="s">
        <v>7474</v>
      </c>
      <c r="X362" t="s">
        <v>7475</v>
      </c>
      <c r="Y362" t="s">
        <v>7476</v>
      </c>
      <c r="Z362" t="s">
        <v>7477</v>
      </c>
      <c r="AA362" t="s">
        <v>7478</v>
      </c>
      <c r="AB362" t="s">
        <v>7479</v>
      </c>
      <c r="AC362" t="s">
        <v>7480</v>
      </c>
      <c r="AD362" t="s">
        <v>7481</v>
      </c>
      <c r="AE362" t="s">
        <v>7482</v>
      </c>
      <c r="AF362" t="s">
        <v>74</v>
      </c>
      <c r="AG362">
        <v>50</v>
      </c>
      <c r="AH362">
        <v>120</v>
      </c>
      <c r="AI362">
        <v>128</v>
      </c>
      <c r="AJ362">
        <v>8</v>
      </c>
      <c r="AK362">
        <v>60</v>
      </c>
      <c r="AL362" t="s">
        <v>429</v>
      </c>
      <c r="AM362" t="s">
        <v>430</v>
      </c>
      <c r="AN362" t="s">
        <v>431</v>
      </c>
      <c r="AO362" t="s">
        <v>1401</v>
      </c>
      <c r="AP362" t="s">
        <v>1402</v>
      </c>
      <c r="AQ362" t="s">
        <v>74</v>
      </c>
      <c r="AR362" t="s">
        <v>1403</v>
      </c>
      <c r="AS362" t="s">
        <v>1404</v>
      </c>
      <c r="AT362" t="s">
        <v>3111</v>
      </c>
      <c r="AU362">
        <v>2020</v>
      </c>
      <c r="AV362">
        <v>40</v>
      </c>
      <c r="AW362">
        <v>6</v>
      </c>
      <c r="AX362" t="s">
        <v>74</v>
      </c>
      <c r="AY362" t="s">
        <v>74</v>
      </c>
      <c r="AZ362" t="s">
        <v>74</v>
      </c>
      <c r="BA362" t="s">
        <v>74</v>
      </c>
      <c r="BB362">
        <v>2986</v>
      </c>
      <c r="BC362">
        <v>3007</v>
      </c>
      <c r="BD362" t="s">
        <v>74</v>
      </c>
      <c r="BE362" t="s">
        <v>7483</v>
      </c>
      <c r="BF362" t="str">
        <f>HYPERLINK("http://dx.doi.org/10.1002/joc.6378","http://dx.doi.org/10.1002/joc.6378")</f>
        <v>http://dx.doi.org/10.1002/joc.6378</v>
      </c>
      <c r="BG362" t="s">
        <v>74</v>
      </c>
      <c r="BH362" t="s">
        <v>6368</v>
      </c>
      <c r="BI362">
        <v>22</v>
      </c>
      <c r="BJ362" t="s">
        <v>1024</v>
      </c>
      <c r="BK362" t="s">
        <v>294</v>
      </c>
      <c r="BL362" t="s">
        <v>1024</v>
      </c>
      <c r="BM362" t="s">
        <v>7484</v>
      </c>
      <c r="BN362" t="s">
        <v>74</v>
      </c>
      <c r="BO362" t="s">
        <v>5002</v>
      </c>
      <c r="BP362" t="s">
        <v>74</v>
      </c>
      <c r="BQ362" t="s">
        <v>74</v>
      </c>
      <c r="BR362" t="s">
        <v>108</v>
      </c>
      <c r="BS362" t="s">
        <v>7485</v>
      </c>
      <c r="BT362" t="str">
        <f>HYPERLINK("https%3A%2F%2Fwww.webofscience.com%2Fwos%2Fwoscc%2Ffull-record%2FWOS:000497296600001","View Full Record in Web of Science")</f>
        <v>View Full Record in Web of Science</v>
      </c>
    </row>
    <row r="363" spans="1:72" x14ac:dyDescent="0.15">
      <c r="A363" t="s">
        <v>133</v>
      </c>
      <c r="B363" t="s">
        <v>7486</v>
      </c>
      <c r="C363" t="s">
        <v>74</v>
      </c>
      <c r="D363" t="s">
        <v>74</v>
      </c>
      <c r="E363" t="s">
        <v>74</v>
      </c>
      <c r="F363" t="s">
        <v>7487</v>
      </c>
      <c r="G363" t="s">
        <v>74</v>
      </c>
      <c r="H363" t="s">
        <v>74</v>
      </c>
      <c r="I363" t="s">
        <v>7488</v>
      </c>
      <c r="J363" t="s">
        <v>7489</v>
      </c>
      <c r="K363" t="s">
        <v>74</v>
      </c>
      <c r="L363" t="s">
        <v>74</v>
      </c>
      <c r="M363" t="s">
        <v>80</v>
      </c>
      <c r="N363" t="s">
        <v>138</v>
      </c>
      <c r="O363" t="s">
        <v>74</v>
      </c>
      <c r="P363" t="s">
        <v>74</v>
      </c>
      <c r="Q363" t="s">
        <v>74</v>
      </c>
      <c r="R363" t="s">
        <v>74</v>
      </c>
      <c r="S363" t="s">
        <v>74</v>
      </c>
      <c r="T363" t="s">
        <v>7490</v>
      </c>
      <c r="U363" t="s">
        <v>7491</v>
      </c>
      <c r="V363" t="s">
        <v>7492</v>
      </c>
      <c r="W363" t="s">
        <v>7493</v>
      </c>
      <c r="X363" t="s">
        <v>7494</v>
      </c>
      <c r="Y363" t="s">
        <v>7495</v>
      </c>
      <c r="Z363" t="s">
        <v>7496</v>
      </c>
      <c r="AA363" t="s">
        <v>7497</v>
      </c>
      <c r="AB363" t="s">
        <v>7498</v>
      </c>
      <c r="AC363" t="s">
        <v>74</v>
      </c>
      <c r="AD363" t="s">
        <v>74</v>
      </c>
      <c r="AE363" t="s">
        <v>74</v>
      </c>
      <c r="AF363" t="s">
        <v>74</v>
      </c>
      <c r="AG363">
        <v>58</v>
      </c>
      <c r="AH363">
        <v>42</v>
      </c>
      <c r="AI363">
        <v>42</v>
      </c>
      <c r="AJ363">
        <v>0</v>
      </c>
      <c r="AK363">
        <v>29</v>
      </c>
      <c r="AL363" t="s">
        <v>1758</v>
      </c>
      <c r="AM363" t="s">
        <v>1759</v>
      </c>
      <c r="AN363" t="s">
        <v>1760</v>
      </c>
      <c r="AO363" t="s">
        <v>7499</v>
      </c>
      <c r="AP363" t="s">
        <v>7500</v>
      </c>
      <c r="AQ363" t="s">
        <v>74</v>
      </c>
      <c r="AR363" t="s">
        <v>7501</v>
      </c>
      <c r="AS363" t="s">
        <v>7502</v>
      </c>
      <c r="AT363" t="s">
        <v>7291</v>
      </c>
      <c r="AU363">
        <v>2019</v>
      </c>
      <c r="AV363">
        <v>12</v>
      </c>
      <c r="AW363" t="s">
        <v>74</v>
      </c>
      <c r="AX363" t="s">
        <v>74</v>
      </c>
      <c r="AY363">
        <v>2</v>
      </c>
      <c r="AZ363" t="s">
        <v>555</v>
      </c>
      <c r="BA363" t="s">
        <v>74</v>
      </c>
      <c r="BB363" t="s">
        <v>7503</v>
      </c>
      <c r="BC363" t="s">
        <v>7504</v>
      </c>
      <c r="BD363" t="s">
        <v>74</v>
      </c>
      <c r="BE363" t="s">
        <v>7505</v>
      </c>
      <c r="BF363" t="str">
        <f>HYPERLINK("http://dx.doi.org/10.1080/1755876X.2018.1526463","http://dx.doi.org/10.1080/1755876X.2018.1526463")</f>
        <v>http://dx.doi.org/10.1080/1755876X.2018.1526463</v>
      </c>
      <c r="BG363" t="s">
        <v>74</v>
      </c>
      <c r="BH363" t="s">
        <v>74</v>
      </c>
      <c r="BI363">
        <v>20</v>
      </c>
      <c r="BJ363" t="s">
        <v>610</v>
      </c>
      <c r="BK363" t="s">
        <v>294</v>
      </c>
      <c r="BL363" t="s">
        <v>610</v>
      </c>
      <c r="BM363" t="s">
        <v>7506</v>
      </c>
      <c r="BN363" t="s">
        <v>74</v>
      </c>
      <c r="BO363" t="s">
        <v>2237</v>
      </c>
      <c r="BP363" t="s">
        <v>74</v>
      </c>
      <c r="BQ363" t="s">
        <v>74</v>
      </c>
      <c r="BR363" t="s">
        <v>108</v>
      </c>
      <c r="BS363" t="s">
        <v>7507</v>
      </c>
      <c r="BT363" t="str">
        <f>HYPERLINK("https%3A%2F%2Fwww.webofscience.com%2Fwos%2Fwoscc%2Ffull-record%2FWOS:000489795800010","View Full Record in Web of Science")</f>
        <v>View Full Record in Web of Science</v>
      </c>
    </row>
    <row r="364" spans="1:72" x14ac:dyDescent="0.15">
      <c r="A364" t="s">
        <v>133</v>
      </c>
      <c r="B364" t="s">
        <v>7508</v>
      </c>
      <c r="C364" t="s">
        <v>74</v>
      </c>
      <c r="D364" t="s">
        <v>74</v>
      </c>
      <c r="E364" t="s">
        <v>74</v>
      </c>
      <c r="F364" t="s">
        <v>7509</v>
      </c>
      <c r="G364" t="s">
        <v>74</v>
      </c>
      <c r="H364" t="s">
        <v>74</v>
      </c>
      <c r="I364" t="s">
        <v>7510</v>
      </c>
      <c r="J364" t="s">
        <v>1073</v>
      </c>
      <c r="K364" t="s">
        <v>74</v>
      </c>
      <c r="L364" t="s">
        <v>74</v>
      </c>
      <c r="M364" t="s">
        <v>80</v>
      </c>
      <c r="N364" t="s">
        <v>138</v>
      </c>
      <c r="O364" t="s">
        <v>74</v>
      </c>
      <c r="P364" t="s">
        <v>74</v>
      </c>
      <c r="Q364" t="s">
        <v>74</v>
      </c>
      <c r="R364" t="s">
        <v>74</v>
      </c>
      <c r="S364" t="s">
        <v>74</v>
      </c>
      <c r="T364" t="s">
        <v>7511</v>
      </c>
      <c r="U364" t="s">
        <v>7512</v>
      </c>
      <c r="V364" t="s">
        <v>7513</v>
      </c>
      <c r="W364" t="s">
        <v>7514</v>
      </c>
      <c r="X364" t="s">
        <v>7515</v>
      </c>
      <c r="Y364" t="s">
        <v>7516</v>
      </c>
      <c r="Z364" t="s">
        <v>7517</v>
      </c>
      <c r="AA364" t="s">
        <v>7518</v>
      </c>
      <c r="AB364" t="s">
        <v>7519</v>
      </c>
      <c r="AC364" t="s">
        <v>7520</v>
      </c>
      <c r="AD364" t="s">
        <v>7521</v>
      </c>
      <c r="AE364" t="s">
        <v>7522</v>
      </c>
      <c r="AF364" t="s">
        <v>74</v>
      </c>
      <c r="AG364">
        <v>88</v>
      </c>
      <c r="AH364">
        <v>12</v>
      </c>
      <c r="AI364">
        <v>12</v>
      </c>
      <c r="AJ364">
        <v>2</v>
      </c>
      <c r="AK364">
        <v>62</v>
      </c>
      <c r="AL364" t="s">
        <v>284</v>
      </c>
      <c r="AM364" t="s">
        <v>285</v>
      </c>
      <c r="AN364" t="s">
        <v>286</v>
      </c>
      <c r="AO364" t="s">
        <v>1086</v>
      </c>
      <c r="AP364" t="s">
        <v>1087</v>
      </c>
      <c r="AQ364" t="s">
        <v>74</v>
      </c>
      <c r="AR364" t="s">
        <v>1088</v>
      </c>
      <c r="AS364" t="s">
        <v>1089</v>
      </c>
      <c r="AT364" t="s">
        <v>7291</v>
      </c>
      <c r="AU364">
        <v>2019</v>
      </c>
      <c r="AV364">
        <v>692</v>
      </c>
      <c r="AW364" t="s">
        <v>74</v>
      </c>
      <c r="AX364" t="s">
        <v>74</v>
      </c>
      <c r="AY364" t="s">
        <v>74</v>
      </c>
      <c r="AZ364" t="s">
        <v>74</v>
      </c>
      <c r="BA364" t="s">
        <v>74</v>
      </c>
      <c r="BB364">
        <v>382</v>
      </c>
      <c r="BC364">
        <v>392</v>
      </c>
      <c r="BD364" t="s">
        <v>74</v>
      </c>
      <c r="BE364" t="s">
        <v>7523</v>
      </c>
      <c r="BF364" t="str">
        <f>HYPERLINK("http://dx.doi.org/10.1016/j.scitotenv.2019.07.137","http://dx.doi.org/10.1016/j.scitotenv.2019.07.137")</f>
        <v>http://dx.doi.org/10.1016/j.scitotenv.2019.07.137</v>
      </c>
      <c r="BG364" t="s">
        <v>74</v>
      </c>
      <c r="BH364" t="s">
        <v>74</v>
      </c>
      <c r="BI364">
        <v>11</v>
      </c>
      <c r="BJ364" t="s">
        <v>387</v>
      </c>
      <c r="BK364" t="s">
        <v>294</v>
      </c>
      <c r="BL364" t="s">
        <v>388</v>
      </c>
      <c r="BM364" t="s">
        <v>7524</v>
      </c>
      <c r="BN364">
        <v>31351282</v>
      </c>
      <c r="BO364" t="s">
        <v>74</v>
      </c>
      <c r="BP364" t="s">
        <v>74</v>
      </c>
      <c r="BQ364" t="s">
        <v>74</v>
      </c>
      <c r="BR364" t="s">
        <v>108</v>
      </c>
      <c r="BS364" t="s">
        <v>7525</v>
      </c>
      <c r="BT364" t="str">
        <f>HYPERLINK("https%3A%2F%2Fwww.webofscience.com%2Fwos%2Fwoscc%2Ffull-record%2FWOS:000484994700038","View Full Record in Web of Science")</f>
        <v>View Full Record in Web of Science</v>
      </c>
    </row>
    <row r="365" spans="1:72" x14ac:dyDescent="0.15">
      <c r="A365" t="s">
        <v>133</v>
      </c>
      <c r="B365" t="s">
        <v>7526</v>
      </c>
      <c r="C365" t="s">
        <v>74</v>
      </c>
      <c r="D365" t="s">
        <v>74</v>
      </c>
      <c r="E365" t="s">
        <v>74</v>
      </c>
      <c r="F365" t="s">
        <v>7527</v>
      </c>
      <c r="G365" t="s">
        <v>74</v>
      </c>
      <c r="H365" t="s">
        <v>74</v>
      </c>
      <c r="I365" t="s">
        <v>7528</v>
      </c>
      <c r="J365" t="s">
        <v>1359</v>
      </c>
      <c r="K365" t="s">
        <v>74</v>
      </c>
      <c r="L365" t="s">
        <v>74</v>
      </c>
      <c r="M365" t="s">
        <v>80</v>
      </c>
      <c r="N365" t="s">
        <v>138</v>
      </c>
      <c r="O365" t="s">
        <v>74</v>
      </c>
      <c r="P365" t="s">
        <v>74</v>
      </c>
      <c r="Q365" t="s">
        <v>74</v>
      </c>
      <c r="R365" t="s">
        <v>74</v>
      </c>
      <c r="S365" t="s">
        <v>74</v>
      </c>
      <c r="T365" t="s">
        <v>7529</v>
      </c>
      <c r="U365" t="s">
        <v>7530</v>
      </c>
      <c r="V365" t="s">
        <v>7531</v>
      </c>
      <c r="W365" t="s">
        <v>7532</v>
      </c>
      <c r="X365" t="s">
        <v>7533</v>
      </c>
      <c r="Y365" t="s">
        <v>7534</v>
      </c>
      <c r="Z365" t="s">
        <v>7535</v>
      </c>
      <c r="AA365" t="s">
        <v>7536</v>
      </c>
      <c r="AB365" t="s">
        <v>7537</v>
      </c>
      <c r="AC365" t="s">
        <v>7538</v>
      </c>
      <c r="AD365" t="s">
        <v>7539</v>
      </c>
      <c r="AE365" t="s">
        <v>7540</v>
      </c>
      <c r="AF365" t="s">
        <v>74</v>
      </c>
      <c r="AG365">
        <v>38</v>
      </c>
      <c r="AH365">
        <v>8</v>
      </c>
      <c r="AI365">
        <v>8</v>
      </c>
      <c r="AJ365">
        <v>1</v>
      </c>
      <c r="AK365">
        <v>19</v>
      </c>
      <c r="AL365" t="s">
        <v>1372</v>
      </c>
      <c r="AM365" t="s">
        <v>1373</v>
      </c>
      <c r="AN365" t="s">
        <v>1374</v>
      </c>
      <c r="AO365" t="s">
        <v>1375</v>
      </c>
      <c r="AP365" t="s">
        <v>1376</v>
      </c>
      <c r="AQ365" t="s">
        <v>74</v>
      </c>
      <c r="AR365" t="s">
        <v>1377</v>
      </c>
      <c r="AS365" t="s">
        <v>1378</v>
      </c>
      <c r="AT365" t="s">
        <v>7541</v>
      </c>
      <c r="AU365">
        <v>2019</v>
      </c>
      <c r="AV365">
        <v>38</v>
      </c>
      <c r="AW365" t="s">
        <v>74</v>
      </c>
      <c r="AX365" t="s">
        <v>74</v>
      </c>
      <c r="AY365" t="s">
        <v>74</v>
      </c>
      <c r="AZ365" t="s">
        <v>74</v>
      </c>
      <c r="BA365" t="s">
        <v>74</v>
      </c>
      <c r="BB365" t="s">
        <v>74</v>
      </c>
      <c r="BC365" t="s">
        <v>74</v>
      </c>
      <c r="BD365">
        <v>3355</v>
      </c>
      <c r="BE365" t="s">
        <v>7542</v>
      </c>
      <c r="BF365" t="str">
        <f>HYPERLINK("http://dx.doi.org/10.33265/polar.v38.3355","http://dx.doi.org/10.33265/polar.v38.3355")</f>
        <v>http://dx.doi.org/10.33265/polar.v38.3355</v>
      </c>
      <c r="BG365" t="s">
        <v>74</v>
      </c>
      <c r="BH365" t="s">
        <v>74</v>
      </c>
      <c r="BI365">
        <v>9</v>
      </c>
      <c r="BJ365" t="s">
        <v>1381</v>
      </c>
      <c r="BK365" t="s">
        <v>294</v>
      </c>
      <c r="BL365" t="s">
        <v>1382</v>
      </c>
      <c r="BM365" t="s">
        <v>7543</v>
      </c>
      <c r="BN365" t="s">
        <v>74</v>
      </c>
      <c r="BO365" t="s">
        <v>2261</v>
      </c>
      <c r="BP365" t="s">
        <v>74</v>
      </c>
      <c r="BQ365" t="s">
        <v>74</v>
      </c>
      <c r="BR365" t="s">
        <v>108</v>
      </c>
      <c r="BS365" t="s">
        <v>7544</v>
      </c>
      <c r="BT365" t="str">
        <f>HYPERLINK("https%3A%2F%2Fwww.webofscience.com%2Fwos%2Fwoscc%2Ffull-record%2FWOS:000500245000001","View Full Record in Web of Science")</f>
        <v>View Full Record in Web of Science</v>
      </c>
    </row>
    <row r="366" spans="1:72" x14ac:dyDescent="0.15">
      <c r="A366" t="s">
        <v>133</v>
      </c>
      <c r="B366" t="s">
        <v>7545</v>
      </c>
      <c r="C366" t="s">
        <v>74</v>
      </c>
      <c r="D366" t="s">
        <v>74</v>
      </c>
      <c r="E366" t="s">
        <v>74</v>
      </c>
      <c r="F366" t="s">
        <v>7546</v>
      </c>
      <c r="G366" t="s">
        <v>74</v>
      </c>
      <c r="H366" t="s">
        <v>74</v>
      </c>
      <c r="I366" t="s">
        <v>7547</v>
      </c>
      <c r="J366" t="s">
        <v>1412</v>
      </c>
      <c r="K366" t="s">
        <v>74</v>
      </c>
      <c r="L366" t="s">
        <v>74</v>
      </c>
      <c r="M366" t="s">
        <v>80</v>
      </c>
      <c r="N366" t="s">
        <v>138</v>
      </c>
      <c r="O366" t="s">
        <v>74</v>
      </c>
      <c r="P366" t="s">
        <v>74</v>
      </c>
      <c r="Q366" t="s">
        <v>74</v>
      </c>
      <c r="R366" t="s">
        <v>74</v>
      </c>
      <c r="S366" t="s">
        <v>74</v>
      </c>
      <c r="T366" t="s">
        <v>7548</v>
      </c>
      <c r="U366" t="s">
        <v>7549</v>
      </c>
      <c r="V366" t="s">
        <v>7550</v>
      </c>
      <c r="W366" t="s">
        <v>7551</v>
      </c>
      <c r="X366" t="s">
        <v>7552</v>
      </c>
      <c r="Y366" t="s">
        <v>7553</v>
      </c>
      <c r="Z366" t="s">
        <v>7554</v>
      </c>
      <c r="AA366" t="s">
        <v>7555</v>
      </c>
      <c r="AB366" t="s">
        <v>7556</v>
      </c>
      <c r="AC366" t="s">
        <v>7557</v>
      </c>
      <c r="AD366" t="s">
        <v>7558</v>
      </c>
      <c r="AE366" t="s">
        <v>7559</v>
      </c>
      <c r="AF366" t="s">
        <v>74</v>
      </c>
      <c r="AG366">
        <v>62</v>
      </c>
      <c r="AH366">
        <v>22</v>
      </c>
      <c r="AI366">
        <v>25</v>
      </c>
      <c r="AJ366">
        <v>3</v>
      </c>
      <c r="AK366">
        <v>22</v>
      </c>
      <c r="AL366" t="s">
        <v>1425</v>
      </c>
      <c r="AM366" t="s">
        <v>1265</v>
      </c>
      <c r="AN366" t="s">
        <v>1426</v>
      </c>
      <c r="AO366" t="s">
        <v>1427</v>
      </c>
      <c r="AP366" t="s">
        <v>74</v>
      </c>
      <c r="AQ366" t="s">
        <v>74</v>
      </c>
      <c r="AR366" t="s">
        <v>1429</v>
      </c>
      <c r="AS366" t="s">
        <v>1430</v>
      </c>
      <c r="AT366" t="s">
        <v>7541</v>
      </c>
      <c r="AU366">
        <v>2019</v>
      </c>
      <c r="AV366">
        <v>116</v>
      </c>
      <c r="AW366">
        <v>47</v>
      </c>
      <c r="AX366" t="s">
        <v>74</v>
      </c>
      <c r="AY366" t="s">
        <v>74</v>
      </c>
      <c r="AZ366" t="s">
        <v>74</v>
      </c>
      <c r="BA366" t="s">
        <v>74</v>
      </c>
      <c r="BB366">
        <v>23455</v>
      </c>
      <c r="BC366">
        <v>23460</v>
      </c>
      <c r="BD366" t="s">
        <v>74</v>
      </c>
      <c r="BE366" t="s">
        <v>7560</v>
      </c>
      <c r="BF366" t="str">
        <f>HYPERLINK("http://dx.doi.org/10.1073/pnas.1905847116","http://dx.doi.org/10.1073/pnas.1905847116")</f>
        <v>http://dx.doi.org/10.1073/pnas.1905847116</v>
      </c>
      <c r="BG366" t="s">
        <v>74</v>
      </c>
      <c r="BH366" t="s">
        <v>74</v>
      </c>
      <c r="BI366">
        <v>6</v>
      </c>
      <c r="BJ366" t="s">
        <v>1245</v>
      </c>
      <c r="BK366" t="s">
        <v>294</v>
      </c>
      <c r="BL366" t="s">
        <v>1246</v>
      </c>
      <c r="BM366" t="s">
        <v>7561</v>
      </c>
      <c r="BN366">
        <v>31685605</v>
      </c>
      <c r="BO366" t="s">
        <v>2403</v>
      </c>
      <c r="BP366" t="s">
        <v>74</v>
      </c>
      <c r="BQ366" t="s">
        <v>74</v>
      </c>
      <c r="BR366" t="s">
        <v>108</v>
      </c>
      <c r="BS366" t="s">
        <v>7562</v>
      </c>
      <c r="BT366" t="str">
        <f>HYPERLINK("https%3A%2F%2Fwww.webofscience.com%2Fwos%2Fwoscc%2Ffull-record%2FWOS:000498683000019","View Full Record in Web of Science")</f>
        <v>View Full Record in Web of Science</v>
      </c>
    </row>
    <row r="367" spans="1:72" x14ac:dyDescent="0.15">
      <c r="A367" t="s">
        <v>133</v>
      </c>
      <c r="B367" t="s">
        <v>7563</v>
      </c>
      <c r="C367" t="s">
        <v>74</v>
      </c>
      <c r="D367" t="s">
        <v>74</v>
      </c>
      <c r="E367" t="s">
        <v>74</v>
      </c>
      <c r="F367" t="s">
        <v>7564</v>
      </c>
      <c r="G367" t="s">
        <v>74</v>
      </c>
      <c r="H367" t="s">
        <v>74</v>
      </c>
      <c r="I367" t="s">
        <v>7565</v>
      </c>
      <c r="J367" t="s">
        <v>1412</v>
      </c>
      <c r="K367" t="s">
        <v>74</v>
      </c>
      <c r="L367" t="s">
        <v>74</v>
      </c>
      <c r="M367" t="s">
        <v>80</v>
      </c>
      <c r="N367" t="s">
        <v>138</v>
      </c>
      <c r="O367" t="s">
        <v>74</v>
      </c>
      <c r="P367" t="s">
        <v>74</v>
      </c>
      <c r="Q367" t="s">
        <v>74</v>
      </c>
      <c r="R367" t="s">
        <v>74</v>
      </c>
      <c r="S367" t="s">
        <v>74</v>
      </c>
      <c r="T367" t="s">
        <v>7566</v>
      </c>
      <c r="U367" t="s">
        <v>7567</v>
      </c>
      <c r="V367" t="s">
        <v>7568</v>
      </c>
      <c r="W367" t="s">
        <v>7569</v>
      </c>
      <c r="X367" t="s">
        <v>7570</v>
      </c>
      <c r="Y367" t="s">
        <v>7571</v>
      </c>
      <c r="Z367" t="s">
        <v>7572</v>
      </c>
      <c r="AA367" t="s">
        <v>7573</v>
      </c>
      <c r="AB367" t="s">
        <v>7574</v>
      </c>
      <c r="AC367" t="s">
        <v>7575</v>
      </c>
      <c r="AD367" t="s">
        <v>7576</v>
      </c>
      <c r="AE367" t="s">
        <v>7577</v>
      </c>
      <c r="AF367" t="s">
        <v>74</v>
      </c>
      <c r="AG367">
        <v>63</v>
      </c>
      <c r="AH367">
        <v>27</v>
      </c>
      <c r="AI367">
        <v>27</v>
      </c>
      <c r="AJ367">
        <v>0</v>
      </c>
      <c r="AK367">
        <v>10</v>
      </c>
      <c r="AL367" t="s">
        <v>1425</v>
      </c>
      <c r="AM367" t="s">
        <v>1265</v>
      </c>
      <c r="AN367" t="s">
        <v>1426</v>
      </c>
      <c r="AO367" t="s">
        <v>1427</v>
      </c>
      <c r="AP367" t="s">
        <v>74</v>
      </c>
      <c r="AQ367" t="s">
        <v>74</v>
      </c>
      <c r="AR367" t="s">
        <v>1429</v>
      </c>
      <c r="AS367" t="s">
        <v>1430</v>
      </c>
      <c r="AT367" t="s">
        <v>7541</v>
      </c>
      <c r="AU367">
        <v>2019</v>
      </c>
      <c r="AV367">
        <v>116</v>
      </c>
      <c r="AW367">
        <v>47</v>
      </c>
      <c r="AX367" t="s">
        <v>74</v>
      </c>
      <c r="AY367" t="s">
        <v>74</v>
      </c>
      <c r="AZ367" t="s">
        <v>74</v>
      </c>
      <c r="BA367" t="s">
        <v>74</v>
      </c>
      <c r="BB367">
        <v>23461</v>
      </c>
      <c r="BC367">
        <v>23466</v>
      </c>
      <c r="BD367" t="s">
        <v>74</v>
      </c>
      <c r="BE367" t="s">
        <v>7578</v>
      </c>
      <c r="BF367" t="str">
        <f>HYPERLINK("http://dx.doi.org/10.1073/pnas.1912479116","http://dx.doi.org/10.1073/pnas.1912479116")</f>
        <v>http://dx.doi.org/10.1073/pnas.1912479116</v>
      </c>
      <c r="BG367" t="s">
        <v>74</v>
      </c>
      <c r="BH367" t="s">
        <v>74</v>
      </c>
      <c r="BI367">
        <v>6</v>
      </c>
      <c r="BJ367" t="s">
        <v>1245</v>
      </c>
      <c r="BK367" t="s">
        <v>294</v>
      </c>
      <c r="BL367" t="s">
        <v>1246</v>
      </c>
      <c r="BM367" t="s">
        <v>7561</v>
      </c>
      <c r="BN367">
        <v>31685614</v>
      </c>
      <c r="BO367" t="s">
        <v>2403</v>
      </c>
      <c r="BP367" t="s">
        <v>74</v>
      </c>
      <c r="BQ367" t="s">
        <v>74</v>
      </c>
      <c r="BR367" t="s">
        <v>108</v>
      </c>
      <c r="BS367" t="s">
        <v>7579</v>
      </c>
      <c r="BT367" t="str">
        <f>HYPERLINK("https%3A%2F%2Fwww.webofscience.com%2Fwos%2Fwoscc%2Ffull-record%2FWOS:000498683000020","View Full Record in Web of Science")</f>
        <v>View Full Record in Web of Science</v>
      </c>
    </row>
    <row r="368" spans="1:72" x14ac:dyDescent="0.15">
      <c r="A368" t="s">
        <v>133</v>
      </c>
      <c r="B368" t="s">
        <v>7580</v>
      </c>
      <c r="C368" t="s">
        <v>74</v>
      </c>
      <c r="D368" t="s">
        <v>74</v>
      </c>
      <c r="E368" t="s">
        <v>74</v>
      </c>
      <c r="F368" t="s">
        <v>7581</v>
      </c>
      <c r="G368" t="s">
        <v>74</v>
      </c>
      <c r="H368" t="s">
        <v>74</v>
      </c>
      <c r="I368" t="s">
        <v>7582</v>
      </c>
      <c r="J368" t="s">
        <v>1412</v>
      </c>
      <c r="K368" t="s">
        <v>74</v>
      </c>
      <c r="L368" t="s">
        <v>74</v>
      </c>
      <c r="M368" t="s">
        <v>80</v>
      </c>
      <c r="N368" t="s">
        <v>138</v>
      </c>
      <c r="O368" t="s">
        <v>74</v>
      </c>
      <c r="P368" t="s">
        <v>74</v>
      </c>
      <c r="Q368" t="s">
        <v>74</v>
      </c>
      <c r="R368" t="s">
        <v>74</v>
      </c>
      <c r="S368" t="s">
        <v>74</v>
      </c>
      <c r="T368" t="s">
        <v>7583</v>
      </c>
      <c r="U368" t="s">
        <v>7584</v>
      </c>
      <c r="V368" t="s">
        <v>7585</v>
      </c>
      <c r="W368" t="s">
        <v>7586</v>
      </c>
      <c r="X368" t="s">
        <v>7587</v>
      </c>
      <c r="Y368" t="s">
        <v>7588</v>
      </c>
      <c r="Z368" t="s">
        <v>7589</v>
      </c>
      <c r="AA368" t="s">
        <v>7590</v>
      </c>
      <c r="AB368" t="s">
        <v>7591</v>
      </c>
      <c r="AC368" t="s">
        <v>7592</v>
      </c>
      <c r="AD368" t="s">
        <v>7593</v>
      </c>
      <c r="AE368" t="s">
        <v>7594</v>
      </c>
      <c r="AF368" t="s">
        <v>74</v>
      </c>
      <c r="AG368">
        <v>45</v>
      </c>
      <c r="AH368">
        <v>28</v>
      </c>
      <c r="AI368">
        <v>31</v>
      </c>
      <c r="AJ368">
        <v>1</v>
      </c>
      <c r="AK368">
        <v>19</v>
      </c>
      <c r="AL368" t="s">
        <v>1425</v>
      </c>
      <c r="AM368" t="s">
        <v>1265</v>
      </c>
      <c r="AN368" t="s">
        <v>1426</v>
      </c>
      <c r="AO368" t="s">
        <v>1427</v>
      </c>
      <c r="AP368" t="s">
        <v>1428</v>
      </c>
      <c r="AQ368" t="s">
        <v>74</v>
      </c>
      <c r="AR368" t="s">
        <v>1429</v>
      </c>
      <c r="AS368" t="s">
        <v>1430</v>
      </c>
      <c r="AT368" t="s">
        <v>7541</v>
      </c>
      <c r="AU368">
        <v>2019</v>
      </c>
      <c r="AV368">
        <v>116</v>
      </c>
      <c r="AW368">
        <v>47</v>
      </c>
      <c r="AX368" t="s">
        <v>74</v>
      </c>
      <c r="AY368" t="s">
        <v>74</v>
      </c>
      <c r="AZ368" t="s">
        <v>74</v>
      </c>
      <c r="BA368" t="s">
        <v>74</v>
      </c>
      <c r="BB368">
        <v>23487</v>
      </c>
      <c r="BC368">
        <v>23492</v>
      </c>
      <c r="BD368" t="s">
        <v>74</v>
      </c>
      <c r="BE368" t="s">
        <v>7595</v>
      </c>
      <c r="BF368" t="str">
        <f>HYPERLINK("http://dx.doi.org/10.1073/pnas.1907461116","http://dx.doi.org/10.1073/pnas.1907461116")</f>
        <v>http://dx.doi.org/10.1073/pnas.1907461116</v>
      </c>
      <c r="BG368" t="s">
        <v>74</v>
      </c>
      <c r="BH368" t="s">
        <v>74</v>
      </c>
      <c r="BI368">
        <v>6</v>
      </c>
      <c r="BJ368" t="s">
        <v>1245</v>
      </c>
      <c r="BK368" t="s">
        <v>294</v>
      </c>
      <c r="BL368" t="s">
        <v>1246</v>
      </c>
      <c r="BM368" t="s">
        <v>7561</v>
      </c>
      <c r="BN368">
        <v>31685608</v>
      </c>
      <c r="BO368" t="s">
        <v>7596</v>
      </c>
      <c r="BP368" t="s">
        <v>74</v>
      </c>
      <c r="BQ368" t="s">
        <v>74</v>
      </c>
      <c r="BR368" t="s">
        <v>108</v>
      </c>
      <c r="BS368" t="s">
        <v>7597</v>
      </c>
      <c r="BT368" t="str">
        <f>HYPERLINK("https%3A%2F%2Fwww.webofscience.com%2Fwos%2Fwoscc%2Ffull-record%2FWOS:000498683000024","View Full Record in Web of Science")</f>
        <v>View Full Record in Web of Science</v>
      </c>
    </row>
    <row r="369" spans="1:72" x14ac:dyDescent="0.15">
      <c r="A369" t="s">
        <v>133</v>
      </c>
      <c r="B369" t="s">
        <v>7598</v>
      </c>
      <c r="C369" t="s">
        <v>74</v>
      </c>
      <c r="D369" t="s">
        <v>74</v>
      </c>
      <c r="E369" t="s">
        <v>74</v>
      </c>
      <c r="F369" t="s">
        <v>7599</v>
      </c>
      <c r="G369" t="s">
        <v>74</v>
      </c>
      <c r="H369" t="s">
        <v>74</v>
      </c>
      <c r="I369" t="s">
        <v>7600</v>
      </c>
      <c r="J369" t="s">
        <v>7601</v>
      </c>
      <c r="K369" t="s">
        <v>74</v>
      </c>
      <c r="L369" t="s">
        <v>74</v>
      </c>
      <c r="M369" t="s">
        <v>80</v>
      </c>
      <c r="N369" t="s">
        <v>138</v>
      </c>
      <c r="O369" t="s">
        <v>74</v>
      </c>
      <c r="P369" t="s">
        <v>74</v>
      </c>
      <c r="Q369" t="s">
        <v>74</v>
      </c>
      <c r="R369" t="s">
        <v>74</v>
      </c>
      <c r="S369" t="s">
        <v>74</v>
      </c>
      <c r="T369" t="s">
        <v>74</v>
      </c>
      <c r="U369" t="s">
        <v>7602</v>
      </c>
      <c r="V369" t="s">
        <v>7603</v>
      </c>
      <c r="W369" t="s">
        <v>7604</v>
      </c>
      <c r="X369" t="s">
        <v>7605</v>
      </c>
      <c r="Y369" t="s">
        <v>7606</v>
      </c>
      <c r="Z369" t="s">
        <v>7607</v>
      </c>
      <c r="AA369" t="s">
        <v>74</v>
      </c>
      <c r="AB369" t="s">
        <v>74</v>
      </c>
      <c r="AC369" t="s">
        <v>7608</v>
      </c>
      <c r="AD369" t="s">
        <v>7609</v>
      </c>
      <c r="AE369" t="s">
        <v>7610</v>
      </c>
      <c r="AF369" t="s">
        <v>74</v>
      </c>
      <c r="AG369">
        <v>47</v>
      </c>
      <c r="AH369">
        <v>6</v>
      </c>
      <c r="AI369">
        <v>6</v>
      </c>
      <c r="AJ369">
        <v>4</v>
      </c>
      <c r="AK369">
        <v>39</v>
      </c>
      <c r="AL369" t="s">
        <v>7611</v>
      </c>
      <c r="AM369" t="s">
        <v>1265</v>
      </c>
      <c r="AN369" t="s">
        <v>7612</v>
      </c>
      <c r="AO369" t="s">
        <v>7613</v>
      </c>
      <c r="AP369" t="s">
        <v>7614</v>
      </c>
      <c r="AQ369" t="s">
        <v>74</v>
      </c>
      <c r="AR369" t="s">
        <v>7615</v>
      </c>
      <c r="AS369" t="s">
        <v>7616</v>
      </c>
      <c r="AT369" t="s">
        <v>7541</v>
      </c>
      <c r="AU369">
        <v>2019</v>
      </c>
      <c r="AV369">
        <v>53</v>
      </c>
      <c r="AW369">
        <v>22</v>
      </c>
      <c r="AX369" t="s">
        <v>74</v>
      </c>
      <c r="AY369" t="s">
        <v>74</v>
      </c>
      <c r="AZ369" t="s">
        <v>74</v>
      </c>
      <c r="BA369" t="s">
        <v>74</v>
      </c>
      <c r="BB369">
        <v>12999</v>
      </c>
      <c r="BC369">
        <v>13008</v>
      </c>
      <c r="BD369" t="s">
        <v>74</v>
      </c>
      <c r="BE369" t="s">
        <v>7617</v>
      </c>
      <c r="BF369" t="str">
        <f>HYPERLINK("http://dx.doi.org/10.1021/acs.est.9b01805","http://dx.doi.org/10.1021/acs.est.9b01805")</f>
        <v>http://dx.doi.org/10.1021/acs.est.9b01805</v>
      </c>
      <c r="BG369" t="s">
        <v>74</v>
      </c>
      <c r="BH369" t="s">
        <v>74</v>
      </c>
      <c r="BI369">
        <v>10</v>
      </c>
      <c r="BJ369" t="s">
        <v>5230</v>
      </c>
      <c r="BK369" t="s">
        <v>294</v>
      </c>
      <c r="BL369" t="s">
        <v>5231</v>
      </c>
      <c r="BM369" t="s">
        <v>7618</v>
      </c>
      <c r="BN369">
        <v>31603318</v>
      </c>
      <c r="BO369" t="s">
        <v>74</v>
      </c>
      <c r="BP369" t="s">
        <v>74</v>
      </c>
      <c r="BQ369" t="s">
        <v>74</v>
      </c>
      <c r="BR369" t="s">
        <v>108</v>
      </c>
      <c r="BS369" t="s">
        <v>7619</v>
      </c>
      <c r="BT369" t="str">
        <f>HYPERLINK("https%3A%2F%2Fwww.webofscience.com%2Fwos%2Fwoscc%2Ffull-record%2FWOS:000498279400004","View Full Record in Web of Science")</f>
        <v>View Full Record in Web of Science</v>
      </c>
    </row>
    <row r="370" spans="1:72" x14ac:dyDescent="0.15">
      <c r="A370" t="s">
        <v>133</v>
      </c>
      <c r="B370" t="s">
        <v>7620</v>
      </c>
      <c r="C370" t="s">
        <v>74</v>
      </c>
      <c r="D370" t="s">
        <v>74</v>
      </c>
      <c r="E370" t="s">
        <v>74</v>
      </c>
      <c r="F370" t="s">
        <v>7621</v>
      </c>
      <c r="G370" t="s">
        <v>74</v>
      </c>
      <c r="H370" t="s">
        <v>74</v>
      </c>
      <c r="I370" t="s">
        <v>7622</v>
      </c>
      <c r="J370" t="s">
        <v>7601</v>
      </c>
      <c r="K370" t="s">
        <v>74</v>
      </c>
      <c r="L370" t="s">
        <v>74</v>
      </c>
      <c r="M370" t="s">
        <v>80</v>
      </c>
      <c r="N370" t="s">
        <v>138</v>
      </c>
      <c r="O370" t="s">
        <v>74</v>
      </c>
      <c r="P370" t="s">
        <v>74</v>
      </c>
      <c r="Q370" t="s">
        <v>74</v>
      </c>
      <c r="R370" t="s">
        <v>74</v>
      </c>
      <c r="S370" t="s">
        <v>74</v>
      </c>
      <c r="T370" t="s">
        <v>74</v>
      </c>
      <c r="U370" t="s">
        <v>7623</v>
      </c>
      <c r="V370" t="s">
        <v>7624</v>
      </c>
      <c r="W370" t="s">
        <v>7625</v>
      </c>
      <c r="X370" t="s">
        <v>7626</v>
      </c>
      <c r="Y370" t="s">
        <v>7627</v>
      </c>
      <c r="Z370" t="s">
        <v>7628</v>
      </c>
      <c r="AA370" t="s">
        <v>74</v>
      </c>
      <c r="AB370" t="s">
        <v>7629</v>
      </c>
      <c r="AC370" t="s">
        <v>7630</v>
      </c>
      <c r="AD370" t="s">
        <v>7631</v>
      </c>
      <c r="AE370" t="s">
        <v>7632</v>
      </c>
      <c r="AF370" t="s">
        <v>74</v>
      </c>
      <c r="AG370">
        <v>51</v>
      </c>
      <c r="AH370">
        <v>24</v>
      </c>
      <c r="AI370">
        <v>24</v>
      </c>
      <c r="AJ370">
        <v>11</v>
      </c>
      <c r="AK370">
        <v>61</v>
      </c>
      <c r="AL370" t="s">
        <v>7611</v>
      </c>
      <c r="AM370" t="s">
        <v>1265</v>
      </c>
      <c r="AN370" t="s">
        <v>7612</v>
      </c>
      <c r="AO370" t="s">
        <v>7613</v>
      </c>
      <c r="AP370" t="s">
        <v>7614</v>
      </c>
      <c r="AQ370" t="s">
        <v>74</v>
      </c>
      <c r="AR370" t="s">
        <v>7615</v>
      </c>
      <c r="AS370" t="s">
        <v>7616</v>
      </c>
      <c r="AT370" t="s">
        <v>7541</v>
      </c>
      <c r="AU370">
        <v>2019</v>
      </c>
      <c r="AV370">
        <v>53</v>
      </c>
      <c r="AW370">
        <v>22</v>
      </c>
      <c r="AX370" t="s">
        <v>74</v>
      </c>
      <c r="AY370" t="s">
        <v>74</v>
      </c>
      <c r="AZ370" t="s">
        <v>74</v>
      </c>
      <c r="BA370" t="s">
        <v>74</v>
      </c>
      <c r="BB370">
        <v>13064</v>
      </c>
      <c r="BC370">
        <v>13070</v>
      </c>
      <c r="BD370" t="s">
        <v>74</v>
      </c>
      <c r="BE370" t="s">
        <v>7633</v>
      </c>
      <c r="BF370" t="str">
        <f>HYPERLINK("http://dx.doi.org/10.1021/acs.est.9b05362","http://dx.doi.org/10.1021/acs.est.9b05362")</f>
        <v>http://dx.doi.org/10.1021/acs.est.9b05362</v>
      </c>
      <c r="BG370" t="s">
        <v>74</v>
      </c>
      <c r="BH370" t="s">
        <v>74</v>
      </c>
      <c r="BI370">
        <v>7</v>
      </c>
      <c r="BJ370" t="s">
        <v>5230</v>
      </c>
      <c r="BK370" t="s">
        <v>294</v>
      </c>
      <c r="BL370" t="s">
        <v>5231</v>
      </c>
      <c r="BM370" t="s">
        <v>7618</v>
      </c>
      <c r="BN370">
        <v>31670933</v>
      </c>
      <c r="BO370" t="s">
        <v>74</v>
      </c>
      <c r="BP370" t="s">
        <v>74</v>
      </c>
      <c r="BQ370" t="s">
        <v>74</v>
      </c>
      <c r="BR370" t="s">
        <v>108</v>
      </c>
      <c r="BS370" t="s">
        <v>7634</v>
      </c>
      <c r="BT370" t="str">
        <f>HYPERLINK("https%3A%2F%2Fwww.webofscience.com%2Fwos%2Fwoscc%2Ffull-record%2FWOS:000498279400010","View Full Record in Web of Science")</f>
        <v>View Full Record in Web of Science</v>
      </c>
    </row>
    <row r="371" spans="1:72" x14ac:dyDescent="0.15">
      <c r="A371" t="s">
        <v>133</v>
      </c>
      <c r="B371" t="s">
        <v>7635</v>
      </c>
      <c r="C371" t="s">
        <v>74</v>
      </c>
      <c r="D371" t="s">
        <v>74</v>
      </c>
      <c r="E371" t="s">
        <v>74</v>
      </c>
      <c r="F371" t="s">
        <v>7636</v>
      </c>
      <c r="G371" t="s">
        <v>74</v>
      </c>
      <c r="H371" t="s">
        <v>74</v>
      </c>
      <c r="I371" t="s">
        <v>7637</v>
      </c>
      <c r="J371" t="s">
        <v>2408</v>
      </c>
      <c r="K371" t="s">
        <v>74</v>
      </c>
      <c r="L371" t="s">
        <v>74</v>
      </c>
      <c r="M371" t="s">
        <v>80</v>
      </c>
      <c r="N371" t="s">
        <v>138</v>
      </c>
      <c r="O371" t="s">
        <v>74</v>
      </c>
      <c r="P371" t="s">
        <v>74</v>
      </c>
      <c r="Q371" t="s">
        <v>74</v>
      </c>
      <c r="R371" t="s">
        <v>74</v>
      </c>
      <c r="S371" t="s">
        <v>74</v>
      </c>
      <c r="T371" t="s">
        <v>74</v>
      </c>
      <c r="U371" t="s">
        <v>7638</v>
      </c>
      <c r="V371" t="s">
        <v>7639</v>
      </c>
      <c r="W371" t="s">
        <v>7640</v>
      </c>
      <c r="X371" t="s">
        <v>7641</v>
      </c>
      <c r="Y371" t="s">
        <v>7642</v>
      </c>
      <c r="Z371" t="s">
        <v>7643</v>
      </c>
      <c r="AA371" t="s">
        <v>7644</v>
      </c>
      <c r="AB371" t="s">
        <v>7645</v>
      </c>
      <c r="AC371" t="s">
        <v>7646</v>
      </c>
      <c r="AD371" t="s">
        <v>7647</v>
      </c>
      <c r="AE371" t="s">
        <v>7648</v>
      </c>
      <c r="AF371" t="s">
        <v>74</v>
      </c>
      <c r="AG371">
        <v>79</v>
      </c>
      <c r="AH371">
        <v>40</v>
      </c>
      <c r="AI371">
        <v>43</v>
      </c>
      <c r="AJ371">
        <v>2</v>
      </c>
      <c r="AK371">
        <v>12</v>
      </c>
      <c r="AL371" t="s">
        <v>429</v>
      </c>
      <c r="AM371" t="s">
        <v>430</v>
      </c>
      <c r="AN371" t="s">
        <v>431</v>
      </c>
      <c r="AO371" t="s">
        <v>2419</v>
      </c>
      <c r="AP371" t="s">
        <v>2420</v>
      </c>
      <c r="AQ371" t="s">
        <v>74</v>
      </c>
      <c r="AR371" t="s">
        <v>2421</v>
      </c>
      <c r="AS371" t="s">
        <v>2422</v>
      </c>
      <c r="AT371" t="s">
        <v>291</v>
      </c>
      <c r="AU371">
        <v>2020</v>
      </c>
      <c r="AV371">
        <v>55</v>
      </c>
      <c r="AW371">
        <v>1</v>
      </c>
      <c r="AX371" t="s">
        <v>74</v>
      </c>
      <c r="AY371" t="s">
        <v>74</v>
      </c>
      <c r="AZ371" t="s">
        <v>74</v>
      </c>
      <c r="BA371" t="s">
        <v>74</v>
      </c>
      <c r="BB371">
        <v>77</v>
      </c>
      <c r="BC371">
        <v>101</v>
      </c>
      <c r="BD371" t="s">
        <v>74</v>
      </c>
      <c r="BE371" t="s">
        <v>7649</v>
      </c>
      <c r="BF371" t="str">
        <f>HYPERLINK("http://dx.doi.org/10.1111/maps.13411","http://dx.doi.org/10.1111/maps.13411")</f>
        <v>http://dx.doi.org/10.1111/maps.13411</v>
      </c>
      <c r="BG371" t="s">
        <v>74</v>
      </c>
      <c r="BH371" t="s">
        <v>6368</v>
      </c>
      <c r="BI371">
        <v>25</v>
      </c>
      <c r="BJ371" t="s">
        <v>1067</v>
      </c>
      <c r="BK371" t="s">
        <v>294</v>
      </c>
      <c r="BL371" t="s">
        <v>1067</v>
      </c>
      <c r="BM371" t="s">
        <v>2424</v>
      </c>
      <c r="BN371" t="s">
        <v>74</v>
      </c>
      <c r="BO371" t="s">
        <v>7252</v>
      </c>
      <c r="BP371" t="s">
        <v>74</v>
      </c>
      <c r="BQ371" t="s">
        <v>74</v>
      </c>
      <c r="BR371" t="s">
        <v>108</v>
      </c>
      <c r="BS371" t="s">
        <v>7650</v>
      </c>
      <c r="BT371" t="str">
        <f>HYPERLINK("https%3A%2F%2Fwww.webofscience.com%2Fwos%2Fwoscc%2Ffull-record%2FWOS:000497057800001","View Full Record in Web of Science")</f>
        <v>View Full Record in Web of Science</v>
      </c>
    </row>
    <row r="372" spans="1:72" x14ac:dyDescent="0.15">
      <c r="A372" t="s">
        <v>133</v>
      </c>
      <c r="B372" t="s">
        <v>7651</v>
      </c>
      <c r="C372" t="s">
        <v>74</v>
      </c>
      <c r="D372" t="s">
        <v>74</v>
      </c>
      <c r="E372" t="s">
        <v>74</v>
      </c>
      <c r="F372" t="s">
        <v>7652</v>
      </c>
      <c r="G372" t="s">
        <v>74</v>
      </c>
      <c r="H372" t="s">
        <v>74</v>
      </c>
      <c r="I372" t="s">
        <v>7653</v>
      </c>
      <c r="J372" t="s">
        <v>7654</v>
      </c>
      <c r="K372" t="s">
        <v>74</v>
      </c>
      <c r="L372" t="s">
        <v>74</v>
      </c>
      <c r="M372" t="s">
        <v>80</v>
      </c>
      <c r="N372" t="s">
        <v>138</v>
      </c>
      <c r="O372" t="s">
        <v>74</v>
      </c>
      <c r="P372" t="s">
        <v>74</v>
      </c>
      <c r="Q372" t="s">
        <v>74</v>
      </c>
      <c r="R372" t="s">
        <v>74</v>
      </c>
      <c r="S372" t="s">
        <v>74</v>
      </c>
      <c r="T372" t="s">
        <v>7655</v>
      </c>
      <c r="U372" t="s">
        <v>74</v>
      </c>
      <c r="V372" t="s">
        <v>7656</v>
      </c>
      <c r="W372" t="s">
        <v>7657</v>
      </c>
      <c r="X372" t="s">
        <v>7658</v>
      </c>
      <c r="Y372" t="s">
        <v>7659</v>
      </c>
      <c r="Z372" t="s">
        <v>7660</v>
      </c>
      <c r="AA372" t="s">
        <v>7661</v>
      </c>
      <c r="AB372" t="s">
        <v>7662</v>
      </c>
      <c r="AC372" t="s">
        <v>7663</v>
      </c>
      <c r="AD372" t="s">
        <v>7664</v>
      </c>
      <c r="AE372" t="s">
        <v>7665</v>
      </c>
      <c r="AF372" t="s">
        <v>74</v>
      </c>
      <c r="AG372">
        <v>30</v>
      </c>
      <c r="AH372">
        <v>18</v>
      </c>
      <c r="AI372">
        <v>19</v>
      </c>
      <c r="AJ372">
        <v>1</v>
      </c>
      <c r="AK372">
        <v>15</v>
      </c>
      <c r="AL372" t="s">
        <v>429</v>
      </c>
      <c r="AM372" t="s">
        <v>430</v>
      </c>
      <c r="AN372" t="s">
        <v>431</v>
      </c>
      <c r="AO372" t="s">
        <v>7666</v>
      </c>
      <c r="AP372" t="s">
        <v>7667</v>
      </c>
      <c r="AQ372" t="s">
        <v>74</v>
      </c>
      <c r="AR372" t="s">
        <v>7668</v>
      </c>
      <c r="AS372" t="s">
        <v>7669</v>
      </c>
      <c r="AT372" t="s">
        <v>291</v>
      </c>
      <c r="AU372">
        <v>2020</v>
      </c>
      <c r="AV372">
        <v>11</v>
      </c>
      <c r="AW372">
        <v>1</v>
      </c>
      <c r="AX372" t="s">
        <v>74</v>
      </c>
      <c r="AY372" t="s">
        <v>74</v>
      </c>
      <c r="AZ372" t="s">
        <v>74</v>
      </c>
      <c r="BA372" t="s">
        <v>74</v>
      </c>
      <c r="BB372">
        <v>95</v>
      </c>
      <c r="BC372">
        <v>105</v>
      </c>
      <c r="BD372" t="s">
        <v>74</v>
      </c>
      <c r="BE372" t="s">
        <v>7670</v>
      </c>
      <c r="BF372" t="str">
        <f>HYPERLINK("http://dx.doi.org/10.1111/2041-210X.13321","http://dx.doi.org/10.1111/2041-210X.13321")</f>
        <v>http://dx.doi.org/10.1111/2041-210X.13321</v>
      </c>
      <c r="BG372" t="s">
        <v>74</v>
      </c>
      <c r="BH372" t="s">
        <v>6368</v>
      </c>
      <c r="BI372">
        <v>11</v>
      </c>
      <c r="BJ372" t="s">
        <v>437</v>
      </c>
      <c r="BK372" t="s">
        <v>294</v>
      </c>
      <c r="BL372" t="s">
        <v>388</v>
      </c>
      <c r="BM372" t="s">
        <v>7671</v>
      </c>
      <c r="BN372" t="s">
        <v>74</v>
      </c>
      <c r="BO372" t="s">
        <v>588</v>
      </c>
      <c r="BP372" t="s">
        <v>74</v>
      </c>
      <c r="BQ372" t="s">
        <v>74</v>
      </c>
      <c r="BR372" t="s">
        <v>108</v>
      </c>
      <c r="BS372" t="s">
        <v>7672</v>
      </c>
      <c r="BT372" t="str">
        <f>HYPERLINK("https%3A%2F%2Fwww.webofscience.com%2Fwos%2Fwoscc%2Ffull-record%2FWOS:000497053900001","View Full Record in Web of Science")</f>
        <v>View Full Record in Web of Science</v>
      </c>
    </row>
    <row r="373" spans="1:72" x14ac:dyDescent="0.15">
      <c r="A373" t="s">
        <v>133</v>
      </c>
      <c r="B373" t="s">
        <v>7673</v>
      </c>
      <c r="C373" t="s">
        <v>74</v>
      </c>
      <c r="D373" t="s">
        <v>74</v>
      </c>
      <c r="E373" t="s">
        <v>74</v>
      </c>
      <c r="F373" t="s">
        <v>7674</v>
      </c>
      <c r="G373" t="s">
        <v>74</v>
      </c>
      <c r="H373" t="s">
        <v>74</v>
      </c>
      <c r="I373" t="s">
        <v>7675</v>
      </c>
      <c r="J373" t="s">
        <v>2088</v>
      </c>
      <c r="K373" t="s">
        <v>74</v>
      </c>
      <c r="L373" t="s">
        <v>74</v>
      </c>
      <c r="M373" t="s">
        <v>80</v>
      </c>
      <c r="N373" t="s">
        <v>138</v>
      </c>
      <c r="O373" t="s">
        <v>74</v>
      </c>
      <c r="P373" t="s">
        <v>74</v>
      </c>
      <c r="Q373" t="s">
        <v>74</v>
      </c>
      <c r="R373" t="s">
        <v>74</v>
      </c>
      <c r="S373" t="s">
        <v>74</v>
      </c>
      <c r="T373" t="s">
        <v>74</v>
      </c>
      <c r="U373" t="s">
        <v>7676</v>
      </c>
      <c r="V373" t="s">
        <v>7677</v>
      </c>
      <c r="W373" t="s">
        <v>7678</v>
      </c>
      <c r="X373" t="s">
        <v>7679</v>
      </c>
      <c r="Y373" t="s">
        <v>7680</v>
      </c>
      <c r="Z373" t="s">
        <v>7681</v>
      </c>
      <c r="AA373" t="s">
        <v>7682</v>
      </c>
      <c r="AB373" t="s">
        <v>7683</v>
      </c>
      <c r="AC373" t="s">
        <v>7684</v>
      </c>
      <c r="AD373" t="s">
        <v>7685</v>
      </c>
      <c r="AE373" t="s">
        <v>7686</v>
      </c>
      <c r="AF373" t="s">
        <v>74</v>
      </c>
      <c r="AG373">
        <v>72</v>
      </c>
      <c r="AH373">
        <v>4</v>
      </c>
      <c r="AI373">
        <v>5</v>
      </c>
      <c r="AJ373">
        <v>0</v>
      </c>
      <c r="AK373">
        <v>7</v>
      </c>
      <c r="AL373" t="s">
        <v>2099</v>
      </c>
      <c r="AM373" t="s">
        <v>2100</v>
      </c>
      <c r="AN373" t="s">
        <v>2101</v>
      </c>
      <c r="AO373" t="s">
        <v>2102</v>
      </c>
      <c r="AP373" t="s">
        <v>2103</v>
      </c>
      <c r="AQ373" t="s">
        <v>74</v>
      </c>
      <c r="AR373" t="s">
        <v>2088</v>
      </c>
      <c r="AS373" t="s">
        <v>2104</v>
      </c>
      <c r="AT373" t="s">
        <v>7687</v>
      </c>
      <c r="AU373">
        <v>2019</v>
      </c>
      <c r="AV373">
        <v>13</v>
      </c>
      <c r="AW373">
        <v>11</v>
      </c>
      <c r="AX373" t="s">
        <v>74</v>
      </c>
      <c r="AY373" t="s">
        <v>74</v>
      </c>
      <c r="AZ373" t="s">
        <v>74</v>
      </c>
      <c r="BA373" t="s">
        <v>74</v>
      </c>
      <c r="BB373">
        <v>3023</v>
      </c>
      <c r="BC373">
        <v>3043</v>
      </c>
      <c r="BD373" t="s">
        <v>74</v>
      </c>
      <c r="BE373" t="s">
        <v>7688</v>
      </c>
      <c r="BF373" t="str">
        <f>HYPERLINK("http://dx.doi.org/10.5194/tc-13-3023-2019","http://dx.doi.org/10.5194/tc-13-3023-2019")</f>
        <v>http://dx.doi.org/10.5194/tc-13-3023-2019</v>
      </c>
      <c r="BG373" t="s">
        <v>74</v>
      </c>
      <c r="BH373" t="s">
        <v>74</v>
      </c>
      <c r="BI373">
        <v>21</v>
      </c>
      <c r="BJ373" t="s">
        <v>462</v>
      </c>
      <c r="BK373" t="s">
        <v>294</v>
      </c>
      <c r="BL373" t="s">
        <v>463</v>
      </c>
      <c r="BM373" t="s">
        <v>7689</v>
      </c>
      <c r="BN373" t="s">
        <v>74</v>
      </c>
      <c r="BO373" t="s">
        <v>976</v>
      </c>
      <c r="BP373" t="s">
        <v>74</v>
      </c>
      <c r="BQ373" t="s">
        <v>74</v>
      </c>
      <c r="BR373" t="s">
        <v>108</v>
      </c>
      <c r="BS373" t="s">
        <v>7690</v>
      </c>
      <c r="BT373" t="str">
        <f>HYPERLINK("https%3A%2F%2Fwww.webofscience.com%2Fwos%2Fwoscc%2Ffull-record%2FWOS:000497783600002","View Full Record in Web of Science")</f>
        <v>View Full Record in Web of Science</v>
      </c>
    </row>
    <row r="374" spans="1:72" x14ac:dyDescent="0.15">
      <c r="A374" t="s">
        <v>133</v>
      </c>
      <c r="B374" t="s">
        <v>7691</v>
      </c>
      <c r="C374" t="s">
        <v>74</v>
      </c>
      <c r="D374" t="s">
        <v>74</v>
      </c>
      <c r="E374" t="s">
        <v>74</v>
      </c>
      <c r="F374" t="s">
        <v>7692</v>
      </c>
      <c r="G374" t="s">
        <v>74</v>
      </c>
      <c r="H374" t="s">
        <v>74</v>
      </c>
      <c r="I374" t="s">
        <v>7693</v>
      </c>
      <c r="J374" t="s">
        <v>2623</v>
      </c>
      <c r="K374" t="s">
        <v>74</v>
      </c>
      <c r="L374" t="s">
        <v>74</v>
      </c>
      <c r="M374" t="s">
        <v>80</v>
      </c>
      <c r="N374" t="s">
        <v>138</v>
      </c>
      <c r="O374" t="s">
        <v>74</v>
      </c>
      <c r="P374" t="s">
        <v>74</v>
      </c>
      <c r="Q374" t="s">
        <v>74</v>
      </c>
      <c r="R374" t="s">
        <v>74</v>
      </c>
      <c r="S374" t="s">
        <v>74</v>
      </c>
      <c r="T374" t="s">
        <v>74</v>
      </c>
      <c r="U374" t="s">
        <v>7694</v>
      </c>
      <c r="V374" t="s">
        <v>7695</v>
      </c>
      <c r="W374" t="s">
        <v>7696</v>
      </c>
      <c r="X374" t="s">
        <v>7697</v>
      </c>
      <c r="Y374" t="s">
        <v>7698</v>
      </c>
      <c r="Z374" t="s">
        <v>7699</v>
      </c>
      <c r="AA374" t="s">
        <v>7700</v>
      </c>
      <c r="AB374" t="s">
        <v>7701</v>
      </c>
      <c r="AC374" t="s">
        <v>7702</v>
      </c>
      <c r="AD374" t="s">
        <v>7703</v>
      </c>
      <c r="AE374" t="s">
        <v>7704</v>
      </c>
      <c r="AF374" t="s">
        <v>74</v>
      </c>
      <c r="AG374">
        <v>66</v>
      </c>
      <c r="AH374">
        <v>19</v>
      </c>
      <c r="AI374">
        <v>21</v>
      </c>
      <c r="AJ374">
        <v>0</v>
      </c>
      <c r="AK374">
        <v>16</v>
      </c>
      <c r="AL374" t="s">
        <v>2635</v>
      </c>
      <c r="AM374" t="s">
        <v>841</v>
      </c>
      <c r="AN374" t="s">
        <v>842</v>
      </c>
      <c r="AO374" t="s">
        <v>2636</v>
      </c>
      <c r="AP374" t="s">
        <v>74</v>
      </c>
      <c r="AQ374" t="s">
        <v>74</v>
      </c>
      <c r="AR374" t="s">
        <v>2637</v>
      </c>
      <c r="AS374" t="s">
        <v>2638</v>
      </c>
      <c r="AT374" t="s">
        <v>7687</v>
      </c>
      <c r="AU374">
        <v>2019</v>
      </c>
      <c r="AV374">
        <v>9</v>
      </c>
      <c r="AW374" t="s">
        <v>74</v>
      </c>
      <c r="AX374" t="s">
        <v>74</v>
      </c>
      <c r="AY374" t="s">
        <v>74</v>
      </c>
      <c r="AZ374" t="s">
        <v>74</v>
      </c>
      <c r="BA374" t="s">
        <v>74</v>
      </c>
      <c r="BB374" t="s">
        <v>74</v>
      </c>
      <c r="BC374" t="s">
        <v>74</v>
      </c>
      <c r="BD374">
        <v>16945</v>
      </c>
      <c r="BE374" t="s">
        <v>7705</v>
      </c>
      <c r="BF374" t="str">
        <f>HYPERLINK("http://dx.doi.org/10.1038/s41598-019-53486-7","http://dx.doi.org/10.1038/s41598-019-53486-7")</f>
        <v>http://dx.doi.org/10.1038/s41598-019-53486-7</v>
      </c>
      <c r="BG374" t="s">
        <v>74</v>
      </c>
      <c r="BH374" t="s">
        <v>74</v>
      </c>
      <c r="BI374">
        <v>10</v>
      </c>
      <c r="BJ374" t="s">
        <v>1245</v>
      </c>
      <c r="BK374" t="s">
        <v>294</v>
      </c>
      <c r="BL374" t="s">
        <v>1246</v>
      </c>
      <c r="BM374" t="s">
        <v>7706</v>
      </c>
      <c r="BN374">
        <v>31740708</v>
      </c>
      <c r="BO374" t="s">
        <v>2934</v>
      </c>
      <c r="BP374" t="s">
        <v>74</v>
      </c>
      <c r="BQ374" t="s">
        <v>74</v>
      </c>
      <c r="BR374" t="s">
        <v>108</v>
      </c>
      <c r="BS374" t="s">
        <v>7707</v>
      </c>
      <c r="BT374" t="str">
        <f>HYPERLINK("https%3A%2F%2Fwww.webofscience.com%2Fwos%2Fwoscc%2Ffull-record%2FWOS:000496920900001","View Full Record in Web of Science")</f>
        <v>View Full Record in Web of Science</v>
      </c>
    </row>
    <row r="375" spans="1:72" x14ac:dyDescent="0.15">
      <c r="A375" t="s">
        <v>133</v>
      </c>
      <c r="B375" t="s">
        <v>7708</v>
      </c>
      <c r="C375" t="s">
        <v>74</v>
      </c>
      <c r="D375" t="s">
        <v>74</v>
      </c>
      <c r="E375" t="s">
        <v>74</v>
      </c>
      <c r="F375" t="s">
        <v>7709</v>
      </c>
      <c r="G375" t="s">
        <v>74</v>
      </c>
      <c r="H375" t="s">
        <v>74</v>
      </c>
      <c r="I375" t="s">
        <v>7710</v>
      </c>
      <c r="J375" t="s">
        <v>7711</v>
      </c>
      <c r="K375" t="s">
        <v>74</v>
      </c>
      <c r="L375" t="s">
        <v>74</v>
      </c>
      <c r="M375" t="s">
        <v>80</v>
      </c>
      <c r="N375" t="s">
        <v>138</v>
      </c>
      <c r="O375" t="s">
        <v>74</v>
      </c>
      <c r="P375" t="s">
        <v>74</v>
      </c>
      <c r="Q375" t="s">
        <v>74</v>
      </c>
      <c r="R375" t="s">
        <v>74</v>
      </c>
      <c r="S375" t="s">
        <v>74</v>
      </c>
      <c r="T375" t="s">
        <v>7712</v>
      </c>
      <c r="U375" t="s">
        <v>7713</v>
      </c>
      <c r="V375" t="s">
        <v>7714</v>
      </c>
      <c r="W375" t="s">
        <v>7715</v>
      </c>
      <c r="X375" t="s">
        <v>7716</v>
      </c>
      <c r="Y375" t="s">
        <v>7717</v>
      </c>
      <c r="Z375" t="s">
        <v>7718</v>
      </c>
      <c r="AA375" t="s">
        <v>7719</v>
      </c>
      <c r="AB375" t="s">
        <v>7720</v>
      </c>
      <c r="AC375" t="s">
        <v>7721</v>
      </c>
      <c r="AD375" t="s">
        <v>7722</v>
      </c>
      <c r="AE375" t="s">
        <v>7723</v>
      </c>
      <c r="AF375" t="s">
        <v>74</v>
      </c>
      <c r="AG375">
        <v>63</v>
      </c>
      <c r="AH375">
        <v>4</v>
      </c>
      <c r="AI375">
        <v>8</v>
      </c>
      <c r="AJ375">
        <v>1</v>
      </c>
      <c r="AK375">
        <v>19</v>
      </c>
      <c r="AL375" t="s">
        <v>429</v>
      </c>
      <c r="AM375" t="s">
        <v>430</v>
      </c>
      <c r="AN375" t="s">
        <v>431</v>
      </c>
      <c r="AO375" t="s">
        <v>7724</v>
      </c>
      <c r="AP375" t="s">
        <v>7725</v>
      </c>
      <c r="AQ375" t="s">
        <v>74</v>
      </c>
      <c r="AR375" t="s">
        <v>7726</v>
      </c>
      <c r="AS375" t="s">
        <v>7727</v>
      </c>
      <c r="AT375" t="s">
        <v>1527</v>
      </c>
      <c r="AU375">
        <v>2020</v>
      </c>
      <c r="AV375">
        <v>56</v>
      </c>
      <c r="AW375">
        <v>1</v>
      </c>
      <c r="AX375" t="s">
        <v>74</v>
      </c>
      <c r="AY375" t="s">
        <v>74</v>
      </c>
      <c r="AZ375" t="s">
        <v>74</v>
      </c>
      <c r="BA375" t="s">
        <v>74</v>
      </c>
      <c r="BB375">
        <v>208</v>
      </c>
      <c r="BC375">
        <v>216</v>
      </c>
      <c r="BD375" t="s">
        <v>74</v>
      </c>
      <c r="BE375" t="s">
        <v>7728</v>
      </c>
      <c r="BF375" t="str">
        <f>HYPERLINK("http://dx.doi.org/10.1111/jpy.12940","http://dx.doi.org/10.1111/jpy.12940")</f>
        <v>http://dx.doi.org/10.1111/jpy.12940</v>
      </c>
      <c r="BG375" t="s">
        <v>74</v>
      </c>
      <c r="BH375" t="s">
        <v>6368</v>
      </c>
      <c r="BI375">
        <v>9</v>
      </c>
      <c r="BJ375" t="s">
        <v>4535</v>
      </c>
      <c r="BK375" t="s">
        <v>294</v>
      </c>
      <c r="BL375" t="s">
        <v>4535</v>
      </c>
      <c r="BM375" t="s">
        <v>7729</v>
      </c>
      <c r="BN375">
        <v>31643075</v>
      </c>
      <c r="BO375" t="s">
        <v>1482</v>
      </c>
      <c r="BP375" t="s">
        <v>74</v>
      </c>
      <c r="BQ375" t="s">
        <v>74</v>
      </c>
      <c r="BR375" t="s">
        <v>108</v>
      </c>
      <c r="BS375" t="s">
        <v>7730</v>
      </c>
      <c r="BT375" t="str">
        <f>HYPERLINK("https%3A%2F%2Fwww.webofscience.com%2Fwos%2Fwoscc%2Ffull-record%2FWOS:000496745000001","View Full Record in Web of Science")</f>
        <v>View Full Record in Web of Science</v>
      </c>
    </row>
    <row r="376" spans="1:72" x14ac:dyDescent="0.15">
      <c r="A376" t="s">
        <v>133</v>
      </c>
      <c r="B376" t="s">
        <v>7731</v>
      </c>
      <c r="C376" t="s">
        <v>74</v>
      </c>
      <c r="D376" t="s">
        <v>74</v>
      </c>
      <c r="E376" t="s">
        <v>74</v>
      </c>
      <c r="F376" t="s">
        <v>7732</v>
      </c>
      <c r="G376" t="s">
        <v>74</v>
      </c>
      <c r="H376" t="s">
        <v>74</v>
      </c>
      <c r="I376" t="s">
        <v>7733</v>
      </c>
      <c r="J376" t="s">
        <v>7734</v>
      </c>
      <c r="K376" t="s">
        <v>74</v>
      </c>
      <c r="L376" t="s">
        <v>74</v>
      </c>
      <c r="M376" t="s">
        <v>80</v>
      </c>
      <c r="N376" t="s">
        <v>138</v>
      </c>
      <c r="O376" t="s">
        <v>74</v>
      </c>
      <c r="P376" t="s">
        <v>74</v>
      </c>
      <c r="Q376" t="s">
        <v>74</v>
      </c>
      <c r="R376" t="s">
        <v>74</v>
      </c>
      <c r="S376" t="s">
        <v>74</v>
      </c>
      <c r="T376" t="s">
        <v>7735</v>
      </c>
      <c r="U376" t="s">
        <v>7736</v>
      </c>
      <c r="V376" t="s">
        <v>7737</v>
      </c>
      <c r="W376" t="s">
        <v>7738</v>
      </c>
      <c r="X376" t="s">
        <v>7739</v>
      </c>
      <c r="Y376" t="s">
        <v>7740</v>
      </c>
      <c r="Z376" t="s">
        <v>7741</v>
      </c>
      <c r="AA376" t="s">
        <v>7742</v>
      </c>
      <c r="AB376" t="s">
        <v>7743</v>
      </c>
      <c r="AC376" t="s">
        <v>74</v>
      </c>
      <c r="AD376" t="s">
        <v>74</v>
      </c>
      <c r="AE376" t="s">
        <v>74</v>
      </c>
      <c r="AF376" t="s">
        <v>74</v>
      </c>
      <c r="AG376">
        <v>71</v>
      </c>
      <c r="AH376">
        <v>6</v>
      </c>
      <c r="AI376">
        <v>6</v>
      </c>
      <c r="AJ376">
        <v>1</v>
      </c>
      <c r="AK376">
        <v>4</v>
      </c>
      <c r="AL376" t="s">
        <v>1758</v>
      </c>
      <c r="AM376" t="s">
        <v>1759</v>
      </c>
      <c r="AN376" t="s">
        <v>1760</v>
      </c>
      <c r="AO376" t="s">
        <v>7744</v>
      </c>
      <c r="AP376" t="s">
        <v>7745</v>
      </c>
      <c r="AQ376" t="s">
        <v>74</v>
      </c>
      <c r="AR376" t="s">
        <v>7746</v>
      </c>
      <c r="AS376" t="s">
        <v>7747</v>
      </c>
      <c r="AT376" t="s">
        <v>7748</v>
      </c>
      <c r="AU376">
        <v>2019</v>
      </c>
      <c r="AV376">
        <v>66</v>
      </c>
      <c r="AW376">
        <v>8</v>
      </c>
      <c r="AX376" t="s">
        <v>74</v>
      </c>
      <c r="AY376" t="s">
        <v>74</v>
      </c>
      <c r="AZ376" t="s">
        <v>74</v>
      </c>
      <c r="BA376" t="s">
        <v>74</v>
      </c>
      <c r="BB376">
        <v>1085</v>
      </c>
      <c r="BC376">
        <v>1111</v>
      </c>
      <c r="BD376" t="s">
        <v>74</v>
      </c>
      <c r="BE376" t="s">
        <v>7749</v>
      </c>
      <c r="BF376" t="str">
        <f>HYPERLINK("http://dx.doi.org/10.1080/08120099.2019.1602565","http://dx.doi.org/10.1080/08120099.2019.1602565")</f>
        <v>http://dx.doi.org/10.1080/08120099.2019.1602565</v>
      </c>
      <c r="BG376" t="s">
        <v>74</v>
      </c>
      <c r="BH376" t="s">
        <v>74</v>
      </c>
      <c r="BI376">
        <v>27</v>
      </c>
      <c r="BJ376" t="s">
        <v>849</v>
      </c>
      <c r="BK376" t="s">
        <v>294</v>
      </c>
      <c r="BL376" t="s">
        <v>850</v>
      </c>
      <c r="BM376" t="s">
        <v>7750</v>
      </c>
      <c r="BN376" t="s">
        <v>74</v>
      </c>
      <c r="BO376" t="s">
        <v>666</v>
      </c>
      <c r="BP376" t="s">
        <v>74</v>
      </c>
      <c r="BQ376" t="s">
        <v>74</v>
      </c>
      <c r="BR376" t="s">
        <v>108</v>
      </c>
      <c r="BS376" t="s">
        <v>7751</v>
      </c>
      <c r="BT376" t="str">
        <f>HYPERLINK("https%3A%2F%2Fwww.webofscience.com%2Fwos%2Fwoscc%2Ffull-record%2FWOS:000487041000001","View Full Record in Web of Science")</f>
        <v>View Full Record in Web of Science</v>
      </c>
    </row>
    <row r="377" spans="1:72" x14ac:dyDescent="0.15">
      <c r="A377" t="s">
        <v>133</v>
      </c>
      <c r="B377" t="s">
        <v>7752</v>
      </c>
      <c r="C377" t="s">
        <v>74</v>
      </c>
      <c r="D377" t="s">
        <v>74</v>
      </c>
      <c r="E377" t="s">
        <v>74</v>
      </c>
      <c r="F377" t="s">
        <v>7753</v>
      </c>
      <c r="G377" t="s">
        <v>74</v>
      </c>
      <c r="H377" t="s">
        <v>74</v>
      </c>
      <c r="I377" t="s">
        <v>7754</v>
      </c>
      <c r="J377" t="s">
        <v>1462</v>
      </c>
      <c r="K377" t="s">
        <v>74</v>
      </c>
      <c r="L377" t="s">
        <v>74</v>
      </c>
      <c r="M377" t="s">
        <v>80</v>
      </c>
      <c r="N377" t="s">
        <v>138</v>
      </c>
      <c r="O377" t="s">
        <v>74</v>
      </c>
      <c r="P377" t="s">
        <v>74</v>
      </c>
      <c r="Q377" t="s">
        <v>74</v>
      </c>
      <c r="R377" t="s">
        <v>74</v>
      </c>
      <c r="S377" t="s">
        <v>74</v>
      </c>
      <c r="T377" t="s">
        <v>7755</v>
      </c>
      <c r="U377" t="s">
        <v>7756</v>
      </c>
      <c r="V377" t="s">
        <v>7757</v>
      </c>
      <c r="W377" t="s">
        <v>7758</v>
      </c>
      <c r="X377" t="s">
        <v>7759</v>
      </c>
      <c r="Y377" t="s">
        <v>7760</v>
      </c>
      <c r="Z377" t="s">
        <v>7761</v>
      </c>
      <c r="AA377" t="s">
        <v>7762</v>
      </c>
      <c r="AB377" t="s">
        <v>7763</v>
      </c>
      <c r="AC377" t="s">
        <v>7764</v>
      </c>
      <c r="AD377" t="s">
        <v>7765</v>
      </c>
      <c r="AE377" t="s">
        <v>7766</v>
      </c>
      <c r="AF377" t="s">
        <v>74</v>
      </c>
      <c r="AG377">
        <v>45</v>
      </c>
      <c r="AH377">
        <v>18</v>
      </c>
      <c r="AI377">
        <v>19</v>
      </c>
      <c r="AJ377">
        <v>1</v>
      </c>
      <c r="AK377">
        <v>10</v>
      </c>
      <c r="AL377" t="s">
        <v>1264</v>
      </c>
      <c r="AM377" t="s">
        <v>1265</v>
      </c>
      <c r="AN377" t="s">
        <v>1266</v>
      </c>
      <c r="AO377" t="s">
        <v>1475</v>
      </c>
      <c r="AP377" t="s">
        <v>1476</v>
      </c>
      <c r="AQ377" t="s">
        <v>74</v>
      </c>
      <c r="AR377" t="s">
        <v>1477</v>
      </c>
      <c r="AS377" t="s">
        <v>1478</v>
      </c>
      <c r="AT377" t="s">
        <v>7767</v>
      </c>
      <c r="AU377">
        <v>2019</v>
      </c>
      <c r="AV377">
        <v>46</v>
      </c>
      <c r="AW377">
        <v>21</v>
      </c>
      <c r="AX377" t="s">
        <v>74</v>
      </c>
      <c r="AY377" t="s">
        <v>74</v>
      </c>
      <c r="AZ377" t="s">
        <v>74</v>
      </c>
      <c r="BA377" t="s">
        <v>74</v>
      </c>
      <c r="BB377">
        <v>12202</v>
      </c>
      <c r="BC377">
        <v>12212</v>
      </c>
      <c r="BD377" t="s">
        <v>74</v>
      </c>
      <c r="BE377" t="s">
        <v>7768</v>
      </c>
      <c r="BF377" t="str">
        <f>HYPERLINK("http://dx.doi.org/10.1029/2019GL084117","http://dx.doi.org/10.1029/2019GL084117")</f>
        <v>http://dx.doi.org/10.1029/2019GL084117</v>
      </c>
      <c r="BG377" t="s">
        <v>74</v>
      </c>
      <c r="BH377" t="s">
        <v>74</v>
      </c>
      <c r="BI377">
        <v>11</v>
      </c>
      <c r="BJ377" t="s">
        <v>849</v>
      </c>
      <c r="BK377" t="s">
        <v>294</v>
      </c>
      <c r="BL377" t="s">
        <v>850</v>
      </c>
      <c r="BM377" t="s">
        <v>7769</v>
      </c>
      <c r="BN377" t="s">
        <v>74</v>
      </c>
      <c r="BO377" t="s">
        <v>7770</v>
      </c>
      <c r="BP377" t="s">
        <v>74</v>
      </c>
      <c r="BQ377" t="s">
        <v>74</v>
      </c>
      <c r="BR377" t="s">
        <v>108</v>
      </c>
      <c r="BS377" t="s">
        <v>7771</v>
      </c>
      <c r="BT377" t="str">
        <f>HYPERLINK("https%3A%2F%2Fwww.webofscience.com%2Fwos%2Fwoscc%2Ffull-record%2FWOS:000501723000068","View Full Record in Web of Science")</f>
        <v>View Full Record in Web of Science</v>
      </c>
    </row>
    <row r="378" spans="1:72" x14ac:dyDescent="0.15">
      <c r="A378" t="s">
        <v>133</v>
      </c>
      <c r="B378" t="s">
        <v>7772</v>
      </c>
      <c r="C378" t="s">
        <v>74</v>
      </c>
      <c r="D378" t="s">
        <v>74</v>
      </c>
      <c r="E378" t="s">
        <v>74</v>
      </c>
      <c r="F378" t="s">
        <v>7773</v>
      </c>
      <c r="G378" t="s">
        <v>74</v>
      </c>
      <c r="H378" t="s">
        <v>74</v>
      </c>
      <c r="I378" t="s">
        <v>7774</v>
      </c>
      <c r="J378" t="s">
        <v>1462</v>
      </c>
      <c r="K378" t="s">
        <v>74</v>
      </c>
      <c r="L378" t="s">
        <v>74</v>
      </c>
      <c r="M378" t="s">
        <v>80</v>
      </c>
      <c r="N378" t="s">
        <v>138</v>
      </c>
      <c r="O378" t="s">
        <v>74</v>
      </c>
      <c r="P378" t="s">
        <v>74</v>
      </c>
      <c r="Q378" t="s">
        <v>74</v>
      </c>
      <c r="R378" t="s">
        <v>74</v>
      </c>
      <c r="S378" t="s">
        <v>74</v>
      </c>
      <c r="T378" t="s">
        <v>7775</v>
      </c>
      <c r="U378" t="s">
        <v>7776</v>
      </c>
      <c r="V378" t="s">
        <v>7777</v>
      </c>
      <c r="W378" t="s">
        <v>7778</v>
      </c>
      <c r="X378" t="s">
        <v>7779</v>
      </c>
      <c r="Y378" t="s">
        <v>7780</v>
      </c>
      <c r="Z378" t="s">
        <v>7781</v>
      </c>
      <c r="AA378" t="s">
        <v>74</v>
      </c>
      <c r="AB378" t="s">
        <v>7782</v>
      </c>
      <c r="AC378" t="s">
        <v>7783</v>
      </c>
      <c r="AD378" t="s">
        <v>7784</v>
      </c>
      <c r="AE378" t="s">
        <v>7785</v>
      </c>
      <c r="AF378" t="s">
        <v>74</v>
      </c>
      <c r="AG378">
        <v>59</v>
      </c>
      <c r="AH378">
        <v>32</v>
      </c>
      <c r="AI378">
        <v>37</v>
      </c>
      <c r="AJ378">
        <v>0</v>
      </c>
      <c r="AK378">
        <v>33</v>
      </c>
      <c r="AL378" t="s">
        <v>1264</v>
      </c>
      <c r="AM378" t="s">
        <v>1265</v>
      </c>
      <c r="AN378" t="s">
        <v>1266</v>
      </c>
      <c r="AO378" t="s">
        <v>1475</v>
      </c>
      <c r="AP378" t="s">
        <v>1476</v>
      </c>
      <c r="AQ378" t="s">
        <v>74</v>
      </c>
      <c r="AR378" t="s">
        <v>1477</v>
      </c>
      <c r="AS378" t="s">
        <v>1478</v>
      </c>
      <c r="AT378" t="s">
        <v>6403</v>
      </c>
      <c r="AU378">
        <v>2019</v>
      </c>
      <c r="AV378">
        <v>46</v>
      </c>
      <c r="AW378">
        <v>22</v>
      </c>
      <c r="AX378" t="s">
        <v>74</v>
      </c>
      <c r="AY378" t="s">
        <v>74</v>
      </c>
      <c r="AZ378" t="s">
        <v>74</v>
      </c>
      <c r="BA378" t="s">
        <v>74</v>
      </c>
      <c r="BB378">
        <v>13079</v>
      </c>
      <c r="BC378">
        <v>13089</v>
      </c>
      <c r="BD378" t="s">
        <v>74</v>
      </c>
      <c r="BE378" t="s">
        <v>7786</v>
      </c>
      <c r="BF378" t="str">
        <f>HYPERLINK("http://dx.doi.org/10.1029/2019GL085228","http://dx.doi.org/10.1029/2019GL085228")</f>
        <v>http://dx.doi.org/10.1029/2019GL085228</v>
      </c>
      <c r="BG378" t="s">
        <v>74</v>
      </c>
      <c r="BH378" t="s">
        <v>6368</v>
      </c>
      <c r="BI378">
        <v>11</v>
      </c>
      <c r="BJ378" t="s">
        <v>849</v>
      </c>
      <c r="BK378" t="s">
        <v>294</v>
      </c>
      <c r="BL378" t="s">
        <v>850</v>
      </c>
      <c r="BM378" t="s">
        <v>6405</v>
      </c>
      <c r="BN378" t="s">
        <v>74</v>
      </c>
      <c r="BO378" t="s">
        <v>1482</v>
      </c>
      <c r="BP378" t="s">
        <v>74</v>
      </c>
      <c r="BQ378" t="s">
        <v>74</v>
      </c>
      <c r="BR378" t="s">
        <v>108</v>
      </c>
      <c r="BS378" t="s">
        <v>7787</v>
      </c>
      <c r="BT378" t="str">
        <f>HYPERLINK("https%3A%2F%2Fwww.webofscience.com%2Fwos%2Fwoscc%2Ffull-record%2FWOS:000496646900001","View Full Record in Web of Science")</f>
        <v>View Full Record in Web of Science</v>
      </c>
    </row>
    <row r="379" spans="1:72" x14ac:dyDescent="0.15">
      <c r="A379" t="s">
        <v>133</v>
      </c>
      <c r="B379" t="s">
        <v>7788</v>
      </c>
      <c r="C379" t="s">
        <v>74</v>
      </c>
      <c r="D379" t="s">
        <v>74</v>
      </c>
      <c r="E379" t="s">
        <v>74</v>
      </c>
      <c r="F379" t="s">
        <v>7789</v>
      </c>
      <c r="G379" t="s">
        <v>74</v>
      </c>
      <c r="H379" t="s">
        <v>74</v>
      </c>
      <c r="I379" t="s">
        <v>7790</v>
      </c>
      <c r="J379" t="s">
        <v>1462</v>
      </c>
      <c r="K379" t="s">
        <v>74</v>
      </c>
      <c r="L379" t="s">
        <v>74</v>
      </c>
      <c r="M379" t="s">
        <v>80</v>
      </c>
      <c r="N379" t="s">
        <v>138</v>
      </c>
      <c r="O379" t="s">
        <v>74</v>
      </c>
      <c r="P379" t="s">
        <v>74</v>
      </c>
      <c r="Q379" t="s">
        <v>74</v>
      </c>
      <c r="R379" t="s">
        <v>74</v>
      </c>
      <c r="S379" t="s">
        <v>74</v>
      </c>
      <c r="T379" t="s">
        <v>7791</v>
      </c>
      <c r="U379" t="s">
        <v>7792</v>
      </c>
      <c r="V379" t="s">
        <v>7793</v>
      </c>
      <c r="W379" t="s">
        <v>7794</v>
      </c>
      <c r="X379" t="s">
        <v>7795</v>
      </c>
      <c r="Y379" t="s">
        <v>7796</v>
      </c>
      <c r="Z379" t="s">
        <v>7797</v>
      </c>
      <c r="AA379" t="s">
        <v>74</v>
      </c>
      <c r="AB379" t="s">
        <v>7798</v>
      </c>
      <c r="AC379" t="s">
        <v>7799</v>
      </c>
      <c r="AD379" t="s">
        <v>7800</v>
      </c>
      <c r="AE379" t="s">
        <v>7801</v>
      </c>
      <c r="AF379" t="s">
        <v>74</v>
      </c>
      <c r="AG379">
        <v>31</v>
      </c>
      <c r="AH379">
        <v>35</v>
      </c>
      <c r="AI379">
        <v>40</v>
      </c>
      <c r="AJ379">
        <v>1</v>
      </c>
      <c r="AK379">
        <v>8</v>
      </c>
      <c r="AL379" t="s">
        <v>1264</v>
      </c>
      <c r="AM379" t="s">
        <v>1265</v>
      </c>
      <c r="AN379" t="s">
        <v>1266</v>
      </c>
      <c r="AO379" t="s">
        <v>1475</v>
      </c>
      <c r="AP379" t="s">
        <v>1476</v>
      </c>
      <c r="AQ379" t="s">
        <v>74</v>
      </c>
      <c r="AR379" t="s">
        <v>1477</v>
      </c>
      <c r="AS379" t="s">
        <v>1478</v>
      </c>
      <c r="AT379" t="s">
        <v>6403</v>
      </c>
      <c r="AU379">
        <v>2019</v>
      </c>
      <c r="AV379">
        <v>46</v>
      </c>
      <c r="AW379">
        <v>22</v>
      </c>
      <c r="AX379" t="s">
        <v>74</v>
      </c>
      <c r="AY379" t="s">
        <v>74</v>
      </c>
      <c r="AZ379" t="s">
        <v>74</v>
      </c>
      <c r="BA379" t="s">
        <v>74</v>
      </c>
      <c r="BB379">
        <v>13152</v>
      </c>
      <c r="BC379">
        <v>13160</v>
      </c>
      <c r="BD379" t="s">
        <v>74</v>
      </c>
      <c r="BE379" t="s">
        <v>7802</v>
      </c>
      <c r="BF379" t="str">
        <f>HYPERLINK("http://dx.doi.org/10.1029/2019GL085280","http://dx.doi.org/10.1029/2019GL085280")</f>
        <v>http://dx.doi.org/10.1029/2019GL085280</v>
      </c>
      <c r="BG379" t="s">
        <v>74</v>
      </c>
      <c r="BH379" t="s">
        <v>6368</v>
      </c>
      <c r="BI379">
        <v>9</v>
      </c>
      <c r="BJ379" t="s">
        <v>849</v>
      </c>
      <c r="BK379" t="s">
        <v>294</v>
      </c>
      <c r="BL379" t="s">
        <v>850</v>
      </c>
      <c r="BM379" t="s">
        <v>6405</v>
      </c>
      <c r="BN379" t="s">
        <v>74</v>
      </c>
      <c r="BO379" t="s">
        <v>5002</v>
      </c>
      <c r="BP379" t="s">
        <v>74</v>
      </c>
      <c r="BQ379" t="s">
        <v>74</v>
      </c>
      <c r="BR379" t="s">
        <v>108</v>
      </c>
      <c r="BS379" t="s">
        <v>7803</v>
      </c>
      <c r="BT379" t="str">
        <f>HYPERLINK("https%3A%2F%2Fwww.webofscience.com%2Fwos%2Fwoscc%2Ffull-record%2FWOS:000496649000001","View Full Record in Web of Science")</f>
        <v>View Full Record in Web of Science</v>
      </c>
    </row>
    <row r="380" spans="1:72" x14ac:dyDescent="0.15">
      <c r="A380" t="s">
        <v>133</v>
      </c>
      <c r="B380" t="s">
        <v>7804</v>
      </c>
      <c r="C380" t="s">
        <v>74</v>
      </c>
      <c r="D380" t="s">
        <v>74</v>
      </c>
      <c r="E380" t="s">
        <v>74</v>
      </c>
      <c r="F380" t="s">
        <v>7805</v>
      </c>
      <c r="G380" t="s">
        <v>74</v>
      </c>
      <c r="H380" t="s">
        <v>74</v>
      </c>
      <c r="I380" t="s">
        <v>7806</v>
      </c>
      <c r="J380" t="s">
        <v>1487</v>
      </c>
      <c r="K380" t="s">
        <v>74</v>
      </c>
      <c r="L380" t="s">
        <v>74</v>
      </c>
      <c r="M380" t="s">
        <v>80</v>
      </c>
      <c r="N380" t="s">
        <v>138</v>
      </c>
      <c r="O380" t="s">
        <v>74</v>
      </c>
      <c r="P380" t="s">
        <v>74</v>
      </c>
      <c r="Q380" t="s">
        <v>74</v>
      </c>
      <c r="R380" t="s">
        <v>74</v>
      </c>
      <c r="S380" t="s">
        <v>74</v>
      </c>
      <c r="T380" t="s">
        <v>7807</v>
      </c>
      <c r="U380" t="s">
        <v>7808</v>
      </c>
      <c r="V380" t="s">
        <v>7809</v>
      </c>
      <c r="W380" t="s">
        <v>7810</v>
      </c>
      <c r="X380" t="s">
        <v>7811</v>
      </c>
      <c r="Y380" t="s">
        <v>7812</v>
      </c>
      <c r="Z380" t="s">
        <v>7813</v>
      </c>
      <c r="AA380" t="s">
        <v>74</v>
      </c>
      <c r="AB380" t="s">
        <v>7814</v>
      </c>
      <c r="AC380" t="s">
        <v>7815</v>
      </c>
      <c r="AD380" t="s">
        <v>7816</v>
      </c>
      <c r="AE380" t="s">
        <v>7817</v>
      </c>
      <c r="AF380" t="s">
        <v>74</v>
      </c>
      <c r="AG380">
        <v>49</v>
      </c>
      <c r="AH380">
        <v>18</v>
      </c>
      <c r="AI380">
        <v>20</v>
      </c>
      <c r="AJ380">
        <v>0</v>
      </c>
      <c r="AK380">
        <v>26</v>
      </c>
      <c r="AL380" t="s">
        <v>1264</v>
      </c>
      <c r="AM380" t="s">
        <v>1265</v>
      </c>
      <c r="AN380" t="s">
        <v>1266</v>
      </c>
      <c r="AO380" t="s">
        <v>1500</v>
      </c>
      <c r="AP380" t="s">
        <v>1501</v>
      </c>
      <c r="AQ380" t="s">
        <v>74</v>
      </c>
      <c r="AR380" t="s">
        <v>1502</v>
      </c>
      <c r="AS380" t="s">
        <v>1503</v>
      </c>
      <c r="AT380" t="s">
        <v>6708</v>
      </c>
      <c r="AU380">
        <v>2019</v>
      </c>
      <c r="AV380">
        <v>124</v>
      </c>
      <c r="AW380">
        <v>22</v>
      </c>
      <c r="AX380" t="s">
        <v>74</v>
      </c>
      <c r="AY380" t="s">
        <v>74</v>
      </c>
      <c r="AZ380" t="s">
        <v>74</v>
      </c>
      <c r="BA380" t="s">
        <v>74</v>
      </c>
      <c r="BB380">
        <v>12107</v>
      </c>
      <c r="BC380">
        <v>12125</v>
      </c>
      <c r="BD380" t="s">
        <v>74</v>
      </c>
      <c r="BE380" t="s">
        <v>7818</v>
      </c>
      <c r="BF380" t="str">
        <f>HYPERLINK("http://dx.doi.org/10.1029/2019JD030628","http://dx.doi.org/10.1029/2019JD030628")</f>
        <v>http://dx.doi.org/10.1029/2019JD030628</v>
      </c>
      <c r="BG380" t="s">
        <v>74</v>
      </c>
      <c r="BH380" t="s">
        <v>6368</v>
      </c>
      <c r="BI380">
        <v>19</v>
      </c>
      <c r="BJ380" t="s">
        <v>1024</v>
      </c>
      <c r="BK380" t="s">
        <v>294</v>
      </c>
      <c r="BL380" t="s">
        <v>1024</v>
      </c>
      <c r="BM380" t="s">
        <v>6947</v>
      </c>
      <c r="BN380" t="s">
        <v>74</v>
      </c>
      <c r="BO380" t="s">
        <v>74</v>
      </c>
      <c r="BP380" t="s">
        <v>74</v>
      </c>
      <c r="BQ380" t="s">
        <v>74</v>
      </c>
      <c r="BR380" t="s">
        <v>108</v>
      </c>
      <c r="BS380" t="s">
        <v>7819</v>
      </c>
      <c r="BT380" t="str">
        <f>HYPERLINK("https%3A%2F%2Fwww.webofscience.com%2Fwos%2Fwoscc%2Ffull-record%2FWOS:000496669100001","View Full Record in Web of Science")</f>
        <v>View Full Record in Web of Science</v>
      </c>
    </row>
    <row r="381" spans="1:72" x14ac:dyDescent="0.15">
      <c r="A381" t="s">
        <v>133</v>
      </c>
      <c r="B381" t="s">
        <v>7820</v>
      </c>
      <c r="C381" t="s">
        <v>74</v>
      </c>
      <c r="D381" t="s">
        <v>74</v>
      </c>
      <c r="E381" t="s">
        <v>74</v>
      </c>
      <c r="F381" t="s">
        <v>7821</v>
      </c>
      <c r="G381" t="s">
        <v>74</v>
      </c>
      <c r="H381" t="s">
        <v>74</v>
      </c>
      <c r="I381" t="s">
        <v>7822</v>
      </c>
      <c r="J381" t="s">
        <v>3176</v>
      </c>
      <c r="K381" t="s">
        <v>74</v>
      </c>
      <c r="L381" t="s">
        <v>74</v>
      </c>
      <c r="M381" t="s">
        <v>80</v>
      </c>
      <c r="N381" t="s">
        <v>138</v>
      </c>
      <c r="O381" t="s">
        <v>74</v>
      </c>
      <c r="P381" t="s">
        <v>74</v>
      </c>
      <c r="Q381" t="s">
        <v>74</v>
      </c>
      <c r="R381" t="s">
        <v>74</v>
      </c>
      <c r="S381" t="s">
        <v>74</v>
      </c>
      <c r="T381" t="s">
        <v>7823</v>
      </c>
      <c r="U381" t="s">
        <v>7824</v>
      </c>
      <c r="V381" t="s">
        <v>7825</v>
      </c>
      <c r="W381" t="s">
        <v>7826</v>
      </c>
      <c r="X381" t="s">
        <v>7827</v>
      </c>
      <c r="Y381" t="s">
        <v>7828</v>
      </c>
      <c r="Z381" t="s">
        <v>7829</v>
      </c>
      <c r="AA381" t="s">
        <v>7830</v>
      </c>
      <c r="AB381" t="s">
        <v>7831</v>
      </c>
      <c r="AC381" t="s">
        <v>7832</v>
      </c>
      <c r="AD381" t="s">
        <v>7833</v>
      </c>
      <c r="AE381" t="s">
        <v>7834</v>
      </c>
      <c r="AF381" t="s">
        <v>74</v>
      </c>
      <c r="AG381">
        <v>130</v>
      </c>
      <c r="AH381">
        <v>16</v>
      </c>
      <c r="AI381">
        <v>17</v>
      </c>
      <c r="AJ381">
        <v>0</v>
      </c>
      <c r="AK381">
        <v>18</v>
      </c>
      <c r="AL381" t="s">
        <v>1264</v>
      </c>
      <c r="AM381" t="s">
        <v>1265</v>
      </c>
      <c r="AN381" t="s">
        <v>1266</v>
      </c>
      <c r="AO381" t="s">
        <v>3189</v>
      </c>
      <c r="AP381" t="s">
        <v>3190</v>
      </c>
      <c r="AQ381" t="s">
        <v>74</v>
      </c>
      <c r="AR381" t="s">
        <v>3191</v>
      </c>
      <c r="AS381" t="s">
        <v>3192</v>
      </c>
      <c r="AT381" t="s">
        <v>3457</v>
      </c>
      <c r="AU381">
        <v>2019</v>
      </c>
      <c r="AV381">
        <v>124</v>
      </c>
      <c r="AW381">
        <v>11</v>
      </c>
      <c r="AX381" t="s">
        <v>74</v>
      </c>
      <c r="AY381" t="s">
        <v>74</v>
      </c>
      <c r="AZ381" t="s">
        <v>74</v>
      </c>
      <c r="BA381" t="s">
        <v>74</v>
      </c>
      <c r="BB381">
        <v>12053</v>
      </c>
      <c r="BC381">
        <v>12076</v>
      </c>
      <c r="BD381" t="s">
        <v>74</v>
      </c>
      <c r="BE381" t="s">
        <v>7835</v>
      </c>
      <c r="BF381" t="str">
        <f>HYPERLINK("http://dx.doi.org/10.1029/2019JB017997","http://dx.doi.org/10.1029/2019JB017997")</f>
        <v>http://dx.doi.org/10.1029/2019JB017997</v>
      </c>
      <c r="BG381" t="s">
        <v>74</v>
      </c>
      <c r="BH381" t="s">
        <v>6368</v>
      </c>
      <c r="BI381">
        <v>24</v>
      </c>
      <c r="BJ381" t="s">
        <v>1067</v>
      </c>
      <c r="BK381" t="s">
        <v>294</v>
      </c>
      <c r="BL381" t="s">
        <v>1067</v>
      </c>
      <c r="BM381" t="s">
        <v>7836</v>
      </c>
      <c r="BN381" t="s">
        <v>74</v>
      </c>
      <c r="BO381" t="s">
        <v>2237</v>
      </c>
      <c r="BP381" t="s">
        <v>74</v>
      </c>
      <c r="BQ381" t="s">
        <v>74</v>
      </c>
      <c r="BR381" t="s">
        <v>108</v>
      </c>
      <c r="BS381" t="s">
        <v>7837</v>
      </c>
      <c r="BT381" t="str">
        <f>HYPERLINK("https%3A%2F%2Fwww.webofscience.com%2Fwos%2Fwoscc%2Ffull-record%2FWOS:000496692000001","View Full Record in Web of Science")</f>
        <v>View Full Record in Web of Science</v>
      </c>
    </row>
    <row r="382" spans="1:72" x14ac:dyDescent="0.15">
      <c r="A382" t="s">
        <v>133</v>
      </c>
      <c r="B382" t="s">
        <v>7838</v>
      </c>
      <c r="C382" t="s">
        <v>74</v>
      </c>
      <c r="D382" t="s">
        <v>74</v>
      </c>
      <c r="E382" t="s">
        <v>74</v>
      </c>
      <c r="F382" t="s">
        <v>7839</v>
      </c>
      <c r="G382" t="s">
        <v>74</v>
      </c>
      <c r="H382" t="s">
        <v>74</v>
      </c>
      <c r="I382" t="s">
        <v>7840</v>
      </c>
      <c r="J382" t="s">
        <v>1462</v>
      </c>
      <c r="K382" t="s">
        <v>74</v>
      </c>
      <c r="L382" t="s">
        <v>74</v>
      </c>
      <c r="M382" t="s">
        <v>80</v>
      </c>
      <c r="N382" t="s">
        <v>138</v>
      </c>
      <c r="O382" t="s">
        <v>74</v>
      </c>
      <c r="P382" t="s">
        <v>74</v>
      </c>
      <c r="Q382" t="s">
        <v>74</v>
      </c>
      <c r="R382" t="s">
        <v>74</v>
      </c>
      <c r="S382" t="s">
        <v>74</v>
      </c>
      <c r="T382" t="s">
        <v>74</v>
      </c>
      <c r="U382" t="s">
        <v>7841</v>
      </c>
      <c r="V382" t="s">
        <v>7842</v>
      </c>
      <c r="W382" t="s">
        <v>7843</v>
      </c>
      <c r="X382" t="s">
        <v>7844</v>
      </c>
      <c r="Y382" t="s">
        <v>7845</v>
      </c>
      <c r="Z382" t="s">
        <v>7846</v>
      </c>
      <c r="AA382" t="s">
        <v>74</v>
      </c>
      <c r="AB382" t="s">
        <v>7847</v>
      </c>
      <c r="AC382" t="s">
        <v>7848</v>
      </c>
      <c r="AD382" t="s">
        <v>7849</v>
      </c>
      <c r="AE382" t="s">
        <v>7850</v>
      </c>
      <c r="AF382" t="s">
        <v>74</v>
      </c>
      <c r="AG382">
        <v>40</v>
      </c>
      <c r="AH382">
        <v>22</v>
      </c>
      <c r="AI382">
        <v>22</v>
      </c>
      <c r="AJ382">
        <v>0</v>
      </c>
      <c r="AK382">
        <v>16</v>
      </c>
      <c r="AL382" t="s">
        <v>1264</v>
      </c>
      <c r="AM382" t="s">
        <v>1265</v>
      </c>
      <c r="AN382" t="s">
        <v>1266</v>
      </c>
      <c r="AO382" t="s">
        <v>1475</v>
      </c>
      <c r="AP382" t="s">
        <v>1476</v>
      </c>
      <c r="AQ382" t="s">
        <v>74</v>
      </c>
      <c r="AR382" t="s">
        <v>1477</v>
      </c>
      <c r="AS382" t="s">
        <v>1478</v>
      </c>
      <c r="AT382" t="s">
        <v>6403</v>
      </c>
      <c r="AU382">
        <v>2019</v>
      </c>
      <c r="AV382">
        <v>46</v>
      </c>
      <c r="AW382">
        <v>22</v>
      </c>
      <c r="AX382" t="s">
        <v>74</v>
      </c>
      <c r="AY382" t="s">
        <v>74</v>
      </c>
      <c r="AZ382" t="s">
        <v>74</v>
      </c>
      <c r="BA382" t="s">
        <v>74</v>
      </c>
      <c r="BB382">
        <v>13144</v>
      </c>
      <c r="BC382">
        <v>13151</v>
      </c>
      <c r="BD382" t="s">
        <v>74</v>
      </c>
      <c r="BE382" t="s">
        <v>7851</v>
      </c>
      <c r="BF382" t="str">
        <f>HYPERLINK("http://dx.doi.org/10.1029/2019GL085208","http://dx.doi.org/10.1029/2019GL085208")</f>
        <v>http://dx.doi.org/10.1029/2019GL085208</v>
      </c>
      <c r="BG382" t="s">
        <v>74</v>
      </c>
      <c r="BH382" t="s">
        <v>6368</v>
      </c>
      <c r="BI382">
        <v>8</v>
      </c>
      <c r="BJ382" t="s">
        <v>849</v>
      </c>
      <c r="BK382" t="s">
        <v>294</v>
      </c>
      <c r="BL382" t="s">
        <v>850</v>
      </c>
      <c r="BM382" t="s">
        <v>6405</v>
      </c>
      <c r="BN382" t="s">
        <v>74</v>
      </c>
      <c r="BO382" t="s">
        <v>74</v>
      </c>
      <c r="BP382" t="s">
        <v>74</v>
      </c>
      <c r="BQ382" t="s">
        <v>74</v>
      </c>
      <c r="BR382" t="s">
        <v>108</v>
      </c>
      <c r="BS382" t="s">
        <v>7852</v>
      </c>
      <c r="BT382" t="str">
        <f>HYPERLINK("https%3A%2F%2Fwww.webofscience.com%2Fwos%2Fwoscc%2Ffull-record%2FWOS:000496646400001","View Full Record in Web of Science")</f>
        <v>View Full Record in Web of Science</v>
      </c>
    </row>
    <row r="383" spans="1:72" x14ac:dyDescent="0.15">
      <c r="A383" t="s">
        <v>133</v>
      </c>
      <c r="B383" t="s">
        <v>7853</v>
      </c>
      <c r="C383" t="s">
        <v>74</v>
      </c>
      <c r="D383" t="s">
        <v>74</v>
      </c>
      <c r="E383" t="s">
        <v>74</v>
      </c>
      <c r="F383" t="s">
        <v>7854</v>
      </c>
      <c r="G383" t="s">
        <v>74</v>
      </c>
      <c r="H383" t="s">
        <v>74</v>
      </c>
      <c r="I383" t="s">
        <v>7855</v>
      </c>
      <c r="J383" t="s">
        <v>1462</v>
      </c>
      <c r="K383" t="s">
        <v>74</v>
      </c>
      <c r="L383" t="s">
        <v>74</v>
      </c>
      <c r="M383" t="s">
        <v>80</v>
      </c>
      <c r="N383" t="s">
        <v>138</v>
      </c>
      <c r="O383" t="s">
        <v>74</v>
      </c>
      <c r="P383" t="s">
        <v>74</v>
      </c>
      <c r="Q383" t="s">
        <v>74</v>
      </c>
      <c r="R383" t="s">
        <v>74</v>
      </c>
      <c r="S383" t="s">
        <v>74</v>
      </c>
      <c r="T383" t="s">
        <v>7856</v>
      </c>
      <c r="U383" t="s">
        <v>7857</v>
      </c>
      <c r="V383" t="s">
        <v>7858</v>
      </c>
      <c r="W383" t="s">
        <v>7859</v>
      </c>
      <c r="X383" t="s">
        <v>7860</v>
      </c>
      <c r="Y383" t="s">
        <v>7861</v>
      </c>
      <c r="Z383" t="s">
        <v>7862</v>
      </c>
      <c r="AA383" t="s">
        <v>7863</v>
      </c>
      <c r="AB383" t="s">
        <v>7864</v>
      </c>
      <c r="AC383" t="s">
        <v>7865</v>
      </c>
      <c r="AD383" t="s">
        <v>7866</v>
      </c>
      <c r="AE383" t="s">
        <v>7867</v>
      </c>
      <c r="AF383" t="s">
        <v>74</v>
      </c>
      <c r="AG383">
        <v>11</v>
      </c>
      <c r="AH383">
        <v>91</v>
      </c>
      <c r="AI383">
        <v>117</v>
      </c>
      <c r="AJ383">
        <v>12</v>
      </c>
      <c r="AK383">
        <v>73</v>
      </c>
      <c r="AL383" t="s">
        <v>1264</v>
      </c>
      <c r="AM383" t="s">
        <v>1265</v>
      </c>
      <c r="AN383" t="s">
        <v>1266</v>
      </c>
      <c r="AO383" t="s">
        <v>1475</v>
      </c>
      <c r="AP383" t="s">
        <v>1476</v>
      </c>
      <c r="AQ383" t="s">
        <v>74</v>
      </c>
      <c r="AR383" t="s">
        <v>1477</v>
      </c>
      <c r="AS383" t="s">
        <v>1478</v>
      </c>
      <c r="AT383" t="s">
        <v>6403</v>
      </c>
      <c r="AU383">
        <v>2019</v>
      </c>
      <c r="AV383">
        <v>46</v>
      </c>
      <c r="AW383">
        <v>22</v>
      </c>
      <c r="AX383" t="s">
        <v>74</v>
      </c>
      <c r="AY383" t="s">
        <v>74</v>
      </c>
      <c r="AZ383" t="s">
        <v>74</v>
      </c>
      <c r="BA383" t="s">
        <v>74</v>
      </c>
      <c r="BB383">
        <v>13072</v>
      </c>
      <c r="BC383">
        <v>13078</v>
      </c>
      <c r="BD383" t="s">
        <v>74</v>
      </c>
      <c r="BE383" t="s">
        <v>7868</v>
      </c>
      <c r="BF383" t="str">
        <f>HYPERLINK("http://dx.doi.org/10.1029/2019GL084886","http://dx.doi.org/10.1029/2019GL084886")</f>
        <v>http://dx.doi.org/10.1029/2019GL084886</v>
      </c>
      <c r="BG383" t="s">
        <v>74</v>
      </c>
      <c r="BH383" t="s">
        <v>6368</v>
      </c>
      <c r="BI383">
        <v>7</v>
      </c>
      <c r="BJ383" t="s">
        <v>849</v>
      </c>
      <c r="BK383" t="s">
        <v>294</v>
      </c>
      <c r="BL383" t="s">
        <v>850</v>
      </c>
      <c r="BM383" t="s">
        <v>6405</v>
      </c>
      <c r="BN383" t="s">
        <v>74</v>
      </c>
      <c r="BO383" t="s">
        <v>559</v>
      </c>
      <c r="BP383" t="s">
        <v>74</v>
      </c>
      <c r="BQ383" t="s">
        <v>74</v>
      </c>
      <c r="BR383" t="s">
        <v>108</v>
      </c>
      <c r="BS383" t="s">
        <v>7869</v>
      </c>
      <c r="BT383" t="str">
        <f>HYPERLINK("https%3A%2F%2Fwww.webofscience.com%2Fwos%2Fwoscc%2Ffull-record%2FWOS:000496647500001","View Full Record in Web of Science")</f>
        <v>View Full Record in Web of Science</v>
      </c>
    </row>
    <row r="384" spans="1:72" x14ac:dyDescent="0.15">
      <c r="A384" t="s">
        <v>133</v>
      </c>
      <c r="B384" t="s">
        <v>7870</v>
      </c>
      <c r="C384" t="s">
        <v>74</v>
      </c>
      <c r="D384" t="s">
        <v>74</v>
      </c>
      <c r="E384" t="s">
        <v>74</v>
      </c>
      <c r="F384" t="s">
        <v>7871</v>
      </c>
      <c r="G384" t="s">
        <v>74</v>
      </c>
      <c r="H384" t="s">
        <v>74</v>
      </c>
      <c r="I384" t="s">
        <v>7872</v>
      </c>
      <c r="J384" t="s">
        <v>1073</v>
      </c>
      <c r="K384" t="s">
        <v>74</v>
      </c>
      <c r="L384" t="s">
        <v>74</v>
      </c>
      <c r="M384" t="s">
        <v>80</v>
      </c>
      <c r="N384" t="s">
        <v>138</v>
      </c>
      <c r="O384" t="s">
        <v>74</v>
      </c>
      <c r="P384" t="s">
        <v>74</v>
      </c>
      <c r="Q384" t="s">
        <v>74</v>
      </c>
      <c r="R384" t="s">
        <v>74</v>
      </c>
      <c r="S384" t="s">
        <v>74</v>
      </c>
      <c r="T384" t="s">
        <v>7873</v>
      </c>
      <c r="U384" t="s">
        <v>7874</v>
      </c>
      <c r="V384" t="s">
        <v>7875</v>
      </c>
      <c r="W384" t="s">
        <v>7876</v>
      </c>
      <c r="X384" t="s">
        <v>7877</v>
      </c>
      <c r="Y384" t="s">
        <v>7878</v>
      </c>
      <c r="Z384" t="s">
        <v>7879</v>
      </c>
      <c r="AA384" t="s">
        <v>7880</v>
      </c>
      <c r="AB384" t="s">
        <v>7881</v>
      </c>
      <c r="AC384" t="s">
        <v>7882</v>
      </c>
      <c r="AD384" t="s">
        <v>7883</v>
      </c>
      <c r="AE384" t="s">
        <v>7884</v>
      </c>
      <c r="AF384" t="s">
        <v>74</v>
      </c>
      <c r="AG384">
        <v>107</v>
      </c>
      <c r="AH384">
        <v>21</v>
      </c>
      <c r="AI384">
        <v>24</v>
      </c>
      <c r="AJ384">
        <v>1</v>
      </c>
      <c r="AK384">
        <v>35</v>
      </c>
      <c r="AL384" t="s">
        <v>284</v>
      </c>
      <c r="AM384" t="s">
        <v>285</v>
      </c>
      <c r="AN384" t="s">
        <v>286</v>
      </c>
      <c r="AO384" t="s">
        <v>1086</v>
      </c>
      <c r="AP384" t="s">
        <v>1087</v>
      </c>
      <c r="AQ384" t="s">
        <v>74</v>
      </c>
      <c r="AR384" t="s">
        <v>1088</v>
      </c>
      <c r="AS384" t="s">
        <v>1089</v>
      </c>
      <c r="AT384" t="s">
        <v>7885</v>
      </c>
      <c r="AU384">
        <v>2019</v>
      </c>
      <c r="AV384">
        <v>691</v>
      </c>
      <c r="AW384" t="s">
        <v>74</v>
      </c>
      <c r="AX384" t="s">
        <v>74</v>
      </c>
      <c r="AY384" t="s">
        <v>74</v>
      </c>
      <c r="AZ384" t="s">
        <v>74</v>
      </c>
      <c r="BA384" t="s">
        <v>74</v>
      </c>
      <c r="BB384">
        <v>736</v>
      </c>
      <c r="BC384">
        <v>748</v>
      </c>
      <c r="BD384" t="s">
        <v>74</v>
      </c>
      <c r="BE384" t="s">
        <v>7886</v>
      </c>
      <c r="BF384" t="str">
        <f>HYPERLINK("http://dx.doi.org/10.1016/j.scitotenv.2019.06.524","http://dx.doi.org/10.1016/j.scitotenv.2019.06.524")</f>
        <v>http://dx.doi.org/10.1016/j.scitotenv.2019.06.524</v>
      </c>
      <c r="BG384" t="s">
        <v>74</v>
      </c>
      <c r="BH384" t="s">
        <v>74</v>
      </c>
      <c r="BI384">
        <v>13</v>
      </c>
      <c r="BJ384" t="s">
        <v>387</v>
      </c>
      <c r="BK384" t="s">
        <v>294</v>
      </c>
      <c r="BL384" t="s">
        <v>388</v>
      </c>
      <c r="BM384" t="s">
        <v>7887</v>
      </c>
      <c r="BN384">
        <v>31325871</v>
      </c>
      <c r="BO384" t="s">
        <v>666</v>
      </c>
      <c r="BP384" t="s">
        <v>74</v>
      </c>
      <c r="BQ384" t="s">
        <v>74</v>
      </c>
      <c r="BR384" t="s">
        <v>108</v>
      </c>
      <c r="BS384" t="s">
        <v>7888</v>
      </c>
      <c r="BT384" t="str">
        <f>HYPERLINK("https%3A%2F%2Fwww.webofscience.com%2Fwos%2Fwoscc%2Ffull-record%2FWOS:000504009600070","View Full Record in Web of Science")</f>
        <v>View Full Record in Web of Science</v>
      </c>
    </row>
    <row r="385" spans="1:72" x14ac:dyDescent="0.15">
      <c r="A385" t="s">
        <v>133</v>
      </c>
      <c r="B385" t="s">
        <v>7889</v>
      </c>
      <c r="C385" t="s">
        <v>74</v>
      </c>
      <c r="D385" t="s">
        <v>74</v>
      </c>
      <c r="E385" t="s">
        <v>74</v>
      </c>
      <c r="F385" t="s">
        <v>7890</v>
      </c>
      <c r="G385" t="s">
        <v>74</v>
      </c>
      <c r="H385" t="s">
        <v>74</v>
      </c>
      <c r="I385" t="s">
        <v>7891</v>
      </c>
      <c r="J385" t="s">
        <v>1388</v>
      </c>
      <c r="K385" t="s">
        <v>74</v>
      </c>
      <c r="L385" t="s">
        <v>74</v>
      </c>
      <c r="M385" t="s">
        <v>80</v>
      </c>
      <c r="N385" t="s">
        <v>138</v>
      </c>
      <c r="O385" t="s">
        <v>74</v>
      </c>
      <c r="P385" t="s">
        <v>74</v>
      </c>
      <c r="Q385" t="s">
        <v>74</v>
      </c>
      <c r="R385" t="s">
        <v>74</v>
      </c>
      <c r="S385" t="s">
        <v>74</v>
      </c>
      <c r="T385" t="s">
        <v>7892</v>
      </c>
      <c r="U385" t="s">
        <v>7893</v>
      </c>
      <c r="V385" t="s">
        <v>7894</v>
      </c>
      <c r="W385" t="s">
        <v>7895</v>
      </c>
      <c r="X385" t="s">
        <v>7896</v>
      </c>
      <c r="Y385" t="s">
        <v>7897</v>
      </c>
      <c r="Z385" t="s">
        <v>7898</v>
      </c>
      <c r="AA385" t="s">
        <v>7899</v>
      </c>
      <c r="AB385" t="s">
        <v>7900</v>
      </c>
      <c r="AC385" t="s">
        <v>7901</v>
      </c>
      <c r="AD385" t="s">
        <v>7901</v>
      </c>
      <c r="AE385" t="s">
        <v>7902</v>
      </c>
      <c r="AF385" t="s">
        <v>74</v>
      </c>
      <c r="AG385">
        <v>70</v>
      </c>
      <c r="AH385">
        <v>2</v>
      </c>
      <c r="AI385">
        <v>2</v>
      </c>
      <c r="AJ385">
        <v>2</v>
      </c>
      <c r="AK385">
        <v>8</v>
      </c>
      <c r="AL385" t="s">
        <v>429</v>
      </c>
      <c r="AM385" t="s">
        <v>430</v>
      </c>
      <c r="AN385" t="s">
        <v>431</v>
      </c>
      <c r="AO385" t="s">
        <v>1401</v>
      </c>
      <c r="AP385" t="s">
        <v>1402</v>
      </c>
      <c r="AQ385" t="s">
        <v>74</v>
      </c>
      <c r="AR385" t="s">
        <v>1403</v>
      </c>
      <c r="AS385" t="s">
        <v>1404</v>
      </c>
      <c r="AT385" t="s">
        <v>7885</v>
      </c>
      <c r="AU385">
        <v>2019</v>
      </c>
      <c r="AV385">
        <v>39</v>
      </c>
      <c r="AW385">
        <v>13</v>
      </c>
      <c r="AX385" t="s">
        <v>74</v>
      </c>
      <c r="AY385" t="s">
        <v>74</v>
      </c>
      <c r="AZ385" t="s">
        <v>74</v>
      </c>
      <c r="BA385" t="s">
        <v>74</v>
      </c>
      <c r="BB385">
        <v>4967</v>
      </c>
      <c r="BC385">
        <v>4984</v>
      </c>
      <c r="BD385" t="s">
        <v>74</v>
      </c>
      <c r="BE385" t="s">
        <v>7903</v>
      </c>
      <c r="BF385" t="str">
        <f>HYPERLINK("http://dx.doi.org/10.1002/joc.6120","http://dx.doi.org/10.1002/joc.6120")</f>
        <v>http://dx.doi.org/10.1002/joc.6120</v>
      </c>
      <c r="BG385" t="s">
        <v>74</v>
      </c>
      <c r="BH385" t="s">
        <v>74</v>
      </c>
      <c r="BI385">
        <v>18</v>
      </c>
      <c r="BJ385" t="s">
        <v>1024</v>
      </c>
      <c r="BK385" t="s">
        <v>294</v>
      </c>
      <c r="BL385" t="s">
        <v>1024</v>
      </c>
      <c r="BM385" t="s">
        <v>7904</v>
      </c>
      <c r="BN385" t="s">
        <v>74</v>
      </c>
      <c r="BO385" t="s">
        <v>74</v>
      </c>
      <c r="BP385" t="s">
        <v>74</v>
      </c>
      <c r="BQ385" t="s">
        <v>74</v>
      </c>
      <c r="BR385" t="s">
        <v>108</v>
      </c>
      <c r="BS385" t="s">
        <v>7905</v>
      </c>
      <c r="BT385" t="str">
        <f>HYPERLINK("https%3A%2F%2Fwww.webofscience.com%2Fwos%2Fwoscc%2Ffull-record%2FWOS:000492795100005","View Full Record in Web of Science")</f>
        <v>View Full Record in Web of Science</v>
      </c>
    </row>
    <row r="386" spans="1:72" x14ac:dyDescent="0.15">
      <c r="A386" t="s">
        <v>133</v>
      </c>
      <c r="B386" t="s">
        <v>7906</v>
      </c>
      <c r="C386" t="s">
        <v>74</v>
      </c>
      <c r="D386" t="s">
        <v>74</v>
      </c>
      <c r="E386" t="s">
        <v>74</v>
      </c>
      <c r="F386" t="s">
        <v>7907</v>
      </c>
      <c r="G386" t="s">
        <v>74</v>
      </c>
      <c r="H386" t="s">
        <v>74</v>
      </c>
      <c r="I386" t="s">
        <v>7908</v>
      </c>
      <c r="J386" t="s">
        <v>7909</v>
      </c>
      <c r="K386" t="s">
        <v>74</v>
      </c>
      <c r="L386" t="s">
        <v>74</v>
      </c>
      <c r="M386" t="s">
        <v>80</v>
      </c>
      <c r="N386" t="s">
        <v>138</v>
      </c>
      <c r="O386" t="s">
        <v>74</v>
      </c>
      <c r="P386" t="s">
        <v>74</v>
      </c>
      <c r="Q386" t="s">
        <v>74</v>
      </c>
      <c r="R386" t="s">
        <v>74</v>
      </c>
      <c r="S386" t="s">
        <v>74</v>
      </c>
      <c r="T386" t="s">
        <v>7910</v>
      </c>
      <c r="U386" t="s">
        <v>7911</v>
      </c>
      <c r="V386" t="s">
        <v>7912</v>
      </c>
      <c r="W386" t="s">
        <v>7913</v>
      </c>
      <c r="X386" t="s">
        <v>7914</v>
      </c>
      <c r="Y386" t="s">
        <v>7915</v>
      </c>
      <c r="Z386" t="s">
        <v>7916</v>
      </c>
      <c r="AA386" t="s">
        <v>74</v>
      </c>
      <c r="AB386" t="s">
        <v>7917</v>
      </c>
      <c r="AC386" t="s">
        <v>7918</v>
      </c>
      <c r="AD386" t="s">
        <v>7919</v>
      </c>
      <c r="AE386" t="s">
        <v>7920</v>
      </c>
      <c r="AF386" t="s">
        <v>74</v>
      </c>
      <c r="AG386">
        <v>66</v>
      </c>
      <c r="AH386">
        <v>13</v>
      </c>
      <c r="AI386">
        <v>13</v>
      </c>
      <c r="AJ386">
        <v>0</v>
      </c>
      <c r="AK386">
        <v>11</v>
      </c>
      <c r="AL386" t="s">
        <v>4680</v>
      </c>
      <c r="AM386" t="s">
        <v>1730</v>
      </c>
      <c r="AN386" t="s">
        <v>4681</v>
      </c>
      <c r="AO386" t="s">
        <v>7921</v>
      </c>
      <c r="AP386" t="s">
        <v>7922</v>
      </c>
      <c r="AQ386" t="s">
        <v>74</v>
      </c>
      <c r="AR386" t="s">
        <v>7923</v>
      </c>
      <c r="AS386" t="s">
        <v>7924</v>
      </c>
      <c r="AT386" t="s">
        <v>7885</v>
      </c>
      <c r="AU386">
        <v>2019</v>
      </c>
      <c r="AV386">
        <v>228</v>
      </c>
      <c r="AW386" t="s">
        <v>74</v>
      </c>
      <c r="AX386" t="s">
        <v>74</v>
      </c>
      <c r="AY386" t="s">
        <v>74</v>
      </c>
      <c r="AZ386" t="s">
        <v>74</v>
      </c>
      <c r="BA386" t="s">
        <v>74</v>
      </c>
      <c r="BB386" t="s">
        <v>74</v>
      </c>
      <c r="BC386" t="s">
        <v>74</v>
      </c>
      <c r="BD386">
        <v>106363</v>
      </c>
      <c r="BE386" t="s">
        <v>7925</v>
      </c>
      <c r="BF386" t="str">
        <f>HYPERLINK("http://dx.doi.org/10.1016/j.ecss.2019.106363","http://dx.doi.org/10.1016/j.ecss.2019.106363")</f>
        <v>http://dx.doi.org/10.1016/j.ecss.2019.106363</v>
      </c>
      <c r="BG386" t="s">
        <v>74</v>
      </c>
      <c r="BH386" t="s">
        <v>74</v>
      </c>
      <c r="BI386">
        <v>13</v>
      </c>
      <c r="BJ386" t="s">
        <v>1814</v>
      </c>
      <c r="BK386" t="s">
        <v>294</v>
      </c>
      <c r="BL386" t="s">
        <v>1814</v>
      </c>
      <c r="BM386" t="s">
        <v>7926</v>
      </c>
      <c r="BN386" t="s">
        <v>74</v>
      </c>
      <c r="BO386" t="s">
        <v>74</v>
      </c>
      <c r="BP386" t="s">
        <v>74</v>
      </c>
      <c r="BQ386" t="s">
        <v>74</v>
      </c>
      <c r="BR386" t="s">
        <v>108</v>
      </c>
      <c r="BS386" t="s">
        <v>7927</v>
      </c>
      <c r="BT386" t="str">
        <f>HYPERLINK("https%3A%2F%2Fwww.webofscience.com%2Fwos%2Fwoscc%2Ffull-record%2FWOS:000496611500023","View Full Record in Web of Science")</f>
        <v>View Full Record in Web of Science</v>
      </c>
    </row>
    <row r="387" spans="1:72" x14ac:dyDescent="0.15">
      <c r="A387" t="s">
        <v>133</v>
      </c>
      <c r="B387" t="s">
        <v>7928</v>
      </c>
      <c r="C387" t="s">
        <v>74</v>
      </c>
      <c r="D387" t="s">
        <v>74</v>
      </c>
      <c r="E387" t="s">
        <v>74</v>
      </c>
      <c r="F387" t="s">
        <v>7929</v>
      </c>
      <c r="G387" t="s">
        <v>74</v>
      </c>
      <c r="H387" t="s">
        <v>74</v>
      </c>
      <c r="I387" t="s">
        <v>7930</v>
      </c>
      <c r="J387" t="s">
        <v>1928</v>
      </c>
      <c r="K387" t="s">
        <v>74</v>
      </c>
      <c r="L387" t="s">
        <v>74</v>
      </c>
      <c r="M387" t="s">
        <v>80</v>
      </c>
      <c r="N387" t="s">
        <v>138</v>
      </c>
      <c r="O387" t="s">
        <v>74</v>
      </c>
      <c r="P387" t="s">
        <v>74</v>
      </c>
      <c r="Q387" t="s">
        <v>74</v>
      </c>
      <c r="R387" t="s">
        <v>74</v>
      </c>
      <c r="S387" t="s">
        <v>74</v>
      </c>
      <c r="T387" t="s">
        <v>7931</v>
      </c>
      <c r="U387" t="s">
        <v>7932</v>
      </c>
      <c r="V387" t="s">
        <v>7933</v>
      </c>
      <c r="W387" t="s">
        <v>7934</v>
      </c>
      <c r="X387" t="s">
        <v>7935</v>
      </c>
      <c r="Y387" t="s">
        <v>7936</v>
      </c>
      <c r="Z387" t="s">
        <v>7937</v>
      </c>
      <c r="AA387" t="s">
        <v>7938</v>
      </c>
      <c r="AB387" t="s">
        <v>7939</v>
      </c>
      <c r="AC387" t="s">
        <v>7940</v>
      </c>
      <c r="AD387" t="s">
        <v>7941</v>
      </c>
      <c r="AE387" t="s">
        <v>7942</v>
      </c>
      <c r="AF387" t="s">
        <v>74</v>
      </c>
      <c r="AG387">
        <v>72</v>
      </c>
      <c r="AH387">
        <v>6</v>
      </c>
      <c r="AI387">
        <v>6</v>
      </c>
      <c r="AJ387">
        <v>1</v>
      </c>
      <c r="AK387">
        <v>4</v>
      </c>
      <c r="AL387" t="s">
        <v>1264</v>
      </c>
      <c r="AM387" t="s">
        <v>1265</v>
      </c>
      <c r="AN387" t="s">
        <v>1266</v>
      </c>
      <c r="AO387" t="s">
        <v>1940</v>
      </c>
      <c r="AP387" t="s">
        <v>1941</v>
      </c>
      <c r="AQ387" t="s">
        <v>74</v>
      </c>
      <c r="AR387" t="s">
        <v>1942</v>
      </c>
      <c r="AS387" t="s">
        <v>1943</v>
      </c>
      <c r="AT387" t="s">
        <v>3457</v>
      </c>
      <c r="AU387">
        <v>2019</v>
      </c>
      <c r="AV387">
        <v>124</v>
      </c>
      <c r="AW387">
        <v>11</v>
      </c>
      <c r="AX387" t="s">
        <v>74</v>
      </c>
      <c r="AY387" t="s">
        <v>74</v>
      </c>
      <c r="AZ387" t="s">
        <v>74</v>
      </c>
      <c r="BA387" t="s">
        <v>74</v>
      </c>
      <c r="BB387">
        <v>7718</v>
      </c>
      <c r="BC387">
        <v>7742</v>
      </c>
      <c r="BD387" t="s">
        <v>74</v>
      </c>
      <c r="BE387" t="s">
        <v>7943</v>
      </c>
      <c r="BF387" t="str">
        <f>HYPERLINK("http://dx.doi.org/10.1029/2018JC014679","http://dx.doi.org/10.1029/2018JC014679")</f>
        <v>http://dx.doi.org/10.1029/2018JC014679</v>
      </c>
      <c r="BG387" t="s">
        <v>74</v>
      </c>
      <c r="BH387" t="s">
        <v>6368</v>
      </c>
      <c r="BI387">
        <v>25</v>
      </c>
      <c r="BJ387" t="s">
        <v>1945</v>
      </c>
      <c r="BK387" t="s">
        <v>294</v>
      </c>
      <c r="BL387" t="s">
        <v>1945</v>
      </c>
      <c r="BM387" t="s">
        <v>6369</v>
      </c>
      <c r="BN387" t="s">
        <v>74</v>
      </c>
      <c r="BO387" t="s">
        <v>2403</v>
      </c>
      <c r="BP387" t="s">
        <v>74</v>
      </c>
      <c r="BQ387" t="s">
        <v>74</v>
      </c>
      <c r="BR387" t="s">
        <v>108</v>
      </c>
      <c r="BS387" t="s">
        <v>7944</v>
      </c>
      <c r="BT387" t="str">
        <f>HYPERLINK("https%3A%2F%2Fwww.webofscience.com%2Fwos%2Fwoscc%2Ffull-record%2FWOS:000496617100001","View Full Record in Web of Science")</f>
        <v>View Full Record in Web of Science</v>
      </c>
    </row>
    <row r="388" spans="1:72" x14ac:dyDescent="0.15">
      <c r="A388" t="s">
        <v>133</v>
      </c>
      <c r="B388" t="s">
        <v>7945</v>
      </c>
      <c r="C388" t="s">
        <v>74</v>
      </c>
      <c r="D388" t="s">
        <v>74</v>
      </c>
      <c r="E388" t="s">
        <v>74</v>
      </c>
      <c r="F388" t="s">
        <v>7946</v>
      </c>
      <c r="G388" t="s">
        <v>74</v>
      </c>
      <c r="H388" t="s">
        <v>74</v>
      </c>
      <c r="I388" t="s">
        <v>7947</v>
      </c>
      <c r="J388" t="s">
        <v>7948</v>
      </c>
      <c r="K388" t="s">
        <v>74</v>
      </c>
      <c r="L388" t="s">
        <v>74</v>
      </c>
      <c r="M388" t="s">
        <v>80</v>
      </c>
      <c r="N388" t="s">
        <v>138</v>
      </c>
      <c r="O388" t="s">
        <v>74</v>
      </c>
      <c r="P388" t="s">
        <v>74</v>
      </c>
      <c r="Q388" t="s">
        <v>74</v>
      </c>
      <c r="R388" t="s">
        <v>74</v>
      </c>
      <c r="S388" t="s">
        <v>74</v>
      </c>
      <c r="T388" t="s">
        <v>74</v>
      </c>
      <c r="U388" t="s">
        <v>7949</v>
      </c>
      <c r="V388" t="s">
        <v>7950</v>
      </c>
      <c r="W388" t="s">
        <v>7951</v>
      </c>
      <c r="X388" t="s">
        <v>7952</v>
      </c>
      <c r="Y388" t="s">
        <v>7953</v>
      </c>
      <c r="Z388" t="s">
        <v>7954</v>
      </c>
      <c r="AA388" t="s">
        <v>7955</v>
      </c>
      <c r="AB388" t="s">
        <v>7956</v>
      </c>
      <c r="AC388" t="s">
        <v>7957</v>
      </c>
      <c r="AD388" t="s">
        <v>7958</v>
      </c>
      <c r="AE388" t="s">
        <v>7959</v>
      </c>
      <c r="AF388" t="s">
        <v>74</v>
      </c>
      <c r="AG388">
        <v>23</v>
      </c>
      <c r="AH388">
        <v>7</v>
      </c>
      <c r="AI388">
        <v>10</v>
      </c>
      <c r="AJ388">
        <v>1</v>
      </c>
      <c r="AK388">
        <v>15</v>
      </c>
      <c r="AL388" t="s">
        <v>7960</v>
      </c>
      <c r="AM388" t="s">
        <v>7961</v>
      </c>
      <c r="AN388" t="s">
        <v>7962</v>
      </c>
      <c r="AO388" t="s">
        <v>7963</v>
      </c>
      <c r="AP388" t="s">
        <v>74</v>
      </c>
      <c r="AQ388" t="s">
        <v>74</v>
      </c>
      <c r="AR388" t="s">
        <v>7964</v>
      </c>
      <c r="AS388" t="s">
        <v>7965</v>
      </c>
      <c r="AT388" t="s">
        <v>7885</v>
      </c>
      <c r="AU388">
        <v>2019</v>
      </c>
      <c r="AV388">
        <v>4</v>
      </c>
      <c r="AW388">
        <v>11</v>
      </c>
      <c r="AX388" t="s">
        <v>74</v>
      </c>
      <c r="AY388" t="s">
        <v>74</v>
      </c>
      <c r="AZ388" t="s">
        <v>74</v>
      </c>
      <c r="BA388" t="s">
        <v>74</v>
      </c>
      <c r="BB388" t="s">
        <v>74</v>
      </c>
      <c r="BC388" t="s">
        <v>74</v>
      </c>
      <c r="BD388">
        <v>111101</v>
      </c>
      <c r="BE388" t="s">
        <v>7966</v>
      </c>
      <c r="BF388" t="str">
        <f>HYPERLINK("http://dx.doi.org/10.1103/PhysRevFluids.4.111101","http://dx.doi.org/10.1103/PhysRevFluids.4.111101")</f>
        <v>http://dx.doi.org/10.1103/PhysRevFluids.4.111101</v>
      </c>
      <c r="BG388" t="s">
        <v>74</v>
      </c>
      <c r="BH388" t="s">
        <v>74</v>
      </c>
      <c r="BI388">
        <v>10</v>
      </c>
      <c r="BJ388" t="s">
        <v>7967</v>
      </c>
      <c r="BK388" t="s">
        <v>294</v>
      </c>
      <c r="BL388" t="s">
        <v>7968</v>
      </c>
      <c r="BM388" t="s">
        <v>7969</v>
      </c>
      <c r="BN388" t="s">
        <v>74</v>
      </c>
      <c r="BO388" t="s">
        <v>74</v>
      </c>
      <c r="BP388" t="s">
        <v>74</v>
      </c>
      <c r="BQ388" t="s">
        <v>74</v>
      </c>
      <c r="BR388" t="s">
        <v>108</v>
      </c>
      <c r="BS388" t="s">
        <v>7970</v>
      </c>
      <c r="BT388" t="str">
        <f>HYPERLINK("https%3A%2F%2Fwww.webofscience.com%2Fwos%2Fwoscc%2Ffull-record%2FWOS:000496932700001","View Full Record in Web of Science")</f>
        <v>View Full Record in Web of Science</v>
      </c>
    </row>
    <row r="389" spans="1:72" x14ac:dyDescent="0.15">
      <c r="A389" t="s">
        <v>133</v>
      </c>
      <c r="B389" t="s">
        <v>7971</v>
      </c>
      <c r="C389" t="s">
        <v>74</v>
      </c>
      <c r="D389" t="s">
        <v>74</v>
      </c>
      <c r="E389" t="s">
        <v>74</v>
      </c>
      <c r="F389" t="s">
        <v>7972</v>
      </c>
      <c r="G389" t="s">
        <v>74</v>
      </c>
      <c r="H389" t="s">
        <v>74</v>
      </c>
      <c r="I389" t="s">
        <v>7973</v>
      </c>
      <c r="J389" t="s">
        <v>7974</v>
      </c>
      <c r="K389" t="s">
        <v>74</v>
      </c>
      <c r="L389" t="s">
        <v>74</v>
      </c>
      <c r="M389" t="s">
        <v>80</v>
      </c>
      <c r="N389" t="s">
        <v>138</v>
      </c>
      <c r="O389" t="s">
        <v>74</v>
      </c>
      <c r="P389" t="s">
        <v>74</v>
      </c>
      <c r="Q389" t="s">
        <v>74</v>
      </c>
      <c r="R389" t="s">
        <v>74</v>
      </c>
      <c r="S389" t="s">
        <v>74</v>
      </c>
      <c r="T389" t="s">
        <v>7975</v>
      </c>
      <c r="U389" t="s">
        <v>7976</v>
      </c>
      <c r="V389" t="s">
        <v>7977</v>
      </c>
      <c r="W389" t="s">
        <v>7978</v>
      </c>
      <c r="X389" t="s">
        <v>7979</v>
      </c>
      <c r="Y389" t="s">
        <v>7980</v>
      </c>
      <c r="Z389" t="s">
        <v>7981</v>
      </c>
      <c r="AA389" t="s">
        <v>7982</v>
      </c>
      <c r="AB389" t="s">
        <v>7983</v>
      </c>
      <c r="AC389" t="s">
        <v>7984</v>
      </c>
      <c r="AD389" t="s">
        <v>7985</v>
      </c>
      <c r="AE389" t="s">
        <v>7986</v>
      </c>
      <c r="AF389" t="s">
        <v>74</v>
      </c>
      <c r="AG389">
        <v>90</v>
      </c>
      <c r="AH389">
        <v>19</v>
      </c>
      <c r="AI389">
        <v>19</v>
      </c>
      <c r="AJ389">
        <v>0</v>
      </c>
      <c r="AK389">
        <v>18</v>
      </c>
      <c r="AL389" t="s">
        <v>284</v>
      </c>
      <c r="AM389" t="s">
        <v>285</v>
      </c>
      <c r="AN389" t="s">
        <v>286</v>
      </c>
      <c r="AO389" t="s">
        <v>7987</v>
      </c>
      <c r="AP389" t="s">
        <v>7988</v>
      </c>
      <c r="AQ389" t="s">
        <v>74</v>
      </c>
      <c r="AR389" t="s">
        <v>7989</v>
      </c>
      <c r="AS389" t="s">
        <v>7990</v>
      </c>
      <c r="AT389" t="s">
        <v>7885</v>
      </c>
      <c r="AU389">
        <v>2019</v>
      </c>
      <c r="AV389">
        <v>412</v>
      </c>
      <c r="AW389" t="s">
        <v>74</v>
      </c>
      <c r="AX389" t="s">
        <v>74</v>
      </c>
      <c r="AY389" t="s">
        <v>74</v>
      </c>
      <c r="AZ389" t="s">
        <v>74</v>
      </c>
      <c r="BA389" t="s">
        <v>74</v>
      </c>
      <c r="BB389" t="s">
        <v>74</v>
      </c>
      <c r="BC389" t="s">
        <v>74</v>
      </c>
      <c r="BD389">
        <v>108822</v>
      </c>
      <c r="BE389" t="s">
        <v>7991</v>
      </c>
      <c r="BF389" t="str">
        <f>HYPERLINK("http://dx.doi.org/10.1016/j.ecolmodel.2019.108822","http://dx.doi.org/10.1016/j.ecolmodel.2019.108822")</f>
        <v>http://dx.doi.org/10.1016/j.ecolmodel.2019.108822</v>
      </c>
      <c r="BG389" t="s">
        <v>74</v>
      </c>
      <c r="BH389" t="s">
        <v>74</v>
      </c>
      <c r="BI389">
        <v>13</v>
      </c>
      <c r="BJ389" t="s">
        <v>437</v>
      </c>
      <c r="BK389" t="s">
        <v>294</v>
      </c>
      <c r="BL389" t="s">
        <v>388</v>
      </c>
      <c r="BM389" t="s">
        <v>7992</v>
      </c>
      <c r="BN389" t="s">
        <v>74</v>
      </c>
      <c r="BO389" t="s">
        <v>4851</v>
      </c>
      <c r="BP389" t="s">
        <v>74</v>
      </c>
      <c r="BQ389" t="s">
        <v>74</v>
      </c>
      <c r="BR389" t="s">
        <v>108</v>
      </c>
      <c r="BS389" t="s">
        <v>7993</v>
      </c>
      <c r="BT389" t="str">
        <f>HYPERLINK("https%3A%2F%2Fwww.webofscience.com%2Fwos%2Fwoscc%2Ffull-record%2FWOS:000494885900004","View Full Record in Web of Science")</f>
        <v>View Full Record in Web of Science</v>
      </c>
    </row>
    <row r="390" spans="1:72" x14ac:dyDescent="0.15">
      <c r="A390" t="s">
        <v>133</v>
      </c>
      <c r="B390" t="s">
        <v>7994</v>
      </c>
      <c r="C390" t="s">
        <v>74</v>
      </c>
      <c r="D390" t="s">
        <v>74</v>
      </c>
      <c r="E390" t="s">
        <v>74</v>
      </c>
      <c r="F390" t="s">
        <v>7995</v>
      </c>
      <c r="G390" t="s">
        <v>74</v>
      </c>
      <c r="H390" t="s">
        <v>74</v>
      </c>
      <c r="I390" t="s">
        <v>7996</v>
      </c>
      <c r="J390" t="s">
        <v>2451</v>
      </c>
      <c r="K390" t="s">
        <v>74</v>
      </c>
      <c r="L390" t="s">
        <v>74</v>
      </c>
      <c r="M390" t="s">
        <v>80</v>
      </c>
      <c r="N390" t="s">
        <v>138</v>
      </c>
      <c r="O390" t="s">
        <v>74</v>
      </c>
      <c r="P390" t="s">
        <v>74</v>
      </c>
      <c r="Q390" t="s">
        <v>74</v>
      </c>
      <c r="R390" t="s">
        <v>74</v>
      </c>
      <c r="S390" t="s">
        <v>74</v>
      </c>
      <c r="T390" t="s">
        <v>7997</v>
      </c>
      <c r="U390" t="s">
        <v>7998</v>
      </c>
      <c r="V390" t="s">
        <v>7999</v>
      </c>
      <c r="W390" t="s">
        <v>8000</v>
      </c>
      <c r="X390" t="s">
        <v>8001</v>
      </c>
      <c r="Y390" t="s">
        <v>8002</v>
      </c>
      <c r="Z390" t="s">
        <v>8003</v>
      </c>
      <c r="AA390" t="s">
        <v>8004</v>
      </c>
      <c r="AB390" t="s">
        <v>8005</v>
      </c>
      <c r="AC390" t="s">
        <v>8006</v>
      </c>
      <c r="AD390" t="s">
        <v>8007</v>
      </c>
      <c r="AE390" t="s">
        <v>8008</v>
      </c>
      <c r="AF390" t="s">
        <v>74</v>
      </c>
      <c r="AG390">
        <v>26</v>
      </c>
      <c r="AH390">
        <v>2</v>
      </c>
      <c r="AI390">
        <v>2</v>
      </c>
      <c r="AJ390">
        <v>0</v>
      </c>
      <c r="AK390">
        <v>9</v>
      </c>
      <c r="AL390" t="s">
        <v>709</v>
      </c>
      <c r="AM390" t="s">
        <v>380</v>
      </c>
      <c r="AN390" t="s">
        <v>710</v>
      </c>
      <c r="AO390" t="s">
        <v>2464</v>
      </c>
      <c r="AP390" t="s">
        <v>2465</v>
      </c>
      <c r="AQ390" t="s">
        <v>74</v>
      </c>
      <c r="AR390" t="s">
        <v>2466</v>
      </c>
      <c r="AS390" t="s">
        <v>2467</v>
      </c>
      <c r="AT390" t="s">
        <v>7885</v>
      </c>
      <c r="AU390">
        <v>2019</v>
      </c>
      <c r="AV390">
        <v>64</v>
      </c>
      <c r="AW390">
        <v>10</v>
      </c>
      <c r="AX390" t="s">
        <v>74</v>
      </c>
      <c r="AY390" t="s">
        <v>74</v>
      </c>
      <c r="AZ390" t="s">
        <v>74</v>
      </c>
      <c r="BA390" t="s">
        <v>74</v>
      </c>
      <c r="BB390">
        <v>2002</v>
      </c>
      <c r="BC390">
        <v>2011</v>
      </c>
      <c r="BD390" t="s">
        <v>74</v>
      </c>
      <c r="BE390" t="s">
        <v>8009</v>
      </c>
      <c r="BF390" t="str">
        <f>HYPERLINK("http://dx.doi.org/10.1016/j.asr.2019.06.008","http://dx.doi.org/10.1016/j.asr.2019.06.008")</f>
        <v>http://dx.doi.org/10.1016/j.asr.2019.06.008</v>
      </c>
      <c r="BG390" t="s">
        <v>74</v>
      </c>
      <c r="BH390" t="s">
        <v>74</v>
      </c>
      <c r="BI390">
        <v>10</v>
      </c>
      <c r="BJ390" t="s">
        <v>2469</v>
      </c>
      <c r="BK390" t="s">
        <v>294</v>
      </c>
      <c r="BL390" t="s">
        <v>2470</v>
      </c>
      <c r="BM390" t="s">
        <v>8010</v>
      </c>
      <c r="BN390" t="s">
        <v>74</v>
      </c>
      <c r="BO390" t="s">
        <v>74</v>
      </c>
      <c r="BP390" t="s">
        <v>74</v>
      </c>
      <c r="BQ390" t="s">
        <v>74</v>
      </c>
      <c r="BR390" t="s">
        <v>108</v>
      </c>
      <c r="BS390" t="s">
        <v>8011</v>
      </c>
      <c r="BT390" t="str">
        <f>HYPERLINK("https%3A%2F%2Fwww.webofscience.com%2Fwos%2Fwoscc%2Ffull-record%2FWOS:000491218400014","View Full Record in Web of Science")</f>
        <v>View Full Record in Web of Science</v>
      </c>
    </row>
    <row r="391" spans="1:72" x14ac:dyDescent="0.15">
      <c r="A391" t="s">
        <v>133</v>
      </c>
      <c r="B391" t="s">
        <v>8012</v>
      </c>
      <c r="C391" t="s">
        <v>74</v>
      </c>
      <c r="D391" t="s">
        <v>74</v>
      </c>
      <c r="E391" t="s">
        <v>74</v>
      </c>
      <c r="F391" t="s">
        <v>8013</v>
      </c>
      <c r="G391" t="s">
        <v>74</v>
      </c>
      <c r="H391" t="s">
        <v>74</v>
      </c>
      <c r="I391" t="s">
        <v>8014</v>
      </c>
      <c r="J391" t="s">
        <v>1048</v>
      </c>
      <c r="K391" t="s">
        <v>74</v>
      </c>
      <c r="L391" t="s">
        <v>74</v>
      </c>
      <c r="M391" t="s">
        <v>80</v>
      </c>
      <c r="N391" t="s">
        <v>138</v>
      </c>
      <c r="O391" t="s">
        <v>74</v>
      </c>
      <c r="P391" t="s">
        <v>74</v>
      </c>
      <c r="Q391" t="s">
        <v>74</v>
      </c>
      <c r="R391" t="s">
        <v>74</v>
      </c>
      <c r="S391" t="s">
        <v>74</v>
      </c>
      <c r="T391" t="s">
        <v>8015</v>
      </c>
      <c r="U391" t="s">
        <v>8016</v>
      </c>
      <c r="V391" t="s">
        <v>8017</v>
      </c>
      <c r="W391" t="s">
        <v>8018</v>
      </c>
      <c r="X391" t="s">
        <v>8019</v>
      </c>
      <c r="Y391" t="s">
        <v>8020</v>
      </c>
      <c r="Z391" t="s">
        <v>2501</v>
      </c>
      <c r="AA391" t="s">
        <v>8021</v>
      </c>
      <c r="AB391" t="s">
        <v>8022</v>
      </c>
      <c r="AC391" t="s">
        <v>8023</v>
      </c>
      <c r="AD391" t="s">
        <v>8024</v>
      </c>
      <c r="AE391" t="s">
        <v>8025</v>
      </c>
      <c r="AF391" t="s">
        <v>74</v>
      </c>
      <c r="AG391">
        <v>86</v>
      </c>
      <c r="AH391">
        <v>50</v>
      </c>
      <c r="AI391">
        <v>52</v>
      </c>
      <c r="AJ391">
        <v>1</v>
      </c>
      <c r="AK391">
        <v>19</v>
      </c>
      <c r="AL391" t="s">
        <v>379</v>
      </c>
      <c r="AM391" t="s">
        <v>380</v>
      </c>
      <c r="AN391" t="s">
        <v>381</v>
      </c>
      <c r="AO391" t="s">
        <v>1061</v>
      </c>
      <c r="AP391" t="s">
        <v>1062</v>
      </c>
      <c r="AQ391" t="s">
        <v>74</v>
      </c>
      <c r="AR391" t="s">
        <v>1063</v>
      </c>
      <c r="AS391" t="s">
        <v>1064</v>
      </c>
      <c r="AT391" t="s">
        <v>7885</v>
      </c>
      <c r="AU391">
        <v>2019</v>
      </c>
      <c r="AV391">
        <v>265</v>
      </c>
      <c r="AW391" t="s">
        <v>74</v>
      </c>
      <c r="AX391" t="s">
        <v>74</v>
      </c>
      <c r="AY391" t="s">
        <v>74</v>
      </c>
      <c r="AZ391" t="s">
        <v>74</v>
      </c>
      <c r="BA391" t="s">
        <v>74</v>
      </c>
      <c r="BB391">
        <v>259</v>
      </c>
      <c r="BC391">
        <v>278</v>
      </c>
      <c r="BD391" t="s">
        <v>74</v>
      </c>
      <c r="BE391" t="s">
        <v>8026</v>
      </c>
      <c r="BF391" t="str">
        <f>HYPERLINK("http://dx.doi.org/10.1016/j.gca.2019.08.032","http://dx.doi.org/10.1016/j.gca.2019.08.032")</f>
        <v>http://dx.doi.org/10.1016/j.gca.2019.08.032</v>
      </c>
      <c r="BG391" t="s">
        <v>74</v>
      </c>
      <c r="BH391" t="s">
        <v>74</v>
      </c>
      <c r="BI391">
        <v>20</v>
      </c>
      <c r="BJ391" t="s">
        <v>1067</v>
      </c>
      <c r="BK391" t="s">
        <v>294</v>
      </c>
      <c r="BL391" t="s">
        <v>1067</v>
      </c>
      <c r="BM391" t="s">
        <v>8027</v>
      </c>
      <c r="BN391" t="s">
        <v>74</v>
      </c>
      <c r="BO391" t="s">
        <v>559</v>
      </c>
      <c r="BP391" t="s">
        <v>74</v>
      </c>
      <c r="BQ391" t="s">
        <v>74</v>
      </c>
      <c r="BR391" t="s">
        <v>108</v>
      </c>
      <c r="BS391" t="s">
        <v>8028</v>
      </c>
      <c r="BT391" t="str">
        <f>HYPERLINK("https%3A%2F%2Fwww.webofscience.com%2Fwos%2Fwoscc%2Ffull-record%2FWOS:000488959900016","View Full Record in Web of Science")</f>
        <v>View Full Record in Web of Science</v>
      </c>
    </row>
    <row r="392" spans="1:72" x14ac:dyDescent="0.15">
      <c r="A392" t="s">
        <v>133</v>
      </c>
      <c r="B392" t="s">
        <v>8029</v>
      </c>
      <c r="C392" t="s">
        <v>74</v>
      </c>
      <c r="D392" t="s">
        <v>74</v>
      </c>
      <c r="E392" t="s">
        <v>74</v>
      </c>
      <c r="F392" t="s">
        <v>8030</v>
      </c>
      <c r="G392" t="s">
        <v>74</v>
      </c>
      <c r="H392" t="s">
        <v>74</v>
      </c>
      <c r="I392" t="s">
        <v>8031</v>
      </c>
      <c r="J392" t="s">
        <v>6129</v>
      </c>
      <c r="K392" t="s">
        <v>74</v>
      </c>
      <c r="L392" t="s">
        <v>74</v>
      </c>
      <c r="M392" t="s">
        <v>80</v>
      </c>
      <c r="N392" t="s">
        <v>138</v>
      </c>
      <c r="O392" t="s">
        <v>74</v>
      </c>
      <c r="P392" t="s">
        <v>74</v>
      </c>
      <c r="Q392" t="s">
        <v>74</v>
      </c>
      <c r="R392" t="s">
        <v>74</v>
      </c>
      <c r="S392" t="s">
        <v>74</v>
      </c>
      <c r="T392" t="s">
        <v>8032</v>
      </c>
      <c r="U392" t="s">
        <v>8033</v>
      </c>
      <c r="V392" t="s">
        <v>8034</v>
      </c>
      <c r="W392" t="s">
        <v>8035</v>
      </c>
      <c r="X392" t="s">
        <v>8036</v>
      </c>
      <c r="Y392" t="s">
        <v>8037</v>
      </c>
      <c r="Z392" t="s">
        <v>8038</v>
      </c>
      <c r="AA392" t="s">
        <v>8039</v>
      </c>
      <c r="AB392" t="s">
        <v>8040</v>
      </c>
      <c r="AC392" t="s">
        <v>8041</v>
      </c>
      <c r="AD392" t="s">
        <v>8041</v>
      </c>
      <c r="AE392" t="s">
        <v>8042</v>
      </c>
      <c r="AF392" t="s">
        <v>74</v>
      </c>
      <c r="AG392">
        <v>58</v>
      </c>
      <c r="AH392">
        <v>14</v>
      </c>
      <c r="AI392">
        <v>19</v>
      </c>
      <c r="AJ392">
        <v>0</v>
      </c>
      <c r="AK392">
        <v>36</v>
      </c>
      <c r="AL392" t="s">
        <v>284</v>
      </c>
      <c r="AM392" t="s">
        <v>285</v>
      </c>
      <c r="AN392" t="s">
        <v>286</v>
      </c>
      <c r="AO392" t="s">
        <v>6142</v>
      </c>
      <c r="AP392" t="s">
        <v>6143</v>
      </c>
      <c r="AQ392" t="s">
        <v>74</v>
      </c>
      <c r="AR392" t="s">
        <v>6144</v>
      </c>
      <c r="AS392" t="s">
        <v>6145</v>
      </c>
      <c r="AT392" t="s">
        <v>7885</v>
      </c>
      <c r="AU392">
        <v>2019</v>
      </c>
      <c r="AV392">
        <v>526</v>
      </c>
      <c r="AW392" t="s">
        <v>74</v>
      </c>
      <c r="AX392" t="s">
        <v>74</v>
      </c>
      <c r="AY392" t="s">
        <v>74</v>
      </c>
      <c r="AZ392" t="s">
        <v>74</v>
      </c>
      <c r="BA392" t="s">
        <v>74</v>
      </c>
      <c r="BB392" t="s">
        <v>74</v>
      </c>
      <c r="BC392" t="s">
        <v>74</v>
      </c>
      <c r="BD392">
        <v>115764</v>
      </c>
      <c r="BE392" t="s">
        <v>8043</v>
      </c>
      <c r="BF392" t="str">
        <f>HYPERLINK("http://dx.doi.org/10.1016/j.epsl.2019.115764","http://dx.doi.org/10.1016/j.epsl.2019.115764")</f>
        <v>http://dx.doi.org/10.1016/j.epsl.2019.115764</v>
      </c>
      <c r="BG392" t="s">
        <v>74</v>
      </c>
      <c r="BH392" t="s">
        <v>74</v>
      </c>
      <c r="BI392">
        <v>14</v>
      </c>
      <c r="BJ392" t="s">
        <v>1067</v>
      </c>
      <c r="BK392" t="s">
        <v>294</v>
      </c>
      <c r="BL392" t="s">
        <v>1067</v>
      </c>
      <c r="BM392" t="s">
        <v>8044</v>
      </c>
      <c r="BN392" t="s">
        <v>74</v>
      </c>
      <c r="BO392" t="s">
        <v>74</v>
      </c>
      <c r="BP392" t="s">
        <v>74</v>
      </c>
      <c r="BQ392" t="s">
        <v>74</v>
      </c>
      <c r="BR392" t="s">
        <v>108</v>
      </c>
      <c r="BS392" t="s">
        <v>8045</v>
      </c>
      <c r="BT392" t="str">
        <f>HYPERLINK("https%3A%2F%2Fwww.webofscience.com%2Fwos%2Fwoscc%2Ffull-record%2FWOS:000488417000002","View Full Record in Web of Science")</f>
        <v>View Full Record in Web of Science</v>
      </c>
    </row>
    <row r="393" spans="1:72" x14ac:dyDescent="0.15">
      <c r="A393" t="s">
        <v>133</v>
      </c>
      <c r="B393" t="s">
        <v>8046</v>
      </c>
      <c r="C393" t="s">
        <v>74</v>
      </c>
      <c r="D393" t="s">
        <v>74</v>
      </c>
      <c r="E393" t="s">
        <v>74</v>
      </c>
      <c r="F393" t="s">
        <v>8047</v>
      </c>
      <c r="G393" t="s">
        <v>74</v>
      </c>
      <c r="H393" t="s">
        <v>74</v>
      </c>
      <c r="I393" t="s">
        <v>8048</v>
      </c>
      <c r="J393" t="s">
        <v>8049</v>
      </c>
      <c r="K393" t="s">
        <v>74</v>
      </c>
      <c r="L393" t="s">
        <v>74</v>
      </c>
      <c r="M393" t="s">
        <v>80</v>
      </c>
      <c r="N393" t="s">
        <v>138</v>
      </c>
      <c r="O393" t="s">
        <v>74</v>
      </c>
      <c r="P393" t="s">
        <v>74</v>
      </c>
      <c r="Q393" t="s">
        <v>74</v>
      </c>
      <c r="R393" t="s">
        <v>74</v>
      </c>
      <c r="S393" t="s">
        <v>74</v>
      </c>
      <c r="T393" t="s">
        <v>74</v>
      </c>
      <c r="U393" t="s">
        <v>8050</v>
      </c>
      <c r="V393" t="s">
        <v>8051</v>
      </c>
      <c r="W393" t="s">
        <v>8052</v>
      </c>
      <c r="X393" t="s">
        <v>8053</v>
      </c>
      <c r="Y393" t="s">
        <v>8054</v>
      </c>
      <c r="Z393" t="s">
        <v>8055</v>
      </c>
      <c r="AA393" t="s">
        <v>8056</v>
      </c>
      <c r="AB393" t="s">
        <v>8057</v>
      </c>
      <c r="AC393" t="s">
        <v>8058</v>
      </c>
      <c r="AD393" t="s">
        <v>8059</v>
      </c>
      <c r="AE393" t="s">
        <v>8060</v>
      </c>
      <c r="AF393" t="s">
        <v>74</v>
      </c>
      <c r="AG393">
        <v>45</v>
      </c>
      <c r="AH393">
        <v>36</v>
      </c>
      <c r="AI393">
        <v>39</v>
      </c>
      <c r="AJ393">
        <v>0</v>
      </c>
      <c r="AK393">
        <v>15</v>
      </c>
      <c r="AL393" t="s">
        <v>5418</v>
      </c>
      <c r="AM393" t="s">
        <v>5419</v>
      </c>
      <c r="AN393" t="s">
        <v>5420</v>
      </c>
      <c r="AO393" t="s">
        <v>8061</v>
      </c>
      <c r="AP393" t="s">
        <v>8062</v>
      </c>
      <c r="AQ393" t="s">
        <v>74</v>
      </c>
      <c r="AR393" t="s">
        <v>8049</v>
      </c>
      <c r="AS393" t="s">
        <v>8063</v>
      </c>
      <c r="AT393" t="s">
        <v>7885</v>
      </c>
      <c r="AU393">
        <v>2019</v>
      </c>
      <c r="AV393">
        <v>333</v>
      </c>
      <c r="AW393" t="s">
        <v>74</v>
      </c>
      <c r="AX393" t="s">
        <v>74</v>
      </c>
      <c r="AY393" t="s">
        <v>74</v>
      </c>
      <c r="AZ393" t="s">
        <v>74</v>
      </c>
      <c r="BA393" t="s">
        <v>74</v>
      </c>
      <c r="BB393">
        <v>243</v>
      </c>
      <c r="BC393">
        <v>251</v>
      </c>
      <c r="BD393" t="s">
        <v>74</v>
      </c>
      <c r="BE393" t="s">
        <v>8064</v>
      </c>
      <c r="BF393" t="str">
        <f>HYPERLINK("http://dx.doi.org/10.1016/j.icarus.2019.05.012","http://dx.doi.org/10.1016/j.icarus.2019.05.012")</f>
        <v>http://dx.doi.org/10.1016/j.icarus.2019.05.012</v>
      </c>
      <c r="BG393" t="s">
        <v>74</v>
      </c>
      <c r="BH393" t="s">
        <v>74</v>
      </c>
      <c r="BI393">
        <v>9</v>
      </c>
      <c r="BJ393" t="s">
        <v>1571</v>
      </c>
      <c r="BK393" t="s">
        <v>294</v>
      </c>
      <c r="BL393" t="s">
        <v>1571</v>
      </c>
      <c r="BM393" t="s">
        <v>8065</v>
      </c>
      <c r="BN393" t="s">
        <v>74</v>
      </c>
      <c r="BO393" t="s">
        <v>4930</v>
      </c>
      <c r="BP393" t="s">
        <v>74</v>
      </c>
      <c r="BQ393" t="s">
        <v>74</v>
      </c>
      <c r="BR393" t="s">
        <v>108</v>
      </c>
      <c r="BS393" t="s">
        <v>8066</v>
      </c>
      <c r="BT393" t="str">
        <f>HYPERLINK("https%3A%2F%2Fwww.webofscience.com%2Fwos%2Fwoscc%2Ffull-record%2FWOS:000481566200018","View Full Record in Web of Science")</f>
        <v>View Full Record in Web of Science</v>
      </c>
    </row>
    <row r="394" spans="1:72" x14ac:dyDescent="0.15">
      <c r="A394" t="s">
        <v>133</v>
      </c>
      <c r="B394" t="s">
        <v>8067</v>
      </c>
      <c r="C394" t="s">
        <v>74</v>
      </c>
      <c r="D394" t="s">
        <v>74</v>
      </c>
      <c r="E394" t="s">
        <v>74</v>
      </c>
      <c r="F394" t="s">
        <v>8068</v>
      </c>
      <c r="G394" t="s">
        <v>74</v>
      </c>
      <c r="H394" t="s">
        <v>74</v>
      </c>
      <c r="I394" t="s">
        <v>8069</v>
      </c>
      <c r="J394" t="s">
        <v>8070</v>
      </c>
      <c r="K394" t="s">
        <v>74</v>
      </c>
      <c r="L394" t="s">
        <v>74</v>
      </c>
      <c r="M394" t="s">
        <v>80</v>
      </c>
      <c r="N394" t="s">
        <v>138</v>
      </c>
      <c r="O394" t="s">
        <v>74</v>
      </c>
      <c r="P394" t="s">
        <v>74</v>
      </c>
      <c r="Q394" t="s">
        <v>74</v>
      </c>
      <c r="R394" t="s">
        <v>74</v>
      </c>
      <c r="S394" t="s">
        <v>74</v>
      </c>
      <c r="T394" t="s">
        <v>74</v>
      </c>
      <c r="U394" t="s">
        <v>8071</v>
      </c>
      <c r="V394" t="s">
        <v>8072</v>
      </c>
      <c r="W394" t="s">
        <v>8073</v>
      </c>
      <c r="X394" t="s">
        <v>8074</v>
      </c>
      <c r="Y394" t="s">
        <v>8075</v>
      </c>
      <c r="Z394" t="s">
        <v>8076</v>
      </c>
      <c r="AA394" t="s">
        <v>8077</v>
      </c>
      <c r="AB394" t="s">
        <v>8078</v>
      </c>
      <c r="AC394" t="s">
        <v>8079</v>
      </c>
      <c r="AD394" t="s">
        <v>8080</v>
      </c>
      <c r="AE394" t="s">
        <v>8081</v>
      </c>
      <c r="AF394" t="s">
        <v>74</v>
      </c>
      <c r="AG394">
        <v>115</v>
      </c>
      <c r="AH394">
        <v>39</v>
      </c>
      <c r="AI394">
        <v>42</v>
      </c>
      <c r="AJ394">
        <v>1</v>
      </c>
      <c r="AK394">
        <v>9</v>
      </c>
      <c r="AL394" t="s">
        <v>2099</v>
      </c>
      <c r="AM394" t="s">
        <v>2100</v>
      </c>
      <c r="AN394" t="s">
        <v>2101</v>
      </c>
      <c r="AO394" t="s">
        <v>8082</v>
      </c>
      <c r="AP394" t="s">
        <v>8083</v>
      </c>
      <c r="AQ394" t="s">
        <v>74</v>
      </c>
      <c r="AR394" t="s">
        <v>8084</v>
      </c>
      <c r="AS394" t="s">
        <v>8085</v>
      </c>
      <c r="AT394" t="s">
        <v>8086</v>
      </c>
      <c r="AU394">
        <v>2019</v>
      </c>
      <c r="AV394">
        <v>15</v>
      </c>
      <c r="AW394">
        <v>6</v>
      </c>
      <c r="AX394" t="s">
        <v>74</v>
      </c>
      <c r="AY394" t="s">
        <v>74</v>
      </c>
      <c r="AZ394" t="s">
        <v>74</v>
      </c>
      <c r="BA394" t="s">
        <v>74</v>
      </c>
      <c r="BB394">
        <v>1913</v>
      </c>
      <c r="BC394">
        <v>1937</v>
      </c>
      <c r="BD394" t="s">
        <v>74</v>
      </c>
      <c r="BE394" t="s">
        <v>8087</v>
      </c>
      <c r="BF394" t="str">
        <f>HYPERLINK("http://dx.doi.org/10.5194/cp-15-1913-2019","http://dx.doi.org/10.5194/cp-15-1913-2019")</f>
        <v>http://dx.doi.org/10.5194/cp-15-1913-2019</v>
      </c>
      <c r="BG394" t="s">
        <v>74</v>
      </c>
      <c r="BH394" t="s">
        <v>74</v>
      </c>
      <c r="BI394">
        <v>25</v>
      </c>
      <c r="BJ394" t="s">
        <v>3217</v>
      </c>
      <c r="BK394" t="s">
        <v>294</v>
      </c>
      <c r="BL394" t="s">
        <v>3218</v>
      </c>
      <c r="BM394" t="s">
        <v>8088</v>
      </c>
      <c r="BN394" t="s">
        <v>74</v>
      </c>
      <c r="BO394" t="s">
        <v>8089</v>
      </c>
      <c r="BP394" t="s">
        <v>74</v>
      </c>
      <c r="BQ394" t="s">
        <v>74</v>
      </c>
      <c r="BR394" t="s">
        <v>108</v>
      </c>
      <c r="BS394" t="s">
        <v>8090</v>
      </c>
      <c r="BT394" t="str">
        <f>HYPERLINK("https%3A%2F%2Fwww.webofscience.com%2Fwos%2Fwoscc%2Ffull-record%2FWOS:000497321500001","View Full Record in Web of Science")</f>
        <v>View Full Record in Web of Science</v>
      </c>
    </row>
    <row r="395" spans="1:72" x14ac:dyDescent="0.15">
      <c r="A395" t="s">
        <v>133</v>
      </c>
      <c r="B395" t="s">
        <v>8091</v>
      </c>
      <c r="C395" t="s">
        <v>74</v>
      </c>
      <c r="D395" t="s">
        <v>74</v>
      </c>
      <c r="E395" t="s">
        <v>74</v>
      </c>
      <c r="F395" t="s">
        <v>8092</v>
      </c>
      <c r="G395" t="s">
        <v>74</v>
      </c>
      <c r="H395" t="s">
        <v>74</v>
      </c>
      <c r="I395" t="s">
        <v>8093</v>
      </c>
      <c r="J395" t="s">
        <v>3031</v>
      </c>
      <c r="K395" t="s">
        <v>74</v>
      </c>
      <c r="L395" t="s">
        <v>74</v>
      </c>
      <c r="M395" t="s">
        <v>80</v>
      </c>
      <c r="N395" t="s">
        <v>138</v>
      </c>
      <c r="O395" t="s">
        <v>74</v>
      </c>
      <c r="P395" t="s">
        <v>74</v>
      </c>
      <c r="Q395" t="s">
        <v>74</v>
      </c>
      <c r="R395" t="s">
        <v>74</v>
      </c>
      <c r="S395" t="s">
        <v>74</v>
      </c>
      <c r="T395" t="s">
        <v>8094</v>
      </c>
      <c r="U395" t="s">
        <v>8095</v>
      </c>
      <c r="V395" t="s">
        <v>8096</v>
      </c>
      <c r="W395" t="s">
        <v>8097</v>
      </c>
      <c r="X395" t="s">
        <v>8098</v>
      </c>
      <c r="Y395" t="s">
        <v>8099</v>
      </c>
      <c r="Z395" t="s">
        <v>8100</v>
      </c>
      <c r="AA395" t="s">
        <v>8101</v>
      </c>
      <c r="AB395" t="s">
        <v>8102</v>
      </c>
      <c r="AC395" t="s">
        <v>8103</v>
      </c>
      <c r="AD395" t="s">
        <v>8104</v>
      </c>
      <c r="AE395" t="s">
        <v>8105</v>
      </c>
      <c r="AF395" t="s">
        <v>74</v>
      </c>
      <c r="AG395">
        <v>87</v>
      </c>
      <c r="AH395">
        <v>9</v>
      </c>
      <c r="AI395">
        <v>11</v>
      </c>
      <c r="AJ395">
        <v>1</v>
      </c>
      <c r="AK395">
        <v>9</v>
      </c>
      <c r="AL395" t="s">
        <v>1264</v>
      </c>
      <c r="AM395" t="s">
        <v>1265</v>
      </c>
      <c r="AN395" t="s">
        <v>1266</v>
      </c>
      <c r="AO395" t="s">
        <v>74</v>
      </c>
      <c r="AP395" t="s">
        <v>3043</v>
      </c>
      <c r="AQ395" t="s">
        <v>74</v>
      </c>
      <c r="AR395" t="s">
        <v>3044</v>
      </c>
      <c r="AS395" t="s">
        <v>3045</v>
      </c>
      <c r="AT395" t="s">
        <v>3457</v>
      </c>
      <c r="AU395">
        <v>2019</v>
      </c>
      <c r="AV395">
        <v>20</v>
      </c>
      <c r="AW395">
        <v>11</v>
      </c>
      <c r="AX395" t="s">
        <v>74</v>
      </c>
      <c r="AY395" t="s">
        <v>74</v>
      </c>
      <c r="AZ395" t="s">
        <v>74</v>
      </c>
      <c r="BA395" t="s">
        <v>74</v>
      </c>
      <c r="BB395">
        <v>5014</v>
      </c>
      <c r="BC395">
        <v>5037</v>
      </c>
      <c r="BD395" t="s">
        <v>74</v>
      </c>
      <c r="BE395" t="s">
        <v>8106</v>
      </c>
      <c r="BF395" t="str">
        <f>HYPERLINK("http://dx.doi.org/10.1029/2019GC008459","http://dx.doi.org/10.1029/2019GC008459")</f>
        <v>http://dx.doi.org/10.1029/2019GC008459</v>
      </c>
      <c r="BG395" t="s">
        <v>74</v>
      </c>
      <c r="BH395" t="s">
        <v>6368</v>
      </c>
      <c r="BI395">
        <v>24</v>
      </c>
      <c r="BJ395" t="s">
        <v>1067</v>
      </c>
      <c r="BK395" t="s">
        <v>294</v>
      </c>
      <c r="BL395" t="s">
        <v>1067</v>
      </c>
      <c r="BM395" t="s">
        <v>8107</v>
      </c>
      <c r="BN395" t="s">
        <v>74</v>
      </c>
      <c r="BO395" t="s">
        <v>8108</v>
      </c>
      <c r="BP395" t="s">
        <v>74</v>
      </c>
      <c r="BQ395" t="s">
        <v>74</v>
      </c>
      <c r="BR395" t="s">
        <v>108</v>
      </c>
      <c r="BS395" t="s">
        <v>8109</v>
      </c>
      <c r="BT395" t="str">
        <f>HYPERLINK("https%3A%2F%2Fwww.webofscience.com%2Fwos%2Fwoscc%2Ffull-record%2FWOS:000496484400001","View Full Record in Web of Science")</f>
        <v>View Full Record in Web of Science</v>
      </c>
    </row>
    <row r="396" spans="1:72" x14ac:dyDescent="0.15">
      <c r="A396" t="s">
        <v>133</v>
      </c>
      <c r="B396" t="s">
        <v>8110</v>
      </c>
      <c r="C396" t="s">
        <v>74</v>
      </c>
      <c r="D396" t="s">
        <v>74</v>
      </c>
      <c r="E396" t="s">
        <v>74</v>
      </c>
      <c r="F396" t="s">
        <v>8111</v>
      </c>
      <c r="G396" t="s">
        <v>74</v>
      </c>
      <c r="H396" t="s">
        <v>74</v>
      </c>
      <c r="I396" t="s">
        <v>8112</v>
      </c>
      <c r="J396" t="s">
        <v>1462</v>
      </c>
      <c r="K396" t="s">
        <v>74</v>
      </c>
      <c r="L396" t="s">
        <v>74</v>
      </c>
      <c r="M396" t="s">
        <v>80</v>
      </c>
      <c r="N396" t="s">
        <v>138</v>
      </c>
      <c r="O396" t="s">
        <v>74</v>
      </c>
      <c r="P396" t="s">
        <v>74</v>
      </c>
      <c r="Q396" t="s">
        <v>74</v>
      </c>
      <c r="R396" t="s">
        <v>74</v>
      </c>
      <c r="S396" t="s">
        <v>74</v>
      </c>
      <c r="T396" t="s">
        <v>8113</v>
      </c>
      <c r="U396" t="s">
        <v>8114</v>
      </c>
      <c r="V396" t="s">
        <v>8115</v>
      </c>
      <c r="W396" t="s">
        <v>8116</v>
      </c>
      <c r="X396" t="s">
        <v>8117</v>
      </c>
      <c r="Y396" t="s">
        <v>8118</v>
      </c>
      <c r="Z396" t="s">
        <v>8119</v>
      </c>
      <c r="AA396" t="s">
        <v>8120</v>
      </c>
      <c r="AB396" t="s">
        <v>8121</v>
      </c>
      <c r="AC396" t="s">
        <v>8122</v>
      </c>
      <c r="AD396" t="s">
        <v>8123</v>
      </c>
      <c r="AE396" t="s">
        <v>8124</v>
      </c>
      <c r="AF396" t="s">
        <v>74</v>
      </c>
      <c r="AG396">
        <v>59</v>
      </c>
      <c r="AH396">
        <v>17</v>
      </c>
      <c r="AI396">
        <v>17</v>
      </c>
      <c r="AJ396">
        <v>1</v>
      </c>
      <c r="AK396">
        <v>5</v>
      </c>
      <c r="AL396" t="s">
        <v>1264</v>
      </c>
      <c r="AM396" t="s">
        <v>1265</v>
      </c>
      <c r="AN396" t="s">
        <v>1266</v>
      </c>
      <c r="AO396" t="s">
        <v>1475</v>
      </c>
      <c r="AP396" t="s">
        <v>1476</v>
      </c>
      <c r="AQ396" t="s">
        <v>74</v>
      </c>
      <c r="AR396" t="s">
        <v>1477</v>
      </c>
      <c r="AS396" t="s">
        <v>1478</v>
      </c>
      <c r="AT396" t="s">
        <v>7767</v>
      </c>
      <c r="AU396">
        <v>2019</v>
      </c>
      <c r="AV396">
        <v>46</v>
      </c>
      <c r="AW396">
        <v>21</v>
      </c>
      <c r="AX396" t="s">
        <v>74</v>
      </c>
      <c r="AY396" t="s">
        <v>74</v>
      </c>
      <c r="AZ396" t="s">
        <v>74</v>
      </c>
      <c r="BA396" t="s">
        <v>74</v>
      </c>
      <c r="BB396">
        <v>12125</v>
      </c>
      <c r="BC396">
        <v>12135</v>
      </c>
      <c r="BD396" t="s">
        <v>74</v>
      </c>
      <c r="BE396" t="s">
        <v>8125</v>
      </c>
      <c r="BF396" t="str">
        <f>HYPERLINK("http://dx.doi.org/10.1029/2019GL084329","http://dx.doi.org/10.1029/2019GL084329")</f>
        <v>http://dx.doi.org/10.1029/2019GL084329</v>
      </c>
      <c r="BG396" t="s">
        <v>74</v>
      </c>
      <c r="BH396" t="s">
        <v>6368</v>
      </c>
      <c r="BI396">
        <v>11</v>
      </c>
      <c r="BJ396" t="s">
        <v>849</v>
      </c>
      <c r="BK396" t="s">
        <v>294</v>
      </c>
      <c r="BL396" t="s">
        <v>850</v>
      </c>
      <c r="BM396" t="s">
        <v>7769</v>
      </c>
      <c r="BN396" t="s">
        <v>74</v>
      </c>
      <c r="BO396" t="s">
        <v>74</v>
      </c>
      <c r="BP396" t="s">
        <v>74</v>
      </c>
      <c r="BQ396" t="s">
        <v>74</v>
      </c>
      <c r="BR396" t="s">
        <v>108</v>
      </c>
      <c r="BS396" t="s">
        <v>8126</v>
      </c>
      <c r="BT396" t="str">
        <f>HYPERLINK("https%3A%2F%2Fwww.webofscience.com%2Fwos%2Fwoscc%2Ffull-record%2FWOS:000496467800001","View Full Record in Web of Science")</f>
        <v>View Full Record in Web of Science</v>
      </c>
    </row>
    <row r="397" spans="1:72" x14ac:dyDescent="0.15">
      <c r="A397" t="s">
        <v>133</v>
      </c>
      <c r="B397" t="s">
        <v>8127</v>
      </c>
      <c r="C397" t="s">
        <v>74</v>
      </c>
      <c r="D397" t="s">
        <v>74</v>
      </c>
      <c r="E397" t="s">
        <v>74</v>
      </c>
      <c r="F397" t="s">
        <v>8128</v>
      </c>
      <c r="G397" t="s">
        <v>74</v>
      </c>
      <c r="H397" t="s">
        <v>74</v>
      </c>
      <c r="I397" t="s">
        <v>8129</v>
      </c>
      <c r="J397" t="s">
        <v>8130</v>
      </c>
      <c r="K397" t="s">
        <v>74</v>
      </c>
      <c r="L397" t="s">
        <v>74</v>
      </c>
      <c r="M397" t="s">
        <v>80</v>
      </c>
      <c r="N397" t="s">
        <v>138</v>
      </c>
      <c r="O397" t="s">
        <v>74</v>
      </c>
      <c r="P397" t="s">
        <v>74</v>
      </c>
      <c r="Q397" t="s">
        <v>74</v>
      </c>
      <c r="R397" t="s">
        <v>74</v>
      </c>
      <c r="S397" t="s">
        <v>74</v>
      </c>
      <c r="T397" t="s">
        <v>8131</v>
      </c>
      <c r="U397" t="s">
        <v>74</v>
      </c>
      <c r="V397" t="s">
        <v>8132</v>
      </c>
      <c r="W397" t="s">
        <v>8133</v>
      </c>
      <c r="X397" t="s">
        <v>8134</v>
      </c>
      <c r="Y397" t="s">
        <v>8135</v>
      </c>
      <c r="Z397" t="s">
        <v>8136</v>
      </c>
      <c r="AA397" t="s">
        <v>74</v>
      </c>
      <c r="AB397" t="s">
        <v>8137</v>
      </c>
      <c r="AC397" t="s">
        <v>8138</v>
      </c>
      <c r="AD397" t="s">
        <v>8139</v>
      </c>
      <c r="AE397" t="s">
        <v>8140</v>
      </c>
      <c r="AF397" t="s">
        <v>74</v>
      </c>
      <c r="AG397">
        <v>32</v>
      </c>
      <c r="AH397">
        <v>6</v>
      </c>
      <c r="AI397">
        <v>6</v>
      </c>
      <c r="AJ397">
        <v>3</v>
      </c>
      <c r="AK397">
        <v>3</v>
      </c>
      <c r="AL397" t="s">
        <v>2587</v>
      </c>
      <c r="AM397" t="s">
        <v>2588</v>
      </c>
      <c r="AN397" t="s">
        <v>2589</v>
      </c>
      <c r="AO397" t="s">
        <v>8141</v>
      </c>
      <c r="AP397" t="s">
        <v>74</v>
      </c>
      <c r="AQ397" t="s">
        <v>74</v>
      </c>
      <c r="AR397" t="s">
        <v>8142</v>
      </c>
      <c r="AS397" t="s">
        <v>8143</v>
      </c>
      <c r="AT397" t="s">
        <v>8086</v>
      </c>
      <c r="AU397">
        <v>2019</v>
      </c>
      <c r="AV397">
        <v>7</v>
      </c>
      <c r="AW397" t="s">
        <v>74</v>
      </c>
      <c r="AX397" t="s">
        <v>74</v>
      </c>
      <c r="AY397" t="s">
        <v>74</v>
      </c>
      <c r="AZ397" t="s">
        <v>74</v>
      </c>
      <c r="BA397" t="s">
        <v>74</v>
      </c>
      <c r="BB397" t="s">
        <v>74</v>
      </c>
      <c r="BC397" t="s">
        <v>74</v>
      </c>
      <c r="BD397">
        <v>415</v>
      </c>
      <c r="BE397" t="s">
        <v>8144</v>
      </c>
      <c r="BF397" t="str">
        <f>HYPERLINK("http://dx.doi.org/10.3389/fevo.2019.00415","http://dx.doi.org/10.3389/fevo.2019.00415")</f>
        <v>http://dx.doi.org/10.3389/fevo.2019.00415</v>
      </c>
      <c r="BG397" t="s">
        <v>74</v>
      </c>
      <c r="BH397" t="s">
        <v>74</v>
      </c>
      <c r="BI397">
        <v>13</v>
      </c>
      <c r="BJ397" t="s">
        <v>437</v>
      </c>
      <c r="BK397" t="s">
        <v>294</v>
      </c>
      <c r="BL397" t="s">
        <v>388</v>
      </c>
      <c r="BM397" t="s">
        <v>8145</v>
      </c>
      <c r="BN397" t="s">
        <v>74</v>
      </c>
      <c r="BO397" t="s">
        <v>1791</v>
      </c>
      <c r="BP397" t="s">
        <v>74</v>
      </c>
      <c r="BQ397" t="s">
        <v>74</v>
      </c>
      <c r="BR397" t="s">
        <v>108</v>
      </c>
      <c r="BS397" t="s">
        <v>8146</v>
      </c>
      <c r="BT397" t="str">
        <f>HYPERLINK("https%3A%2F%2Fwww.webofscience.com%2Fwos%2Fwoscc%2Ffull-record%2FWOS:001046095800001","View Full Record in Web of Science")</f>
        <v>View Full Record in Web of Science</v>
      </c>
    </row>
    <row r="398" spans="1:72" x14ac:dyDescent="0.15">
      <c r="A398" t="s">
        <v>133</v>
      </c>
      <c r="B398" t="s">
        <v>8147</v>
      </c>
      <c r="C398" t="s">
        <v>74</v>
      </c>
      <c r="D398" t="s">
        <v>74</v>
      </c>
      <c r="E398" t="s">
        <v>74</v>
      </c>
      <c r="F398" t="s">
        <v>8148</v>
      </c>
      <c r="G398" t="s">
        <v>74</v>
      </c>
      <c r="H398" t="s">
        <v>74</v>
      </c>
      <c r="I398" t="s">
        <v>8149</v>
      </c>
      <c r="J398" t="s">
        <v>4856</v>
      </c>
      <c r="K398" t="s">
        <v>74</v>
      </c>
      <c r="L398" t="s">
        <v>74</v>
      </c>
      <c r="M398" t="s">
        <v>80</v>
      </c>
      <c r="N398" t="s">
        <v>138</v>
      </c>
      <c r="O398" t="s">
        <v>74</v>
      </c>
      <c r="P398" t="s">
        <v>74</v>
      </c>
      <c r="Q398" t="s">
        <v>74</v>
      </c>
      <c r="R398" t="s">
        <v>74</v>
      </c>
      <c r="S398" t="s">
        <v>74</v>
      </c>
      <c r="T398" t="s">
        <v>8150</v>
      </c>
      <c r="U398" t="s">
        <v>8151</v>
      </c>
      <c r="V398" t="s">
        <v>8152</v>
      </c>
      <c r="W398" t="s">
        <v>8153</v>
      </c>
      <c r="X398" t="s">
        <v>8154</v>
      </c>
      <c r="Y398" t="s">
        <v>8155</v>
      </c>
      <c r="Z398" t="s">
        <v>8156</v>
      </c>
      <c r="AA398" t="s">
        <v>8157</v>
      </c>
      <c r="AB398" t="s">
        <v>8158</v>
      </c>
      <c r="AC398" t="s">
        <v>8159</v>
      </c>
      <c r="AD398" t="s">
        <v>8160</v>
      </c>
      <c r="AE398" t="s">
        <v>8161</v>
      </c>
      <c r="AF398" t="s">
        <v>74</v>
      </c>
      <c r="AG398">
        <v>31</v>
      </c>
      <c r="AH398">
        <v>1</v>
      </c>
      <c r="AI398">
        <v>1</v>
      </c>
      <c r="AJ398">
        <v>2</v>
      </c>
      <c r="AK398">
        <v>12</v>
      </c>
      <c r="AL398" t="s">
        <v>3493</v>
      </c>
      <c r="AM398" t="s">
        <v>3494</v>
      </c>
      <c r="AN398" t="s">
        <v>3495</v>
      </c>
      <c r="AO398" t="s">
        <v>4866</v>
      </c>
      <c r="AP398" t="s">
        <v>4867</v>
      </c>
      <c r="AQ398" t="s">
        <v>74</v>
      </c>
      <c r="AR398" t="s">
        <v>4868</v>
      </c>
      <c r="AS398" t="s">
        <v>4869</v>
      </c>
      <c r="AT398" t="s">
        <v>1270</v>
      </c>
      <c r="AU398">
        <v>2019</v>
      </c>
      <c r="AV398">
        <v>49</v>
      </c>
      <c r="AW398">
        <v>6</v>
      </c>
      <c r="AX398" t="s">
        <v>74</v>
      </c>
      <c r="AY398" t="s">
        <v>74</v>
      </c>
      <c r="AZ398" t="s">
        <v>74</v>
      </c>
      <c r="BA398" t="s">
        <v>74</v>
      </c>
      <c r="BB398">
        <v>2937</v>
      </c>
      <c r="BC398">
        <v>2942</v>
      </c>
      <c r="BD398" t="s">
        <v>74</v>
      </c>
      <c r="BE398" t="s">
        <v>8162</v>
      </c>
      <c r="BF398" t="str">
        <f>HYPERLINK("http://dx.doi.org/10.1007/s12526-019-01018-x","http://dx.doi.org/10.1007/s12526-019-01018-x")</f>
        <v>http://dx.doi.org/10.1007/s12526-019-01018-x</v>
      </c>
      <c r="BG398" t="s">
        <v>74</v>
      </c>
      <c r="BH398" t="s">
        <v>6368</v>
      </c>
      <c r="BI398">
        <v>6</v>
      </c>
      <c r="BJ398" t="s">
        <v>4871</v>
      </c>
      <c r="BK398" t="s">
        <v>294</v>
      </c>
      <c r="BL398" t="s">
        <v>4872</v>
      </c>
      <c r="BM398" t="s">
        <v>4873</v>
      </c>
      <c r="BN398" t="s">
        <v>74</v>
      </c>
      <c r="BO398" t="s">
        <v>74</v>
      </c>
      <c r="BP398" t="s">
        <v>74</v>
      </c>
      <c r="BQ398" t="s">
        <v>74</v>
      </c>
      <c r="BR398" t="s">
        <v>108</v>
      </c>
      <c r="BS398" t="s">
        <v>8163</v>
      </c>
      <c r="BT398" t="str">
        <f>HYPERLINK("https%3A%2F%2Fwww.webofscience.com%2Fwos%2Fwoscc%2Ffull-record%2FWOS:000496213200002","View Full Record in Web of Science")</f>
        <v>View Full Record in Web of Science</v>
      </c>
    </row>
    <row r="399" spans="1:72" x14ac:dyDescent="0.15">
      <c r="A399" t="s">
        <v>133</v>
      </c>
      <c r="B399" t="s">
        <v>8164</v>
      </c>
      <c r="C399" t="s">
        <v>74</v>
      </c>
      <c r="D399" t="s">
        <v>74</v>
      </c>
      <c r="E399" t="s">
        <v>74</v>
      </c>
      <c r="F399" t="s">
        <v>8165</v>
      </c>
      <c r="G399" t="s">
        <v>74</v>
      </c>
      <c r="H399" t="s">
        <v>74</v>
      </c>
      <c r="I399" t="s">
        <v>8166</v>
      </c>
      <c r="J399" t="s">
        <v>8167</v>
      </c>
      <c r="K399" t="s">
        <v>74</v>
      </c>
      <c r="L399" t="s">
        <v>74</v>
      </c>
      <c r="M399" t="s">
        <v>80</v>
      </c>
      <c r="N399" t="s">
        <v>138</v>
      </c>
      <c r="O399" t="s">
        <v>74</v>
      </c>
      <c r="P399" t="s">
        <v>74</v>
      </c>
      <c r="Q399" t="s">
        <v>74</v>
      </c>
      <c r="R399" t="s">
        <v>74</v>
      </c>
      <c r="S399" t="s">
        <v>74</v>
      </c>
      <c r="T399" t="s">
        <v>8168</v>
      </c>
      <c r="U399" t="s">
        <v>8169</v>
      </c>
      <c r="V399" t="s">
        <v>8170</v>
      </c>
      <c r="W399" t="s">
        <v>8171</v>
      </c>
      <c r="X399" t="s">
        <v>8172</v>
      </c>
      <c r="Y399" t="s">
        <v>8173</v>
      </c>
      <c r="Z399" t="s">
        <v>8174</v>
      </c>
      <c r="AA399" t="s">
        <v>8175</v>
      </c>
      <c r="AB399" t="s">
        <v>8176</v>
      </c>
      <c r="AC399" t="s">
        <v>8177</v>
      </c>
      <c r="AD399" t="s">
        <v>8178</v>
      </c>
      <c r="AE399" t="s">
        <v>8179</v>
      </c>
      <c r="AF399" t="s">
        <v>74</v>
      </c>
      <c r="AG399">
        <v>105</v>
      </c>
      <c r="AH399">
        <v>0</v>
      </c>
      <c r="AI399">
        <v>0</v>
      </c>
      <c r="AJ399">
        <v>0</v>
      </c>
      <c r="AK399">
        <v>13</v>
      </c>
      <c r="AL399" t="s">
        <v>3493</v>
      </c>
      <c r="AM399" t="s">
        <v>3494</v>
      </c>
      <c r="AN399" t="s">
        <v>3495</v>
      </c>
      <c r="AO399" t="s">
        <v>8180</v>
      </c>
      <c r="AP399" t="s">
        <v>74</v>
      </c>
      <c r="AQ399" t="s">
        <v>74</v>
      </c>
      <c r="AR399" t="s">
        <v>8181</v>
      </c>
      <c r="AS399" t="s">
        <v>8182</v>
      </c>
      <c r="AT399" t="s">
        <v>1270</v>
      </c>
      <c r="AU399">
        <v>2019</v>
      </c>
      <c r="AV399">
        <v>5</v>
      </c>
      <c r="AW399">
        <v>4</v>
      </c>
      <c r="AX399" t="s">
        <v>74</v>
      </c>
      <c r="AY399" t="s">
        <v>74</v>
      </c>
      <c r="AZ399" t="s">
        <v>74</v>
      </c>
      <c r="BA399" t="s">
        <v>74</v>
      </c>
      <c r="BB399">
        <v>334</v>
      </c>
      <c r="BC399">
        <v>344</v>
      </c>
      <c r="BD399" t="s">
        <v>74</v>
      </c>
      <c r="BE399" t="s">
        <v>8183</v>
      </c>
      <c r="BF399" t="str">
        <f>HYPERLINK("http://dx.doi.org/10.1007/s40641-019-00151-w","http://dx.doi.org/10.1007/s40641-019-00151-w")</f>
        <v>http://dx.doi.org/10.1007/s40641-019-00151-w</v>
      </c>
      <c r="BG399" t="s">
        <v>74</v>
      </c>
      <c r="BH399" t="s">
        <v>6368</v>
      </c>
      <c r="BI399">
        <v>11</v>
      </c>
      <c r="BJ399" t="s">
        <v>1024</v>
      </c>
      <c r="BK399" t="s">
        <v>294</v>
      </c>
      <c r="BL399" t="s">
        <v>1024</v>
      </c>
      <c r="BM399" t="s">
        <v>8184</v>
      </c>
      <c r="BN399" t="s">
        <v>74</v>
      </c>
      <c r="BO399" t="s">
        <v>666</v>
      </c>
      <c r="BP399" t="s">
        <v>74</v>
      </c>
      <c r="BQ399" t="s">
        <v>74</v>
      </c>
      <c r="BR399" t="s">
        <v>108</v>
      </c>
      <c r="BS399" t="s">
        <v>8185</v>
      </c>
      <c r="BT399" t="str">
        <f>HYPERLINK("https%3A%2F%2Fwww.webofscience.com%2Fwos%2Fwoscc%2Ffull-record%2FWOS:000496230800001","View Full Record in Web of Science")</f>
        <v>View Full Record in Web of Science</v>
      </c>
    </row>
    <row r="400" spans="1:72" x14ac:dyDescent="0.15">
      <c r="A400" t="s">
        <v>133</v>
      </c>
      <c r="B400" t="s">
        <v>8186</v>
      </c>
      <c r="C400" t="s">
        <v>74</v>
      </c>
      <c r="D400" t="s">
        <v>74</v>
      </c>
      <c r="E400" t="s">
        <v>74</v>
      </c>
      <c r="F400" t="s">
        <v>8187</v>
      </c>
      <c r="G400" t="s">
        <v>74</v>
      </c>
      <c r="H400" t="s">
        <v>74</v>
      </c>
      <c r="I400" t="s">
        <v>8188</v>
      </c>
      <c r="J400" t="s">
        <v>1462</v>
      </c>
      <c r="K400" t="s">
        <v>74</v>
      </c>
      <c r="L400" t="s">
        <v>74</v>
      </c>
      <c r="M400" t="s">
        <v>80</v>
      </c>
      <c r="N400" t="s">
        <v>138</v>
      </c>
      <c r="O400" t="s">
        <v>74</v>
      </c>
      <c r="P400" t="s">
        <v>74</v>
      </c>
      <c r="Q400" t="s">
        <v>74</v>
      </c>
      <c r="R400" t="s">
        <v>74</v>
      </c>
      <c r="S400" t="s">
        <v>74</v>
      </c>
      <c r="T400" t="s">
        <v>8189</v>
      </c>
      <c r="U400" t="s">
        <v>8190</v>
      </c>
      <c r="V400" t="s">
        <v>8191</v>
      </c>
      <c r="W400" t="s">
        <v>8192</v>
      </c>
      <c r="X400" t="s">
        <v>8193</v>
      </c>
      <c r="Y400" t="s">
        <v>8194</v>
      </c>
      <c r="Z400" t="s">
        <v>8195</v>
      </c>
      <c r="AA400" t="s">
        <v>8196</v>
      </c>
      <c r="AB400" t="s">
        <v>8197</v>
      </c>
      <c r="AC400" t="s">
        <v>8198</v>
      </c>
      <c r="AD400" t="s">
        <v>8199</v>
      </c>
      <c r="AE400" t="s">
        <v>8200</v>
      </c>
      <c r="AF400" t="s">
        <v>74</v>
      </c>
      <c r="AG400">
        <v>41</v>
      </c>
      <c r="AH400">
        <v>4</v>
      </c>
      <c r="AI400">
        <v>4</v>
      </c>
      <c r="AJ400">
        <v>0</v>
      </c>
      <c r="AK400">
        <v>6</v>
      </c>
      <c r="AL400" t="s">
        <v>1264</v>
      </c>
      <c r="AM400" t="s">
        <v>1265</v>
      </c>
      <c r="AN400" t="s">
        <v>1266</v>
      </c>
      <c r="AO400" t="s">
        <v>1475</v>
      </c>
      <c r="AP400" t="s">
        <v>1476</v>
      </c>
      <c r="AQ400" t="s">
        <v>74</v>
      </c>
      <c r="AR400" t="s">
        <v>1477</v>
      </c>
      <c r="AS400" t="s">
        <v>1478</v>
      </c>
      <c r="AT400" t="s">
        <v>7767</v>
      </c>
      <c r="AU400">
        <v>2019</v>
      </c>
      <c r="AV400">
        <v>46</v>
      </c>
      <c r="AW400">
        <v>21</v>
      </c>
      <c r="AX400" t="s">
        <v>74</v>
      </c>
      <c r="AY400" t="s">
        <v>74</v>
      </c>
      <c r="AZ400" t="s">
        <v>74</v>
      </c>
      <c r="BA400" t="s">
        <v>74</v>
      </c>
      <c r="BB400">
        <v>12117</v>
      </c>
      <c r="BC400">
        <v>12124</v>
      </c>
      <c r="BD400" t="s">
        <v>74</v>
      </c>
      <c r="BE400" t="s">
        <v>8201</v>
      </c>
      <c r="BF400" t="str">
        <f>HYPERLINK("http://dx.doi.org/10.1029/2019GL084624","http://dx.doi.org/10.1029/2019GL084624")</f>
        <v>http://dx.doi.org/10.1029/2019GL084624</v>
      </c>
      <c r="BG400" t="s">
        <v>74</v>
      </c>
      <c r="BH400" t="s">
        <v>6368</v>
      </c>
      <c r="BI400">
        <v>8</v>
      </c>
      <c r="BJ400" t="s">
        <v>849</v>
      </c>
      <c r="BK400" t="s">
        <v>294</v>
      </c>
      <c r="BL400" t="s">
        <v>850</v>
      </c>
      <c r="BM400" t="s">
        <v>7769</v>
      </c>
      <c r="BN400" t="s">
        <v>74</v>
      </c>
      <c r="BO400" t="s">
        <v>2403</v>
      </c>
      <c r="BP400" t="s">
        <v>74</v>
      </c>
      <c r="BQ400" t="s">
        <v>74</v>
      </c>
      <c r="BR400" t="s">
        <v>108</v>
      </c>
      <c r="BS400" t="s">
        <v>8202</v>
      </c>
      <c r="BT400" t="str">
        <f>HYPERLINK("https%3A%2F%2Fwww.webofscience.com%2Fwos%2Fwoscc%2Ffull-record%2FWOS:000496009200001","View Full Record in Web of Science")</f>
        <v>View Full Record in Web of Science</v>
      </c>
    </row>
    <row r="401" spans="1:72" x14ac:dyDescent="0.15">
      <c r="A401" t="s">
        <v>133</v>
      </c>
      <c r="B401" t="s">
        <v>8203</v>
      </c>
      <c r="C401" t="s">
        <v>74</v>
      </c>
      <c r="D401" t="s">
        <v>74</v>
      </c>
      <c r="E401" t="s">
        <v>74</v>
      </c>
      <c r="F401" t="s">
        <v>8204</v>
      </c>
      <c r="G401" t="s">
        <v>74</v>
      </c>
      <c r="H401" t="s">
        <v>74</v>
      </c>
      <c r="I401" t="s">
        <v>8205</v>
      </c>
      <c r="J401" t="s">
        <v>8206</v>
      </c>
      <c r="K401" t="s">
        <v>74</v>
      </c>
      <c r="L401" t="s">
        <v>74</v>
      </c>
      <c r="M401" t="s">
        <v>80</v>
      </c>
      <c r="N401" t="s">
        <v>138</v>
      </c>
      <c r="O401" t="s">
        <v>74</v>
      </c>
      <c r="P401" t="s">
        <v>74</v>
      </c>
      <c r="Q401" t="s">
        <v>74</v>
      </c>
      <c r="R401" t="s">
        <v>74</v>
      </c>
      <c r="S401" t="s">
        <v>74</v>
      </c>
      <c r="T401" t="s">
        <v>8207</v>
      </c>
      <c r="U401" t="s">
        <v>8208</v>
      </c>
      <c r="V401" t="s">
        <v>8209</v>
      </c>
      <c r="W401" t="s">
        <v>8210</v>
      </c>
      <c r="X401" t="s">
        <v>8211</v>
      </c>
      <c r="Y401" t="s">
        <v>8212</v>
      </c>
      <c r="Z401" t="s">
        <v>8213</v>
      </c>
      <c r="AA401" t="s">
        <v>74</v>
      </c>
      <c r="AB401" t="s">
        <v>8214</v>
      </c>
      <c r="AC401" t="s">
        <v>8215</v>
      </c>
      <c r="AD401" t="s">
        <v>8216</v>
      </c>
      <c r="AE401" t="s">
        <v>8217</v>
      </c>
      <c r="AF401" t="s">
        <v>74</v>
      </c>
      <c r="AG401">
        <v>96</v>
      </c>
      <c r="AH401">
        <v>5</v>
      </c>
      <c r="AI401">
        <v>5</v>
      </c>
      <c r="AJ401">
        <v>3</v>
      </c>
      <c r="AK401">
        <v>18</v>
      </c>
      <c r="AL401" t="s">
        <v>2587</v>
      </c>
      <c r="AM401" t="s">
        <v>2588</v>
      </c>
      <c r="AN401" t="s">
        <v>2589</v>
      </c>
      <c r="AO401" t="s">
        <v>8218</v>
      </c>
      <c r="AP401" t="s">
        <v>74</v>
      </c>
      <c r="AQ401" t="s">
        <v>74</v>
      </c>
      <c r="AR401" t="s">
        <v>8219</v>
      </c>
      <c r="AS401" t="s">
        <v>8220</v>
      </c>
      <c r="AT401" t="s">
        <v>8221</v>
      </c>
      <c r="AU401">
        <v>2019</v>
      </c>
      <c r="AV401">
        <v>10</v>
      </c>
      <c r="AW401" t="s">
        <v>74</v>
      </c>
      <c r="AX401" t="s">
        <v>74</v>
      </c>
      <c r="AY401" t="s">
        <v>74</v>
      </c>
      <c r="AZ401" t="s">
        <v>74</v>
      </c>
      <c r="BA401" t="s">
        <v>74</v>
      </c>
      <c r="BB401" t="s">
        <v>74</v>
      </c>
      <c r="BC401" t="s">
        <v>74</v>
      </c>
      <c r="BD401">
        <v>1389</v>
      </c>
      <c r="BE401" t="s">
        <v>8222</v>
      </c>
      <c r="BF401" t="str">
        <f>HYPERLINK("http://dx.doi.org/10.3389/fphys.2019.01389","http://dx.doi.org/10.3389/fphys.2019.01389")</f>
        <v>http://dx.doi.org/10.3389/fphys.2019.01389</v>
      </c>
      <c r="BG401" t="s">
        <v>74</v>
      </c>
      <c r="BH401" t="s">
        <v>74</v>
      </c>
      <c r="BI401">
        <v>13</v>
      </c>
      <c r="BJ401" t="s">
        <v>8223</v>
      </c>
      <c r="BK401" t="s">
        <v>294</v>
      </c>
      <c r="BL401" t="s">
        <v>8223</v>
      </c>
      <c r="BM401" t="s">
        <v>8224</v>
      </c>
      <c r="BN401">
        <v>31780954</v>
      </c>
      <c r="BO401" t="s">
        <v>2865</v>
      </c>
      <c r="BP401" t="s">
        <v>74</v>
      </c>
      <c r="BQ401" t="s">
        <v>74</v>
      </c>
      <c r="BR401" t="s">
        <v>108</v>
      </c>
      <c r="BS401" t="s">
        <v>8225</v>
      </c>
      <c r="BT401" t="str">
        <f>HYPERLINK("https%3A%2F%2Fwww.webofscience.com%2Fwos%2Fwoscc%2Ffull-record%2FWOS:000499175700001","View Full Record in Web of Science")</f>
        <v>View Full Record in Web of Science</v>
      </c>
    </row>
    <row r="402" spans="1:72" x14ac:dyDescent="0.15">
      <c r="A402" t="s">
        <v>133</v>
      </c>
      <c r="B402" t="s">
        <v>8226</v>
      </c>
      <c r="C402" t="s">
        <v>74</v>
      </c>
      <c r="D402" t="s">
        <v>74</v>
      </c>
      <c r="E402" t="s">
        <v>74</v>
      </c>
      <c r="F402" t="s">
        <v>8227</v>
      </c>
      <c r="G402" t="s">
        <v>74</v>
      </c>
      <c r="H402" t="s">
        <v>74</v>
      </c>
      <c r="I402" t="s">
        <v>8228</v>
      </c>
      <c r="J402" t="s">
        <v>5213</v>
      </c>
      <c r="K402" t="s">
        <v>74</v>
      </c>
      <c r="L402" t="s">
        <v>74</v>
      </c>
      <c r="M402" t="s">
        <v>80</v>
      </c>
      <c r="N402" t="s">
        <v>138</v>
      </c>
      <c r="O402" t="s">
        <v>74</v>
      </c>
      <c r="P402" t="s">
        <v>74</v>
      </c>
      <c r="Q402" t="s">
        <v>74</v>
      </c>
      <c r="R402" t="s">
        <v>74</v>
      </c>
      <c r="S402" t="s">
        <v>74</v>
      </c>
      <c r="T402" t="s">
        <v>8229</v>
      </c>
      <c r="U402" t="s">
        <v>8230</v>
      </c>
      <c r="V402" t="s">
        <v>8231</v>
      </c>
      <c r="W402" t="s">
        <v>8232</v>
      </c>
      <c r="X402" t="s">
        <v>8233</v>
      </c>
      <c r="Y402" t="s">
        <v>8234</v>
      </c>
      <c r="Z402" t="s">
        <v>8235</v>
      </c>
      <c r="AA402" t="s">
        <v>8236</v>
      </c>
      <c r="AB402" t="s">
        <v>8237</v>
      </c>
      <c r="AC402" t="s">
        <v>8238</v>
      </c>
      <c r="AD402" t="s">
        <v>8239</v>
      </c>
      <c r="AE402" t="s">
        <v>8240</v>
      </c>
      <c r="AF402" t="s">
        <v>74</v>
      </c>
      <c r="AG402">
        <v>62</v>
      </c>
      <c r="AH402">
        <v>28</v>
      </c>
      <c r="AI402">
        <v>29</v>
      </c>
      <c r="AJ402">
        <v>3</v>
      </c>
      <c r="AK402">
        <v>26</v>
      </c>
      <c r="AL402" t="s">
        <v>1964</v>
      </c>
      <c r="AM402" t="s">
        <v>4096</v>
      </c>
      <c r="AN402" t="s">
        <v>4097</v>
      </c>
      <c r="AO402" t="s">
        <v>5226</v>
      </c>
      <c r="AP402" t="s">
        <v>5227</v>
      </c>
      <c r="AQ402" t="s">
        <v>74</v>
      </c>
      <c r="AR402" t="s">
        <v>5213</v>
      </c>
      <c r="AS402" t="s">
        <v>5228</v>
      </c>
      <c r="AT402" t="s">
        <v>1324</v>
      </c>
      <c r="AU402">
        <v>2020</v>
      </c>
      <c r="AV402">
        <v>49</v>
      </c>
      <c r="AW402">
        <v>6</v>
      </c>
      <c r="AX402" t="s">
        <v>74</v>
      </c>
      <c r="AY402" t="s">
        <v>74</v>
      </c>
      <c r="AZ402" t="s">
        <v>74</v>
      </c>
      <c r="BA402" t="s">
        <v>74</v>
      </c>
      <c r="BB402">
        <v>1161</v>
      </c>
      <c r="BC402">
        <v>1178</v>
      </c>
      <c r="BD402" t="s">
        <v>74</v>
      </c>
      <c r="BE402" t="s">
        <v>8241</v>
      </c>
      <c r="BF402" t="str">
        <f>HYPERLINK("http://dx.doi.org/10.1007/s13280-019-01277-9","http://dx.doi.org/10.1007/s13280-019-01277-9")</f>
        <v>http://dx.doi.org/10.1007/s13280-019-01277-9</v>
      </c>
      <c r="BG402" t="s">
        <v>74</v>
      </c>
      <c r="BH402" t="s">
        <v>6368</v>
      </c>
      <c r="BI402">
        <v>18</v>
      </c>
      <c r="BJ402" t="s">
        <v>5230</v>
      </c>
      <c r="BK402" t="s">
        <v>294</v>
      </c>
      <c r="BL402" t="s">
        <v>5231</v>
      </c>
      <c r="BM402" t="s">
        <v>8242</v>
      </c>
      <c r="BN402">
        <v>31721066</v>
      </c>
      <c r="BO402" t="s">
        <v>8243</v>
      </c>
      <c r="BP402" t="s">
        <v>74</v>
      </c>
      <c r="BQ402" t="s">
        <v>74</v>
      </c>
      <c r="BR402" t="s">
        <v>108</v>
      </c>
      <c r="BS402" t="s">
        <v>8244</v>
      </c>
      <c r="BT402" t="str">
        <f>HYPERLINK("https%3A%2F%2Fwww.webofscience.com%2Fwos%2Fwoscc%2Ffull-record%2FWOS:000495955900002","View Full Record in Web of Science")</f>
        <v>View Full Record in Web of Science</v>
      </c>
    </row>
    <row r="403" spans="1:72" x14ac:dyDescent="0.15">
      <c r="A403" t="s">
        <v>133</v>
      </c>
      <c r="B403" t="s">
        <v>8245</v>
      </c>
      <c r="C403" t="s">
        <v>74</v>
      </c>
      <c r="D403" t="s">
        <v>74</v>
      </c>
      <c r="E403" t="s">
        <v>74</v>
      </c>
      <c r="F403" t="s">
        <v>8246</v>
      </c>
      <c r="G403" t="s">
        <v>74</v>
      </c>
      <c r="H403" t="s">
        <v>74</v>
      </c>
      <c r="I403" t="s">
        <v>8247</v>
      </c>
      <c r="J403" t="s">
        <v>8248</v>
      </c>
      <c r="K403" t="s">
        <v>74</v>
      </c>
      <c r="L403" t="s">
        <v>74</v>
      </c>
      <c r="M403" t="s">
        <v>80</v>
      </c>
      <c r="N403" t="s">
        <v>8249</v>
      </c>
      <c r="O403" t="s">
        <v>74</v>
      </c>
      <c r="P403" t="s">
        <v>74</v>
      </c>
      <c r="Q403" t="s">
        <v>74</v>
      </c>
      <c r="R403" t="s">
        <v>74</v>
      </c>
      <c r="S403" t="s">
        <v>74</v>
      </c>
      <c r="T403" t="s">
        <v>8250</v>
      </c>
      <c r="U403" t="s">
        <v>8251</v>
      </c>
      <c r="V403" t="s">
        <v>8252</v>
      </c>
      <c r="W403" t="s">
        <v>8253</v>
      </c>
      <c r="X403" t="s">
        <v>8254</v>
      </c>
      <c r="Y403" t="s">
        <v>8255</v>
      </c>
      <c r="Z403" t="s">
        <v>8256</v>
      </c>
      <c r="AA403" t="s">
        <v>8257</v>
      </c>
      <c r="AB403" t="s">
        <v>8258</v>
      </c>
      <c r="AC403" t="s">
        <v>8259</v>
      </c>
      <c r="AD403" t="s">
        <v>8260</v>
      </c>
      <c r="AE403" t="s">
        <v>8261</v>
      </c>
      <c r="AF403" t="s">
        <v>74</v>
      </c>
      <c r="AG403">
        <v>42</v>
      </c>
      <c r="AH403">
        <v>3</v>
      </c>
      <c r="AI403">
        <v>3</v>
      </c>
      <c r="AJ403">
        <v>0</v>
      </c>
      <c r="AK403">
        <v>9</v>
      </c>
      <c r="AL403" t="s">
        <v>429</v>
      </c>
      <c r="AM403" t="s">
        <v>430</v>
      </c>
      <c r="AN403" t="s">
        <v>431</v>
      </c>
      <c r="AO403" t="s">
        <v>8262</v>
      </c>
      <c r="AP403" t="s">
        <v>8263</v>
      </c>
      <c r="AQ403" t="s">
        <v>74</v>
      </c>
      <c r="AR403" t="s">
        <v>8264</v>
      </c>
      <c r="AS403" t="s">
        <v>8265</v>
      </c>
      <c r="AT403" t="s">
        <v>8266</v>
      </c>
      <c r="AU403">
        <v>2019</v>
      </c>
      <c r="AV403" t="s">
        <v>74</v>
      </c>
      <c r="AW403" t="s">
        <v>74</v>
      </c>
      <c r="AX403" t="s">
        <v>74</v>
      </c>
      <c r="AY403" t="s">
        <v>74</v>
      </c>
      <c r="AZ403" t="s">
        <v>74</v>
      </c>
      <c r="BA403" t="s">
        <v>74</v>
      </c>
      <c r="BB403" t="s">
        <v>74</v>
      </c>
      <c r="BC403" t="s">
        <v>74</v>
      </c>
      <c r="BD403" t="s">
        <v>74</v>
      </c>
      <c r="BE403" t="s">
        <v>8267</v>
      </c>
      <c r="BF403" t="str">
        <f>HYPERLINK("http://dx.doi.org/10.1111/jofo.12313","http://dx.doi.org/10.1111/jofo.12313")</f>
        <v>http://dx.doi.org/10.1111/jofo.12313</v>
      </c>
      <c r="BG403" t="s">
        <v>74</v>
      </c>
      <c r="BH403" t="s">
        <v>6368</v>
      </c>
      <c r="BI403">
        <v>12</v>
      </c>
      <c r="BJ403" t="s">
        <v>3568</v>
      </c>
      <c r="BK403" t="s">
        <v>294</v>
      </c>
      <c r="BL403" t="s">
        <v>1219</v>
      </c>
      <c r="BM403" t="s">
        <v>8268</v>
      </c>
      <c r="BN403" t="s">
        <v>74</v>
      </c>
      <c r="BO403" t="s">
        <v>74</v>
      </c>
      <c r="BP403" t="s">
        <v>74</v>
      </c>
      <c r="BQ403" t="s">
        <v>74</v>
      </c>
      <c r="BR403" t="s">
        <v>108</v>
      </c>
      <c r="BS403" t="s">
        <v>8269</v>
      </c>
      <c r="BT403" t="str">
        <f>HYPERLINK("https%3A%2F%2Fwww.webofscience.com%2Fwos%2Fwoscc%2Ffull-record%2FWOS:000495754200001","View Full Record in Web of Science")</f>
        <v>View Full Record in Web of Science</v>
      </c>
    </row>
    <row r="404" spans="1:72" x14ac:dyDescent="0.15">
      <c r="A404" t="s">
        <v>133</v>
      </c>
      <c r="B404" t="s">
        <v>8270</v>
      </c>
      <c r="C404" t="s">
        <v>74</v>
      </c>
      <c r="D404" t="s">
        <v>74</v>
      </c>
      <c r="E404" t="s">
        <v>74</v>
      </c>
      <c r="F404" t="s">
        <v>8271</v>
      </c>
      <c r="G404" t="s">
        <v>74</v>
      </c>
      <c r="H404" t="s">
        <v>74</v>
      </c>
      <c r="I404" t="s">
        <v>8272</v>
      </c>
      <c r="J404" t="s">
        <v>3507</v>
      </c>
      <c r="K404" t="s">
        <v>74</v>
      </c>
      <c r="L404" t="s">
        <v>74</v>
      </c>
      <c r="M404" t="s">
        <v>80</v>
      </c>
      <c r="N404" t="s">
        <v>138</v>
      </c>
      <c r="O404" t="s">
        <v>74</v>
      </c>
      <c r="P404" t="s">
        <v>74</v>
      </c>
      <c r="Q404" t="s">
        <v>74</v>
      </c>
      <c r="R404" t="s">
        <v>74</v>
      </c>
      <c r="S404" t="s">
        <v>74</v>
      </c>
      <c r="T404" t="s">
        <v>8273</v>
      </c>
      <c r="U404" t="s">
        <v>8274</v>
      </c>
      <c r="V404" t="s">
        <v>8275</v>
      </c>
      <c r="W404" t="s">
        <v>8276</v>
      </c>
      <c r="X404" t="s">
        <v>8277</v>
      </c>
      <c r="Y404" t="s">
        <v>8278</v>
      </c>
      <c r="Z404" t="s">
        <v>8279</v>
      </c>
      <c r="AA404" t="s">
        <v>8280</v>
      </c>
      <c r="AB404" t="s">
        <v>8281</v>
      </c>
      <c r="AC404" t="s">
        <v>8282</v>
      </c>
      <c r="AD404" t="s">
        <v>8283</v>
      </c>
      <c r="AE404" t="s">
        <v>8284</v>
      </c>
      <c r="AF404" t="s">
        <v>74</v>
      </c>
      <c r="AG404">
        <v>40</v>
      </c>
      <c r="AH404">
        <v>9</v>
      </c>
      <c r="AI404">
        <v>11</v>
      </c>
      <c r="AJ404">
        <v>0</v>
      </c>
      <c r="AK404">
        <v>26</v>
      </c>
      <c r="AL404" t="s">
        <v>1964</v>
      </c>
      <c r="AM404" t="s">
        <v>1965</v>
      </c>
      <c r="AN404" t="s">
        <v>1966</v>
      </c>
      <c r="AO404" t="s">
        <v>3519</v>
      </c>
      <c r="AP404" t="s">
        <v>3520</v>
      </c>
      <c r="AQ404" t="s">
        <v>74</v>
      </c>
      <c r="AR404" t="s">
        <v>3521</v>
      </c>
      <c r="AS404" t="s">
        <v>3522</v>
      </c>
      <c r="AT404" t="s">
        <v>1270</v>
      </c>
      <c r="AU404">
        <v>2019</v>
      </c>
      <c r="AV404">
        <v>42</v>
      </c>
      <c r="AW404">
        <v>12</v>
      </c>
      <c r="AX404" t="s">
        <v>74</v>
      </c>
      <c r="AY404" t="s">
        <v>74</v>
      </c>
      <c r="AZ404" t="s">
        <v>74</v>
      </c>
      <c r="BA404" t="s">
        <v>74</v>
      </c>
      <c r="BB404">
        <v>2299</v>
      </c>
      <c r="BC404">
        <v>2304</v>
      </c>
      <c r="BD404" t="s">
        <v>74</v>
      </c>
      <c r="BE404" t="s">
        <v>8285</v>
      </c>
      <c r="BF404" t="str">
        <f>HYPERLINK("http://dx.doi.org/10.1007/s00300-019-02598-x","http://dx.doi.org/10.1007/s00300-019-02598-x")</f>
        <v>http://dx.doi.org/10.1007/s00300-019-02598-x</v>
      </c>
      <c r="BG404" t="s">
        <v>74</v>
      </c>
      <c r="BH404" t="s">
        <v>6368</v>
      </c>
      <c r="BI404">
        <v>6</v>
      </c>
      <c r="BJ404" t="s">
        <v>3524</v>
      </c>
      <c r="BK404" t="s">
        <v>294</v>
      </c>
      <c r="BL404" t="s">
        <v>295</v>
      </c>
      <c r="BM404" t="s">
        <v>5497</v>
      </c>
      <c r="BN404" t="s">
        <v>74</v>
      </c>
      <c r="BO404" t="s">
        <v>74</v>
      </c>
      <c r="BP404" t="s">
        <v>74</v>
      </c>
      <c r="BQ404" t="s">
        <v>74</v>
      </c>
      <c r="BR404" t="s">
        <v>108</v>
      </c>
      <c r="BS404" t="s">
        <v>8286</v>
      </c>
      <c r="BT404" t="str">
        <f>HYPERLINK("https%3A%2F%2Fwww.webofscience.com%2Fwos%2Fwoscc%2Ffull-record%2FWOS:000495734900001","View Full Record in Web of Science")</f>
        <v>View Full Record in Web of Science</v>
      </c>
    </row>
    <row r="405" spans="1:72" x14ac:dyDescent="0.15">
      <c r="A405" t="s">
        <v>133</v>
      </c>
      <c r="B405" t="s">
        <v>8287</v>
      </c>
      <c r="C405" t="s">
        <v>74</v>
      </c>
      <c r="D405" t="s">
        <v>74</v>
      </c>
      <c r="E405" t="s">
        <v>74</v>
      </c>
      <c r="F405" t="s">
        <v>8288</v>
      </c>
      <c r="G405" t="s">
        <v>74</v>
      </c>
      <c r="H405" t="s">
        <v>74</v>
      </c>
      <c r="I405" t="s">
        <v>8289</v>
      </c>
      <c r="J405" t="s">
        <v>2623</v>
      </c>
      <c r="K405" t="s">
        <v>74</v>
      </c>
      <c r="L405" t="s">
        <v>74</v>
      </c>
      <c r="M405" t="s">
        <v>80</v>
      </c>
      <c r="N405" t="s">
        <v>138</v>
      </c>
      <c r="O405" t="s">
        <v>74</v>
      </c>
      <c r="P405" t="s">
        <v>74</v>
      </c>
      <c r="Q405" t="s">
        <v>74</v>
      </c>
      <c r="R405" t="s">
        <v>74</v>
      </c>
      <c r="S405" t="s">
        <v>74</v>
      </c>
      <c r="T405" t="s">
        <v>74</v>
      </c>
      <c r="U405" t="s">
        <v>8290</v>
      </c>
      <c r="V405" t="s">
        <v>8291</v>
      </c>
      <c r="W405" t="s">
        <v>8292</v>
      </c>
      <c r="X405" t="s">
        <v>8293</v>
      </c>
      <c r="Y405" t="s">
        <v>8294</v>
      </c>
      <c r="Z405" t="s">
        <v>8295</v>
      </c>
      <c r="AA405" t="s">
        <v>74</v>
      </c>
      <c r="AB405" t="s">
        <v>8296</v>
      </c>
      <c r="AC405" t="s">
        <v>8297</v>
      </c>
      <c r="AD405" t="s">
        <v>8298</v>
      </c>
      <c r="AE405" t="s">
        <v>8299</v>
      </c>
      <c r="AF405" t="s">
        <v>74</v>
      </c>
      <c r="AG405">
        <v>66</v>
      </c>
      <c r="AH405">
        <v>27</v>
      </c>
      <c r="AI405">
        <v>29</v>
      </c>
      <c r="AJ405">
        <v>1</v>
      </c>
      <c r="AK405">
        <v>26</v>
      </c>
      <c r="AL405" t="s">
        <v>2038</v>
      </c>
      <c r="AM405" t="s">
        <v>1730</v>
      </c>
      <c r="AN405" t="s">
        <v>2039</v>
      </c>
      <c r="AO405" t="s">
        <v>2636</v>
      </c>
      <c r="AP405" t="s">
        <v>74</v>
      </c>
      <c r="AQ405" t="s">
        <v>74</v>
      </c>
      <c r="AR405" t="s">
        <v>2637</v>
      </c>
      <c r="AS405" t="s">
        <v>2638</v>
      </c>
      <c r="AT405" t="s">
        <v>8300</v>
      </c>
      <c r="AU405">
        <v>2019</v>
      </c>
      <c r="AV405">
        <v>9</v>
      </c>
      <c r="AW405" t="s">
        <v>74</v>
      </c>
      <c r="AX405" t="s">
        <v>74</v>
      </c>
      <c r="AY405" t="s">
        <v>74</v>
      </c>
      <c r="AZ405" t="s">
        <v>74</v>
      </c>
      <c r="BA405" t="s">
        <v>74</v>
      </c>
      <c r="BB405" t="s">
        <v>74</v>
      </c>
      <c r="BC405" t="s">
        <v>74</v>
      </c>
      <c r="BD405">
        <v>16487</v>
      </c>
      <c r="BE405" t="s">
        <v>8301</v>
      </c>
      <c r="BF405" t="str">
        <f>HYPERLINK("http://dx.doi.org/10.1038/s41598-019-52792-4","http://dx.doi.org/10.1038/s41598-019-52792-4")</f>
        <v>http://dx.doi.org/10.1038/s41598-019-52792-4</v>
      </c>
      <c r="BG405" t="s">
        <v>74</v>
      </c>
      <c r="BH405" t="s">
        <v>74</v>
      </c>
      <c r="BI405">
        <v>13</v>
      </c>
      <c r="BJ405" t="s">
        <v>1245</v>
      </c>
      <c r="BK405" t="s">
        <v>294</v>
      </c>
      <c r="BL405" t="s">
        <v>1246</v>
      </c>
      <c r="BM405" t="s">
        <v>8302</v>
      </c>
      <c r="BN405">
        <v>31712639</v>
      </c>
      <c r="BO405" t="s">
        <v>693</v>
      </c>
      <c r="BP405" t="s">
        <v>74</v>
      </c>
      <c r="BQ405" t="s">
        <v>74</v>
      </c>
      <c r="BR405" t="s">
        <v>108</v>
      </c>
      <c r="BS405" t="s">
        <v>8303</v>
      </c>
      <c r="BT405" t="str">
        <f>HYPERLINK("https%3A%2F%2Fwww.webofscience.com%2Fwos%2Fwoscc%2Ffull-record%2FWOS:000495611100079","View Full Record in Web of Science")</f>
        <v>View Full Record in Web of Science</v>
      </c>
    </row>
    <row r="406" spans="1:72" x14ac:dyDescent="0.15">
      <c r="A406" t="s">
        <v>133</v>
      </c>
      <c r="B406" t="s">
        <v>8304</v>
      </c>
      <c r="C406" t="s">
        <v>74</v>
      </c>
      <c r="D406" t="s">
        <v>74</v>
      </c>
      <c r="E406" t="s">
        <v>74</v>
      </c>
      <c r="F406" t="s">
        <v>8305</v>
      </c>
      <c r="G406" t="s">
        <v>74</v>
      </c>
      <c r="H406" t="s">
        <v>74</v>
      </c>
      <c r="I406" t="s">
        <v>8306</v>
      </c>
      <c r="J406" t="s">
        <v>8307</v>
      </c>
      <c r="K406" t="s">
        <v>74</v>
      </c>
      <c r="L406" t="s">
        <v>74</v>
      </c>
      <c r="M406" t="s">
        <v>80</v>
      </c>
      <c r="N406" t="s">
        <v>138</v>
      </c>
      <c r="O406" t="s">
        <v>74</v>
      </c>
      <c r="P406" t="s">
        <v>74</v>
      </c>
      <c r="Q406" t="s">
        <v>74</v>
      </c>
      <c r="R406" t="s">
        <v>74</v>
      </c>
      <c r="S406" t="s">
        <v>74</v>
      </c>
      <c r="T406" t="s">
        <v>8308</v>
      </c>
      <c r="U406" t="s">
        <v>8309</v>
      </c>
      <c r="V406" t="s">
        <v>8310</v>
      </c>
      <c r="W406" t="s">
        <v>8311</v>
      </c>
      <c r="X406" t="s">
        <v>8312</v>
      </c>
      <c r="Y406" t="s">
        <v>8313</v>
      </c>
      <c r="Z406" t="s">
        <v>8314</v>
      </c>
      <c r="AA406" t="s">
        <v>8315</v>
      </c>
      <c r="AB406" t="s">
        <v>8316</v>
      </c>
      <c r="AC406" t="s">
        <v>8317</v>
      </c>
      <c r="AD406" t="s">
        <v>8318</v>
      </c>
      <c r="AE406" t="s">
        <v>8319</v>
      </c>
      <c r="AF406" t="s">
        <v>74</v>
      </c>
      <c r="AG406">
        <v>104</v>
      </c>
      <c r="AH406">
        <v>6</v>
      </c>
      <c r="AI406">
        <v>7</v>
      </c>
      <c r="AJ406">
        <v>0</v>
      </c>
      <c r="AK406">
        <v>19</v>
      </c>
      <c r="AL406" t="s">
        <v>8320</v>
      </c>
      <c r="AM406" t="s">
        <v>8321</v>
      </c>
      <c r="AN406" t="s">
        <v>8322</v>
      </c>
      <c r="AO406" t="s">
        <v>8323</v>
      </c>
      <c r="AP406" t="s">
        <v>8324</v>
      </c>
      <c r="AQ406" t="s">
        <v>74</v>
      </c>
      <c r="AR406" t="s">
        <v>8325</v>
      </c>
      <c r="AS406" t="s">
        <v>8326</v>
      </c>
      <c r="AT406" t="s">
        <v>8327</v>
      </c>
      <c r="AU406">
        <v>2020</v>
      </c>
      <c r="AV406">
        <v>32</v>
      </c>
      <c r="AW406">
        <v>6</v>
      </c>
      <c r="AX406" t="s">
        <v>74</v>
      </c>
      <c r="AY406" t="s">
        <v>74</v>
      </c>
      <c r="AZ406" t="s">
        <v>74</v>
      </c>
      <c r="BA406" t="s">
        <v>74</v>
      </c>
      <c r="BB406">
        <v>396</v>
      </c>
      <c r="BC406">
        <v>411</v>
      </c>
      <c r="BD406" t="s">
        <v>74</v>
      </c>
      <c r="BE406" t="s">
        <v>8328</v>
      </c>
      <c r="BF406" t="str">
        <f>HYPERLINK("http://dx.doi.org/10.1089/ars.2019.7887","http://dx.doi.org/10.1089/ars.2019.7887")</f>
        <v>http://dx.doi.org/10.1089/ars.2019.7887</v>
      </c>
      <c r="BG406" t="s">
        <v>74</v>
      </c>
      <c r="BH406" t="s">
        <v>6368</v>
      </c>
      <c r="BI406">
        <v>16</v>
      </c>
      <c r="BJ406" t="s">
        <v>8329</v>
      </c>
      <c r="BK406" t="s">
        <v>294</v>
      </c>
      <c r="BL406" t="s">
        <v>8329</v>
      </c>
      <c r="BM406" t="s">
        <v>8330</v>
      </c>
      <c r="BN406">
        <v>31578873</v>
      </c>
      <c r="BO406" t="s">
        <v>1482</v>
      </c>
      <c r="BP406" t="s">
        <v>74</v>
      </c>
      <c r="BQ406" t="s">
        <v>74</v>
      </c>
      <c r="BR406" t="s">
        <v>108</v>
      </c>
      <c r="BS406" t="s">
        <v>8331</v>
      </c>
      <c r="BT406" t="str">
        <f>HYPERLINK("https%3A%2F%2Fwww.webofscience.com%2Fwos%2Fwoscc%2Ffull-record%2FWOS:000495617300001","View Full Record in Web of Science")</f>
        <v>View Full Record in Web of Science</v>
      </c>
    </row>
    <row r="407" spans="1:72" x14ac:dyDescent="0.15">
      <c r="A407" t="s">
        <v>133</v>
      </c>
      <c r="B407" t="s">
        <v>8332</v>
      </c>
      <c r="C407" t="s">
        <v>74</v>
      </c>
      <c r="D407" t="s">
        <v>74</v>
      </c>
      <c r="E407" t="s">
        <v>74</v>
      </c>
      <c r="F407" t="s">
        <v>8333</v>
      </c>
      <c r="G407" t="s">
        <v>74</v>
      </c>
      <c r="H407" t="s">
        <v>74</v>
      </c>
      <c r="I407" t="s">
        <v>8334</v>
      </c>
      <c r="J407" t="s">
        <v>1462</v>
      </c>
      <c r="K407" t="s">
        <v>74</v>
      </c>
      <c r="L407" t="s">
        <v>74</v>
      </c>
      <c r="M407" t="s">
        <v>80</v>
      </c>
      <c r="N407" t="s">
        <v>138</v>
      </c>
      <c r="O407" t="s">
        <v>74</v>
      </c>
      <c r="P407" t="s">
        <v>74</v>
      </c>
      <c r="Q407" t="s">
        <v>74</v>
      </c>
      <c r="R407" t="s">
        <v>74</v>
      </c>
      <c r="S407" t="s">
        <v>74</v>
      </c>
      <c r="T407" t="s">
        <v>8335</v>
      </c>
      <c r="U407" t="s">
        <v>8336</v>
      </c>
      <c r="V407" t="s">
        <v>8337</v>
      </c>
      <c r="W407" t="s">
        <v>8338</v>
      </c>
      <c r="X407" t="s">
        <v>8339</v>
      </c>
      <c r="Y407" t="s">
        <v>8340</v>
      </c>
      <c r="Z407" t="s">
        <v>8341</v>
      </c>
      <c r="AA407" t="s">
        <v>8342</v>
      </c>
      <c r="AB407" t="s">
        <v>8343</v>
      </c>
      <c r="AC407" t="s">
        <v>8344</v>
      </c>
      <c r="AD407" t="s">
        <v>8345</v>
      </c>
      <c r="AE407" t="s">
        <v>8346</v>
      </c>
      <c r="AF407" t="s">
        <v>74</v>
      </c>
      <c r="AG407">
        <v>29</v>
      </c>
      <c r="AH407">
        <v>32</v>
      </c>
      <c r="AI407">
        <v>37</v>
      </c>
      <c r="AJ407">
        <v>1</v>
      </c>
      <c r="AK407">
        <v>14</v>
      </c>
      <c r="AL407" t="s">
        <v>1264</v>
      </c>
      <c r="AM407" t="s">
        <v>1265</v>
      </c>
      <c r="AN407" t="s">
        <v>1266</v>
      </c>
      <c r="AO407" t="s">
        <v>1475</v>
      </c>
      <c r="AP407" t="s">
        <v>1476</v>
      </c>
      <c r="AQ407" t="s">
        <v>74</v>
      </c>
      <c r="AR407" t="s">
        <v>1477</v>
      </c>
      <c r="AS407" t="s">
        <v>1478</v>
      </c>
      <c r="AT407" t="s">
        <v>7767</v>
      </c>
      <c r="AU407">
        <v>2019</v>
      </c>
      <c r="AV407">
        <v>46</v>
      </c>
      <c r="AW407">
        <v>21</v>
      </c>
      <c r="AX407" t="s">
        <v>74</v>
      </c>
      <c r="AY407" t="s">
        <v>74</v>
      </c>
      <c r="AZ407" t="s">
        <v>74</v>
      </c>
      <c r="BA407" t="s">
        <v>74</v>
      </c>
      <c r="BB407">
        <v>12108</v>
      </c>
      <c r="BC407">
        <v>12116</v>
      </c>
      <c r="BD407" t="s">
        <v>74</v>
      </c>
      <c r="BE407" t="s">
        <v>8347</v>
      </c>
      <c r="BF407" t="str">
        <f>HYPERLINK("http://dx.doi.org/10.1029/2019GL084183","http://dx.doi.org/10.1029/2019GL084183")</f>
        <v>http://dx.doi.org/10.1029/2019GL084183</v>
      </c>
      <c r="BG407" t="s">
        <v>74</v>
      </c>
      <c r="BH407" t="s">
        <v>6368</v>
      </c>
      <c r="BI407">
        <v>9</v>
      </c>
      <c r="BJ407" t="s">
        <v>849</v>
      </c>
      <c r="BK407" t="s">
        <v>294</v>
      </c>
      <c r="BL407" t="s">
        <v>850</v>
      </c>
      <c r="BM407" t="s">
        <v>7769</v>
      </c>
      <c r="BN407" t="s">
        <v>74</v>
      </c>
      <c r="BO407" t="s">
        <v>4828</v>
      </c>
      <c r="BP407" t="s">
        <v>74</v>
      </c>
      <c r="BQ407" t="s">
        <v>74</v>
      </c>
      <c r="BR407" t="s">
        <v>108</v>
      </c>
      <c r="BS407" t="s">
        <v>8348</v>
      </c>
      <c r="BT407" t="str">
        <f>HYPERLINK("https%3A%2F%2Fwww.webofscience.com%2Fwos%2Fwoscc%2Ffull-record%2FWOS:000495620400001","View Full Record in Web of Science")</f>
        <v>View Full Record in Web of Science</v>
      </c>
    </row>
    <row r="408" spans="1:72" x14ac:dyDescent="0.15">
      <c r="A408" t="s">
        <v>133</v>
      </c>
      <c r="B408" t="s">
        <v>8349</v>
      </c>
      <c r="C408" t="s">
        <v>74</v>
      </c>
      <c r="D408" t="s">
        <v>74</v>
      </c>
      <c r="E408" t="s">
        <v>74</v>
      </c>
      <c r="F408" t="s">
        <v>8350</v>
      </c>
      <c r="G408" t="s">
        <v>74</v>
      </c>
      <c r="H408" t="s">
        <v>74</v>
      </c>
      <c r="I408" t="s">
        <v>8351</v>
      </c>
      <c r="J408" t="s">
        <v>1928</v>
      </c>
      <c r="K408" t="s">
        <v>74</v>
      </c>
      <c r="L408" t="s">
        <v>74</v>
      </c>
      <c r="M408" t="s">
        <v>80</v>
      </c>
      <c r="N408" t="s">
        <v>138</v>
      </c>
      <c r="O408" t="s">
        <v>74</v>
      </c>
      <c r="P408" t="s">
        <v>74</v>
      </c>
      <c r="Q408" t="s">
        <v>74</v>
      </c>
      <c r="R408" t="s">
        <v>74</v>
      </c>
      <c r="S408" t="s">
        <v>74</v>
      </c>
      <c r="T408" t="s">
        <v>8352</v>
      </c>
      <c r="U408" t="s">
        <v>8353</v>
      </c>
      <c r="V408" t="s">
        <v>8354</v>
      </c>
      <c r="W408" t="s">
        <v>8355</v>
      </c>
      <c r="X408" t="s">
        <v>8356</v>
      </c>
      <c r="Y408" t="s">
        <v>8357</v>
      </c>
      <c r="Z408" t="s">
        <v>8358</v>
      </c>
      <c r="AA408" t="s">
        <v>8359</v>
      </c>
      <c r="AB408" t="s">
        <v>8360</v>
      </c>
      <c r="AC408" t="s">
        <v>8361</v>
      </c>
      <c r="AD408" t="s">
        <v>8362</v>
      </c>
      <c r="AE408" t="s">
        <v>8363</v>
      </c>
      <c r="AF408" t="s">
        <v>74</v>
      </c>
      <c r="AG408">
        <v>75</v>
      </c>
      <c r="AH408">
        <v>18</v>
      </c>
      <c r="AI408">
        <v>19</v>
      </c>
      <c r="AJ408">
        <v>5</v>
      </c>
      <c r="AK408">
        <v>47</v>
      </c>
      <c r="AL408" t="s">
        <v>1264</v>
      </c>
      <c r="AM408" t="s">
        <v>1265</v>
      </c>
      <c r="AN408" t="s">
        <v>1266</v>
      </c>
      <c r="AO408" t="s">
        <v>1940</v>
      </c>
      <c r="AP408" t="s">
        <v>1941</v>
      </c>
      <c r="AQ408" t="s">
        <v>74</v>
      </c>
      <c r="AR408" t="s">
        <v>1942</v>
      </c>
      <c r="AS408" t="s">
        <v>1943</v>
      </c>
      <c r="AT408" t="s">
        <v>3457</v>
      </c>
      <c r="AU408">
        <v>2019</v>
      </c>
      <c r="AV408">
        <v>124</v>
      </c>
      <c r="AW408">
        <v>11</v>
      </c>
      <c r="AX408" t="s">
        <v>74</v>
      </c>
      <c r="AY408" t="s">
        <v>74</v>
      </c>
      <c r="AZ408" t="s">
        <v>74</v>
      </c>
      <c r="BA408" t="s">
        <v>74</v>
      </c>
      <c r="BB408">
        <v>7513</v>
      </c>
      <c r="BC408">
        <v>7528</v>
      </c>
      <c r="BD408" t="s">
        <v>74</v>
      </c>
      <c r="BE408" t="s">
        <v>8364</v>
      </c>
      <c r="BF408" t="str">
        <f>HYPERLINK("http://dx.doi.org/10.1029/2019JC015266","http://dx.doi.org/10.1029/2019JC015266")</f>
        <v>http://dx.doi.org/10.1029/2019JC015266</v>
      </c>
      <c r="BG408" t="s">
        <v>74</v>
      </c>
      <c r="BH408" t="s">
        <v>6368</v>
      </c>
      <c r="BI408">
        <v>16</v>
      </c>
      <c r="BJ408" t="s">
        <v>1945</v>
      </c>
      <c r="BK408" t="s">
        <v>294</v>
      </c>
      <c r="BL408" t="s">
        <v>1945</v>
      </c>
      <c r="BM408" t="s">
        <v>6369</v>
      </c>
      <c r="BN408" t="s">
        <v>74</v>
      </c>
      <c r="BO408" t="s">
        <v>8365</v>
      </c>
      <c r="BP408" t="s">
        <v>74</v>
      </c>
      <c r="BQ408" t="s">
        <v>74</v>
      </c>
      <c r="BR408" t="s">
        <v>108</v>
      </c>
      <c r="BS408" t="s">
        <v>8366</v>
      </c>
      <c r="BT408" t="str">
        <f>HYPERLINK("https%3A%2F%2Fwww.webofscience.com%2Fwos%2Fwoscc%2Ffull-record%2FWOS:000495557900001","View Full Record in Web of Science")</f>
        <v>View Full Record in Web of Science</v>
      </c>
    </row>
    <row r="409" spans="1:72" x14ac:dyDescent="0.15">
      <c r="A409" t="s">
        <v>133</v>
      </c>
      <c r="B409" t="s">
        <v>8367</v>
      </c>
      <c r="C409" t="s">
        <v>74</v>
      </c>
      <c r="D409" t="s">
        <v>74</v>
      </c>
      <c r="E409" t="s">
        <v>74</v>
      </c>
      <c r="F409" t="s">
        <v>8368</v>
      </c>
      <c r="G409" t="s">
        <v>74</v>
      </c>
      <c r="H409" t="s">
        <v>74</v>
      </c>
      <c r="I409" t="s">
        <v>8369</v>
      </c>
      <c r="J409" t="s">
        <v>2623</v>
      </c>
      <c r="K409" t="s">
        <v>74</v>
      </c>
      <c r="L409" t="s">
        <v>74</v>
      </c>
      <c r="M409" t="s">
        <v>80</v>
      </c>
      <c r="N409" t="s">
        <v>138</v>
      </c>
      <c r="O409" t="s">
        <v>74</v>
      </c>
      <c r="P409" t="s">
        <v>74</v>
      </c>
      <c r="Q409" t="s">
        <v>74</v>
      </c>
      <c r="R409" t="s">
        <v>74</v>
      </c>
      <c r="S409" t="s">
        <v>74</v>
      </c>
      <c r="T409" t="s">
        <v>74</v>
      </c>
      <c r="U409" t="s">
        <v>8370</v>
      </c>
      <c r="V409" t="s">
        <v>8371</v>
      </c>
      <c r="W409" t="s">
        <v>8372</v>
      </c>
      <c r="X409" t="s">
        <v>8373</v>
      </c>
      <c r="Y409" t="s">
        <v>8374</v>
      </c>
      <c r="Z409" t="s">
        <v>8375</v>
      </c>
      <c r="AA409" t="s">
        <v>8376</v>
      </c>
      <c r="AB409" t="s">
        <v>8377</v>
      </c>
      <c r="AC409" t="s">
        <v>8378</v>
      </c>
      <c r="AD409" t="s">
        <v>8379</v>
      </c>
      <c r="AE409" t="s">
        <v>8380</v>
      </c>
      <c r="AF409" t="s">
        <v>74</v>
      </c>
      <c r="AG409">
        <v>73</v>
      </c>
      <c r="AH409">
        <v>13</v>
      </c>
      <c r="AI409">
        <v>13</v>
      </c>
      <c r="AJ409">
        <v>1</v>
      </c>
      <c r="AK409">
        <v>8</v>
      </c>
      <c r="AL409" t="s">
        <v>2635</v>
      </c>
      <c r="AM409" t="s">
        <v>841</v>
      </c>
      <c r="AN409" t="s">
        <v>842</v>
      </c>
      <c r="AO409" t="s">
        <v>2636</v>
      </c>
      <c r="AP409" t="s">
        <v>74</v>
      </c>
      <c r="AQ409" t="s">
        <v>74</v>
      </c>
      <c r="AR409" t="s">
        <v>2637</v>
      </c>
      <c r="AS409" t="s">
        <v>2638</v>
      </c>
      <c r="AT409" t="s">
        <v>8300</v>
      </c>
      <c r="AU409">
        <v>2019</v>
      </c>
      <c r="AV409">
        <v>9</v>
      </c>
      <c r="AW409" t="s">
        <v>74</v>
      </c>
      <c r="AX409" t="s">
        <v>74</v>
      </c>
      <c r="AY409" t="s">
        <v>74</v>
      </c>
      <c r="AZ409" t="s">
        <v>74</v>
      </c>
      <c r="BA409" t="s">
        <v>74</v>
      </c>
      <c r="BB409" t="s">
        <v>74</v>
      </c>
      <c r="BC409" t="s">
        <v>74</v>
      </c>
      <c r="BD409">
        <v>16444</v>
      </c>
      <c r="BE409" t="s">
        <v>8381</v>
      </c>
      <c r="BF409" t="str">
        <f>HYPERLINK("http://dx.doi.org/10.1038/s41598-019-52832-z","http://dx.doi.org/10.1038/s41598-019-52832-z")</f>
        <v>http://dx.doi.org/10.1038/s41598-019-52832-z</v>
      </c>
      <c r="BG409" t="s">
        <v>74</v>
      </c>
      <c r="BH409" t="s">
        <v>74</v>
      </c>
      <c r="BI409">
        <v>14</v>
      </c>
      <c r="BJ409" t="s">
        <v>1245</v>
      </c>
      <c r="BK409" t="s">
        <v>294</v>
      </c>
      <c r="BL409" t="s">
        <v>1246</v>
      </c>
      <c r="BM409" t="s">
        <v>8302</v>
      </c>
      <c r="BN409">
        <v>31712730</v>
      </c>
      <c r="BO409" t="s">
        <v>693</v>
      </c>
      <c r="BP409" t="s">
        <v>74</v>
      </c>
      <c r="BQ409" t="s">
        <v>74</v>
      </c>
      <c r="BR409" t="s">
        <v>108</v>
      </c>
      <c r="BS409" t="s">
        <v>8382</v>
      </c>
      <c r="BT409" t="str">
        <f>HYPERLINK("https%3A%2F%2Fwww.webofscience.com%2Fwos%2Fwoscc%2Ffull-record%2FWOS:000495611100036","View Full Record in Web of Science")</f>
        <v>View Full Record in Web of Science</v>
      </c>
    </row>
    <row r="410" spans="1:72" x14ac:dyDescent="0.15">
      <c r="A410" t="s">
        <v>133</v>
      </c>
      <c r="B410" t="s">
        <v>8383</v>
      </c>
      <c r="C410" t="s">
        <v>74</v>
      </c>
      <c r="D410" t="s">
        <v>74</v>
      </c>
      <c r="E410" t="s">
        <v>74</v>
      </c>
      <c r="F410" t="s">
        <v>8384</v>
      </c>
      <c r="G410" t="s">
        <v>74</v>
      </c>
      <c r="H410" t="s">
        <v>74</v>
      </c>
      <c r="I410" t="s">
        <v>8385</v>
      </c>
      <c r="J410" t="s">
        <v>8386</v>
      </c>
      <c r="K410" t="s">
        <v>74</v>
      </c>
      <c r="L410" t="s">
        <v>74</v>
      </c>
      <c r="M410" t="s">
        <v>80</v>
      </c>
      <c r="N410" t="s">
        <v>138</v>
      </c>
      <c r="O410" t="s">
        <v>74</v>
      </c>
      <c r="P410" t="s">
        <v>74</v>
      </c>
      <c r="Q410" t="s">
        <v>74</v>
      </c>
      <c r="R410" t="s">
        <v>74</v>
      </c>
      <c r="S410" t="s">
        <v>74</v>
      </c>
      <c r="T410" t="s">
        <v>8387</v>
      </c>
      <c r="U410" t="s">
        <v>8388</v>
      </c>
      <c r="V410" t="s">
        <v>8389</v>
      </c>
      <c r="W410" t="s">
        <v>8390</v>
      </c>
      <c r="X410" t="s">
        <v>8391</v>
      </c>
      <c r="Y410" t="s">
        <v>8392</v>
      </c>
      <c r="Z410" t="s">
        <v>8393</v>
      </c>
      <c r="AA410" t="s">
        <v>8394</v>
      </c>
      <c r="AB410" t="s">
        <v>8395</v>
      </c>
      <c r="AC410" t="s">
        <v>8396</v>
      </c>
      <c r="AD410" t="s">
        <v>8397</v>
      </c>
      <c r="AE410" t="s">
        <v>8398</v>
      </c>
      <c r="AF410" t="s">
        <v>74</v>
      </c>
      <c r="AG410">
        <v>77</v>
      </c>
      <c r="AH410">
        <v>7</v>
      </c>
      <c r="AI410">
        <v>7</v>
      </c>
      <c r="AJ410">
        <v>2</v>
      </c>
      <c r="AK410">
        <v>5</v>
      </c>
      <c r="AL410" t="s">
        <v>429</v>
      </c>
      <c r="AM410" t="s">
        <v>430</v>
      </c>
      <c r="AN410" t="s">
        <v>431</v>
      </c>
      <c r="AO410" t="s">
        <v>8399</v>
      </c>
      <c r="AP410" t="s">
        <v>8400</v>
      </c>
      <c r="AQ410" t="s">
        <v>74</v>
      </c>
      <c r="AR410" t="s">
        <v>8401</v>
      </c>
      <c r="AS410" t="s">
        <v>8402</v>
      </c>
      <c r="AT410" t="s">
        <v>291</v>
      </c>
      <c r="AU410">
        <v>2020</v>
      </c>
      <c r="AV410">
        <v>43</v>
      </c>
      <c r="AW410">
        <v>1</v>
      </c>
      <c r="AX410" t="s">
        <v>74</v>
      </c>
      <c r="AY410" t="s">
        <v>74</v>
      </c>
      <c r="AZ410" t="s">
        <v>74</v>
      </c>
      <c r="BA410" t="s">
        <v>74</v>
      </c>
      <c r="BB410">
        <v>111</v>
      </c>
      <c r="BC410">
        <v>127</v>
      </c>
      <c r="BD410" t="s">
        <v>74</v>
      </c>
      <c r="BE410" t="s">
        <v>8403</v>
      </c>
      <c r="BF410" t="str">
        <f>HYPERLINK("http://dx.doi.org/10.1111/jfd.13107","http://dx.doi.org/10.1111/jfd.13107")</f>
        <v>http://dx.doi.org/10.1111/jfd.13107</v>
      </c>
      <c r="BG410" t="s">
        <v>74</v>
      </c>
      <c r="BH410" t="s">
        <v>6368</v>
      </c>
      <c r="BI410">
        <v>17</v>
      </c>
      <c r="BJ410" t="s">
        <v>8404</v>
      </c>
      <c r="BK410" t="s">
        <v>294</v>
      </c>
      <c r="BL410" t="s">
        <v>8404</v>
      </c>
      <c r="BM410" t="s">
        <v>8405</v>
      </c>
      <c r="BN410">
        <v>31709576</v>
      </c>
      <c r="BO410" t="s">
        <v>74</v>
      </c>
      <c r="BP410" t="s">
        <v>74</v>
      </c>
      <c r="BQ410" t="s">
        <v>74</v>
      </c>
      <c r="BR410" t="s">
        <v>108</v>
      </c>
      <c r="BS410" t="s">
        <v>8406</v>
      </c>
      <c r="BT410" t="str">
        <f>HYPERLINK("https%3A%2F%2Fwww.webofscience.com%2Fwos%2Fwoscc%2Ffull-record%2FWOS:000495362500001","View Full Record in Web of Science")</f>
        <v>View Full Record in Web of Science</v>
      </c>
    </row>
    <row r="411" spans="1:72" x14ac:dyDescent="0.15">
      <c r="A411" t="s">
        <v>133</v>
      </c>
      <c r="B411" t="s">
        <v>8407</v>
      </c>
      <c r="C411" t="s">
        <v>74</v>
      </c>
      <c r="D411" t="s">
        <v>74</v>
      </c>
      <c r="E411" t="s">
        <v>74</v>
      </c>
      <c r="F411" t="s">
        <v>8408</v>
      </c>
      <c r="G411" t="s">
        <v>74</v>
      </c>
      <c r="H411" t="s">
        <v>74</v>
      </c>
      <c r="I411" t="s">
        <v>8409</v>
      </c>
      <c r="J411" t="s">
        <v>8410</v>
      </c>
      <c r="K411" t="s">
        <v>74</v>
      </c>
      <c r="L411" t="s">
        <v>74</v>
      </c>
      <c r="M411" t="s">
        <v>80</v>
      </c>
      <c r="N411" t="s">
        <v>138</v>
      </c>
      <c r="O411" t="s">
        <v>74</v>
      </c>
      <c r="P411" t="s">
        <v>74</v>
      </c>
      <c r="Q411" t="s">
        <v>74</v>
      </c>
      <c r="R411" t="s">
        <v>74</v>
      </c>
      <c r="S411" t="s">
        <v>74</v>
      </c>
      <c r="T411" t="s">
        <v>8411</v>
      </c>
      <c r="U411" t="s">
        <v>8412</v>
      </c>
      <c r="V411" t="s">
        <v>8413</v>
      </c>
      <c r="W411" t="s">
        <v>8414</v>
      </c>
      <c r="X411" t="s">
        <v>8415</v>
      </c>
      <c r="Y411" t="s">
        <v>8416</v>
      </c>
      <c r="Z411" t="s">
        <v>8417</v>
      </c>
      <c r="AA411" t="s">
        <v>74</v>
      </c>
      <c r="AB411" t="s">
        <v>8418</v>
      </c>
      <c r="AC411" t="s">
        <v>8419</v>
      </c>
      <c r="AD411" t="s">
        <v>8419</v>
      </c>
      <c r="AE411" t="s">
        <v>8420</v>
      </c>
      <c r="AF411" t="s">
        <v>74</v>
      </c>
      <c r="AG411">
        <v>21</v>
      </c>
      <c r="AH411">
        <v>2</v>
      </c>
      <c r="AI411">
        <v>2</v>
      </c>
      <c r="AJ411">
        <v>2</v>
      </c>
      <c r="AK411">
        <v>7</v>
      </c>
      <c r="AL411" t="s">
        <v>1758</v>
      </c>
      <c r="AM411" t="s">
        <v>1759</v>
      </c>
      <c r="AN411" t="s">
        <v>1760</v>
      </c>
      <c r="AO411" t="s">
        <v>8421</v>
      </c>
      <c r="AP411" t="s">
        <v>8422</v>
      </c>
      <c r="AQ411" t="s">
        <v>74</v>
      </c>
      <c r="AR411" t="s">
        <v>8423</v>
      </c>
      <c r="AS411" t="s">
        <v>8424</v>
      </c>
      <c r="AT411" t="s">
        <v>2201</v>
      </c>
      <c r="AU411">
        <v>2020</v>
      </c>
      <c r="AV411">
        <v>167</v>
      </c>
      <c r="AW411">
        <v>1</v>
      </c>
      <c r="AX411" t="s">
        <v>74</v>
      </c>
      <c r="AY411" t="s">
        <v>74</v>
      </c>
      <c r="AZ411" t="s">
        <v>555</v>
      </c>
      <c r="BA411" t="s">
        <v>74</v>
      </c>
      <c r="BB411">
        <v>50</v>
      </c>
      <c r="BC411">
        <v>56</v>
      </c>
      <c r="BD411" t="s">
        <v>74</v>
      </c>
      <c r="BE411" t="s">
        <v>8425</v>
      </c>
      <c r="BF411" t="str">
        <f>HYPERLINK("http://dx.doi.org/10.1080/23818107.2019.1688677","http://dx.doi.org/10.1080/23818107.2019.1688677")</f>
        <v>http://dx.doi.org/10.1080/23818107.2019.1688677</v>
      </c>
      <c r="BG411" t="s">
        <v>74</v>
      </c>
      <c r="BH411" t="s">
        <v>6368</v>
      </c>
      <c r="BI411">
        <v>7</v>
      </c>
      <c r="BJ411" t="s">
        <v>6734</v>
      </c>
      <c r="BK411" t="s">
        <v>294</v>
      </c>
      <c r="BL411" t="s">
        <v>6734</v>
      </c>
      <c r="BM411" t="s">
        <v>8426</v>
      </c>
      <c r="BN411" t="s">
        <v>74</v>
      </c>
      <c r="BO411" t="s">
        <v>74</v>
      </c>
      <c r="BP411" t="s">
        <v>74</v>
      </c>
      <c r="BQ411" t="s">
        <v>74</v>
      </c>
      <c r="BR411" t="s">
        <v>108</v>
      </c>
      <c r="BS411" t="s">
        <v>8427</v>
      </c>
      <c r="BT411" t="str">
        <f>HYPERLINK("https%3A%2F%2Fwww.webofscience.com%2Fwos%2Fwoscc%2Ffull-record%2FWOS:000495379400001","View Full Record in Web of Science")</f>
        <v>View Full Record in Web of Science</v>
      </c>
    </row>
    <row r="412" spans="1:72" x14ac:dyDescent="0.15">
      <c r="A412" t="s">
        <v>133</v>
      </c>
      <c r="B412" t="s">
        <v>8428</v>
      </c>
      <c r="C412" t="s">
        <v>74</v>
      </c>
      <c r="D412" t="s">
        <v>74</v>
      </c>
      <c r="E412" t="s">
        <v>74</v>
      </c>
      <c r="F412" t="s">
        <v>8429</v>
      </c>
      <c r="G412" t="s">
        <v>74</v>
      </c>
      <c r="H412" t="s">
        <v>74</v>
      </c>
      <c r="I412" t="s">
        <v>8430</v>
      </c>
      <c r="J412" t="s">
        <v>6994</v>
      </c>
      <c r="K412" t="s">
        <v>74</v>
      </c>
      <c r="L412" t="s">
        <v>74</v>
      </c>
      <c r="M412" t="s">
        <v>80</v>
      </c>
      <c r="N412" t="s">
        <v>138</v>
      </c>
      <c r="O412" t="s">
        <v>74</v>
      </c>
      <c r="P412" t="s">
        <v>74</v>
      </c>
      <c r="Q412" t="s">
        <v>74</v>
      </c>
      <c r="R412" t="s">
        <v>74</v>
      </c>
      <c r="S412" t="s">
        <v>74</v>
      </c>
      <c r="T412" t="s">
        <v>8431</v>
      </c>
      <c r="U412" t="s">
        <v>8432</v>
      </c>
      <c r="V412" t="s">
        <v>8433</v>
      </c>
      <c r="W412" t="s">
        <v>8434</v>
      </c>
      <c r="X412" t="s">
        <v>8435</v>
      </c>
      <c r="Y412" t="s">
        <v>8436</v>
      </c>
      <c r="Z412" t="s">
        <v>8437</v>
      </c>
      <c r="AA412" t="s">
        <v>8438</v>
      </c>
      <c r="AB412" t="s">
        <v>74</v>
      </c>
      <c r="AC412" t="s">
        <v>8439</v>
      </c>
      <c r="AD412" t="s">
        <v>8440</v>
      </c>
      <c r="AE412" t="s">
        <v>8441</v>
      </c>
      <c r="AF412" t="s">
        <v>74</v>
      </c>
      <c r="AG412">
        <v>86</v>
      </c>
      <c r="AH412">
        <v>19</v>
      </c>
      <c r="AI412">
        <v>19</v>
      </c>
      <c r="AJ412">
        <v>3</v>
      </c>
      <c r="AK412">
        <v>39</v>
      </c>
      <c r="AL412" t="s">
        <v>2587</v>
      </c>
      <c r="AM412" t="s">
        <v>2588</v>
      </c>
      <c r="AN412" t="s">
        <v>2589</v>
      </c>
      <c r="AO412" t="s">
        <v>7007</v>
      </c>
      <c r="AP412" t="s">
        <v>74</v>
      </c>
      <c r="AQ412" t="s">
        <v>74</v>
      </c>
      <c r="AR412" t="s">
        <v>7008</v>
      </c>
      <c r="AS412" t="s">
        <v>7009</v>
      </c>
      <c r="AT412" t="s">
        <v>8442</v>
      </c>
      <c r="AU412">
        <v>2019</v>
      </c>
      <c r="AV412">
        <v>10</v>
      </c>
      <c r="AW412" t="s">
        <v>74</v>
      </c>
      <c r="AX412" t="s">
        <v>74</v>
      </c>
      <c r="AY412" t="s">
        <v>74</v>
      </c>
      <c r="AZ412" t="s">
        <v>74</v>
      </c>
      <c r="BA412" t="s">
        <v>74</v>
      </c>
      <c r="BB412" t="s">
        <v>74</v>
      </c>
      <c r="BC412" t="s">
        <v>74</v>
      </c>
      <c r="BD412">
        <v>2523</v>
      </c>
      <c r="BE412" t="s">
        <v>8443</v>
      </c>
      <c r="BF412" t="str">
        <f>HYPERLINK("http://dx.doi.org/10.3389/fmicb.2019.02523","http://dx.doi.org/10.3389/fmicb.2019.02523")</f>
        <v>http://dx.doi.org/10.3389/fmicb.2019.02523</v>
      </c>
      <c r="BG412" t="s">
        <v>74</v>
      </c>
      <c r="BH412" t="s">
        <v>74</v>
      </c>
      <c r="BI412">
        <v>14</v>
      </c>
      <c r="BJ412" t="s">
        <v>1713</v>
      </c>
      <c r="BK412" t="s">
        <v>294</v>
      </c>
      <c r="BL412" t="s">
        <v>1713</v>
      </c>
      <c r="BM412" t="s">
        <v>8444</v>
      </c>
      <c r="BN412">
        <v>31787942</v>
      </c>
      <c r="BO412" t="s">
        <v>2934</v>
      </c>
      <c r="BP412" t="s">
        <v>74</v>
      </c>
      <c r="BQ412" t="s">
        <v>74</v>
      </c>
      <c r="BR412" t="s">
        <v>108</v>
      </c>
      <c r="BS412" t="s">
        <v>8445</v>
      </c>
      <c r="BT412" t="str">
        <f>HYPERLINK("https%3A%2F%2Fwww.webofscience.com%2Fwos%2Fwoscc%2Ffull-record%2FWOS:000501150700001","View Full Record in Web of Science")</f>
        <v>View Full Record in Web of Science</v>
      </c>
    </row>
    <row r="413" spans="1:72" x14ac:dyDescent="0.15">
      <c r="A413" t="s">
        <v>133</v>
      </c>
      <c r="B413" t="s">
        <v>8446</v>
      </c>
      <c r="C413" t="s">
        <v>74</v>
      </c>
      <c r="D413" t="s">
        <v>74</v>
      </c>
      <c r="E413" t="s">
        <v>74</v>
      </c>
      <c r="F413" t="s">
        <v>8447</v>
      </c>
      <c r="G413" t="s">
        <v>74</v>
      </c>
      <c r="H413" t="s">
        <v>74</v>
      </c>
      <c r="I413" t="s">
        <v>8448</v>
      </c>
      <c r="J413" t="s">
        <v>2088</v>
      </c>
      <c r="K413" t="s">
        <v>74</v>
      </c>
      <c r="L413" t="s">
        <v>74</v>
      </c>
      <c r="M413" t="s">
        <v>80</v>
      </c>
      <c r="N413" t="s">
        <v>138</v>
      </c>
      <c r="O413" t="s">
        <v>74</v>
      </c>
      <c r="P413" t="s">
        <v>74</v>
      </c>
      <c r="Q413" t="s">
        <v>74</v>
      </c>
      <c r="R413" t="s">
        <v>74</v>
      </c>
      <c r="S413" t="s">
        <v>74</v>
      </c>
      <c r="T413" t="s">
        <v>74</v>
      </c>
      <c r="U413" t="s">
        <v>8449</v>
      </c>
      <c r="V413" t="s">
        <v>8450</v>
      </c>
      <c r="W413" t="s">
        <v>8451</v>
      </c>
      <c r="X413" t="s">
        <v>8452</v>
      </c>
      <c r="Y413" t="s">
        <v>8453</v>
      </c>
      <c r="Z413" t="s">
        <v>8454</v>
      </c>
      <c r="AA413" t="s">
        <v>74</v>
      </c>
      <c r="AB413" t="s">
        <v>8455</v>
      </c>
      <c r="AC413" t="s">
        <v>8456</v>
      </c>
      <c r="AD413" t="s">
        <v>8457</v>
      </c>
      <c r="AE413" t="s">
        <v>8458</v>
      </c>
      <c r="AF413" t="s">
        <v>74</v>
      </c>
      <c r="AG413">
        <v>76</v>
      </c>
      <c r="AH413">
        <v>5</v>
      </c>
      <c r="AI413">
        <v>5</v>
      </c>
      <c r="AJ413">
        <v>2</v>
      </c>
      <c r="AK413">
        <v>13</v>
      </c>
      <c r="AL413" t="s">
        <v>2099</v>
      </c>
      <c r="AM413" t="s">
        <v>2100</v>
      </c>
      <c r="AN413" t="s">
        <v>2101</v>
      </c>
      <c r="AO413" t="s">
        <v>2102</v>
      </c>
      <c r="AP413" t="s">
        <v>2103</v>
      </c>
      <c r="AQ413" t="s">
        <v>74</v>
      </c>
      <c r="AR413" t="s">
        <v>2088</v>
      </c>
      <c r="AS413" t="s">
        <v>2104</v>
      </c>
      <c r="AT413" t="s">
        <v>8442</v>
      </c>
      <c r="AU413">
        <v>2019</v>
      </c>
      <c r="AV413">
        <v>13</v>
      </c>
      <c r="AW413">
        <v>11</v>
      </c>
      <c r="AX413" t="s">
        <v>74</v>
      </c>
      <c r="AY413" t="s">
        <v>74</v>
      </c>
      <c r="AZ413" t="s">
        <v>74</v>
      </c>
      <c r="BA413" t="s">
        <v>74</v>
      </c>
      <c r="BB413">
        <v>2915</v>
      </c>
      <c r="BC413">
        <v>2934</v>
      </c>
      <c r="BD413" t="s">
        <v>74</v>
      </c>
      <c r="BE413" t="s">
        <v>8459</v>
      </c>
      <c r="BF413" t="str">
        <f>HYPERLINK("http://dx.doi.org/10.5194/tc-13-2915-2019","http://dx.doi.org/10.5194/tc-13-2915-2019")</f>
        <v>http://dx.doi.org/10.5194/tc-13-2915-2019</v>
      </c>
      <c r="BG413" t="s">
        <v>74</v>
      </c>
      <c r="BH413" t="s">
        <v>74</v>
      </c>
      <c r="BI413">
        <v>20</v>
      </c>
      <c r="BJ413" t="s">
        <v>462</v>
      </c>
      <c r="BK413" t="s">
        <v>294</v>
      </c>
      <c r="BL413" t="s">
        <v>463</v>
      </c>
      <c r="BM413" t="s">
        <v>8460</v>
      </c>
      <c r="BN413" t="s">
        <v>74</v>
      </c>
      <c r="BO413" t="s">
        <v>1276</v>
      </c>
      <c r="BP413" t="s">
        <v>74</v>
      </c>
      <c r="BQ413" t="s">
        <v>74</v>
      </c>
      <c r="BR413" t="s">
        <v>108</v>
      </c>
      <c r="BS413" t="s">
        <v>8461</v>
      </c>
      <c r="BT413" t="str">
        <f>HYPERLINK("https%3A%2F%2Fwww.webofscience.com%2Fwos%2Fwoscc%2Ffull-record%2FWOS:000496716700004","View Full Record in Web of Science")</f>
        <v>View Full Record in Web of Science</v>
      </c>
    </row>
    <row r="414" spans="1:72" x14ac:dyDescent="0.15">
      <c r="A414" t="s">
        <v>133</v>
      </c>
      <c r="B414" t="s">
        <v>8462</v>
      </c>
      <c r="C414" t="s">
        <v>74</v>
      </c>
      <c r="D414" t="s">
        <v>74</v>
      </c>
      <c r="E414" t="s">
        <v>74</v>
      </c>
      <c r="F414" t="s">
        <v>8463</v>
      </c>
      <c r="G414" t="s">
        <v>74</v>
      </c>
      <c r="H414" t="s">
        <v>74</v>
      </c>
      <c r="I414" t="s">
        <v>8464</v>
      </c>
      <c r="J414" t="s">
        <v>2088</v>
      </c>
      <c r="K414" t="s">
        <v>74</v>
      </c>
      <c r="L414" t="s">
        <v>74</v>
      </c>
      <c r="M414" t="s">
        <v>80</v>
      </c>
      <c r="N414" t="s">
        <v>138</v>
      </c>
      <c r="O414" t="s">
        <v>74</v>
      </c>
      <c r="P414" t="s">
        <v>74</v>
      </c>
      <c r="Q414" t="s">
        <v>74</v>
      </c>
      <c r="R414" t="s">
        <v>74</v>
      </c>
      <c r="S414" t="s">
        <v>74</v>
      </c>
      <c r="T414" t="s">
        <v>74</v>
      </c>
      <c r="U414" t="s">
        <v>8465</v>
      </c>
      <c r="V414" t="s">
        <v>8466</v>
      </c>
      <c r="W414" t="s">
        <v>8467</v>
      </c>
      <c r="X414" t="s">
        <v>8468</v>
      </c>
      <c r="Y414" t="s">
        <v>8469</v>
      </c>
      <c r="Z414" t="s">
        <v>8470</v>
      </c>
      <c r="AA414" t="s">
        <v>8471</v>
      </c>
      <c r="AB414" t="s">
        <v>7359</v>
      </c>
      <c r="AC414" t="s">
        <v>8472</v>
      </c>
      <c r="AD414" t="s">
        <v>8473</v>
      </c>
      <c r="AE414" t="s">
        <v>8474</v>
      </c>
      <c r="AF414" t="s">
        <v>74</v>
      </c>
      <c r="AG414">
        <v>54</v>
      </c>
      <c r="AH414">
        <v>22</v>
      </c>
      <c r="AI414">
        <v>24</v>
      </c>
      <c r="AJ414">
        <v>1</v>
      </c>
      <c r="AK414">
        <v>4</v>
      </c>
      <c r="AL414" t="s">
        <v>2099</v>
      </c>
      <c r="AM414" t="s">
        <v>2100</v>
      </c>
      <c r="AN414" t="s">
        <v>2101</v>
      </c>
      <c r="AO414" t="s">
        <v>2102</v>
      </c>
      <c r="AP414" t="s">
        <v>2103</v>
      </c>
      <c r="AQ414" t="s">
        <v>74</v>
      </c>
      <c r="AR414" t="s">
        <v>2088</v>
      </c>
      <c r="AS414" t="s">
        <v>2104</v>
      </c>
      <c r="AT414" t="s">
        <v>8442</v>
      </c>
      <c r="AU414">
        <v>2019</v>
      </c>
      <c r="AV414">
        <v>13</v>
      </c>
      <c r="AW414">
        <v>11</v>
      </c>
      <c r="AX414" t="s">
        <v>74</v>
      </c>
      <c r="AY414" t="s">
        <v>74</v>
      </c>
      <c r="AZ414" t="s">
        <v>74</v>
      </c>
      <c r="BA414" t="s">
        <v>74</v>
      </c>
      <c r="BB414">
        <v>2935</v>
      </c>
      <c r="BC414">
        <v>2951</v>
      </c>
      <c r="BD414" t="s">
        <v>74</v>
      </c>
      <c r="BE414" t="s">
        <v>8475</v>
      </c>
      <c r="BF414" t="str">
        <f>HYPERLINK("http://dx.doi.org/10.5194/tc-13-2935-2019","http://dx.doi.org/10.5194/tc-13-2935-2019")</f>
        <v>http://dx.doi.org/10.5194/tc-13-2935-2019</v>
      </c>
      <c r="BG414" t="s">
        <v>74</v>
      </c>
      <c r="BH414" t="s">
        <v>74</v>
      </c>
      <c r="BI414">
        <v>17</v>
      </c>
      <c r="BJ414" t="s">
        <v>462</v>
      </c>
      <c r="BK414" t="s">
        <v>294</v>
      </c>
      <c r="BL414" t="s">
        <v>463</v>
      </c>
      <c r="BM414" t="s">
        <v>8460</v>
      </c>
      <c r="BN414" t="s">
        <v>74</v>
      </c>
      <c r="BO414" t="s">
        <v>8089</v>
      </c>
      <c r="BP414" t="s">
        <v>74</v>
      </c>
      <c r="BQ414" t="s">
        <v>74</v>
      </c>
      <c r="BR414" t="s">
        <v>108</v>
      </c>
      <c r="BS414" t="s">
        <v>8476</v>
      </c>
      <c r="BT414" t="str">
        <f>HYPERLINK("https%3A%2F%2Fwww.webofscience.com%2Fwos%2Fwoscc%2Ffull-record%2FWOS:000496716700005","View Full Record in Web of Science")</f>
        <v>View Full Record in Web of Science</v>
      </c>
    </row>
    <row r="415" spans="1:72" x14ac:dyDescent="0.15">
      <c r="A415" t="s">
        <v>133</v>
      </c>
      <c r="B415" t="s">
        <v>8477</v>
      </c>
      <c r="C415" t="s">
        <v>74</v>
      </c>
      <c r="D415" t="s">
        <v>74</v>
      </c>
      <c r="E415" t="s">
        <v>74</v>
      </c>
      <c r="F415" t="s">
        <v>8478</v>
      </c>
      <c r="G415" t="s">
        <v>74</v>
      </c>
      <c r="H415" t="s">
        <v>74</v>
      </c>
      <c r="I415" t="s">
        <v>8479</v>
      </c>
      <c r="J415" t="s">
        <v>5976</v>
      </c>
      <c r="K415" t="s">
        <v>74</v>
      </c>
      <c r="L415" t="s">
        <v>74</v>
      </c>
      <c r="M415" t="s">
        <v>80</v>
      </c>
      <c r="N415" t="s">
        <v>138</v>
      </c>
      <c r="O415" t="s">
        <v>74</v>
      </c>
      <c r="P415" t="s">
        <v>74</v>
      </c>
      <c r="Q415" t="s">
        <v>74</v>
      </c>
      <c r="R415" t="s">
        <v>74</v>
      </c>
      <c r="S415" t="s">
        <v>74</v>
      </c>
      <c r="T415" t="s">
        <v>8480</v>
      </c>
      <c r="U415" t="s">
        <v>8481</v>
      </c>
      <c r="V415" t="s">
        <v>8482</v>
      </c>
      <c r="W415" t="s">
        <v>8483</v>
      </c>
      <c r="X415" t="s">
        <v>8484</v>
      </c>
      <c r="Y415" t="s">
        <v>8485</v>
      </c>
      <c r="Z415" t="s">
        <v>8486</v>
      </c>
      <c r="AA415" t="s">
        <v>8487</v>
      </c>
      <c r="AB415" t="s">
        <v>8488</v>
      </c>
      <c r="AC415" t="s">
        <v>8489</v>
      </c>
      <c r="AD415" t="s">
        <v>8490</v>
      </c>
      <c r="AE415" t="s">
        <v>8491</v>
      </c>
      <c r="AF415" t="s">
        <v>74</v>
      </c>
      <c r="AG415">
        <v>35</v>
      </c>
      <c r="AH415">
        <v>0</v>
      </c>
      <c r="AI415">
        <v>0</v>
      </c>
      <c r="AJ415">
        <v>1</v>
      </c>
      <c r="AK415">
        <v>23</v>
      </c>
      <c r="AL415" t="s">
        <v>5988</v>
      </c>
      <c r="AM415" t="s">
        <v>5989</v>
      </c>
      <c r="AN415" t="s">
        <v>5990</v>
      </c>
      <c r="AO415" t="s">
        <v>5991</v>
      </c>
      <c r="AP415" t="s">
        <v>5992</v>
      </c>
      <c r="AQ415" t="s">
        <v>74</v>
      </c>
      <c r="AR415" t="s">
        <v>5993</v>
      </c>
      <c r="AS415" t="s">
        <v>5994</v>
      </c>
      <c r="AT415" t="s">
        <v>1527</v>
      </c>
      <c r="AU415">
        <v>2020</v>
      </c>
      <c r="AV415">
        <v>19</v>
      </c>
      <c r="AW415">
        <v>1</v>
      </c>
      <c r="AX415" t="s">
        <v>74</v>
      </c>
      <c r="AY415" t="s">
        <v>74</v>
      </c>
      <c r="AZ415" t="s">
        <v>74</v>
      </c>
      <c r="BA415" t="s">
        <v>74</v>
      </c>
      <c r="BB415">
        <v>1</v>
      </c>
      <c r="BC415">
        <v>12</v>
      </c>
      <c r="BD415" t="s">
        <v>74</v>
      </c>
      <c r="BE415" t="s">
        <v>8492</v>
      </c>
      <c r="BF415" t="str">
        <f>HYPERLINK("http://dx.doi.org/10.1007/s11802-020-4168-z","http://dx.doi.org/10.1007/s11802-020-4168-z")</f>
        <v>http://dx.doi.org/10.1007/s11802-020-4168-z</v>
      </c>
      <c r="BG415" t="s">
        <v>74</v>
      </c>
      <c r="BH415" t="s">
        <v>6368</v>
      </c>
      <c r="BI415">
        <v>12</v>
      </c>
      <c r="BJ415" t="s">
        <v>1945</v>
      </c>
      <c r="BK415" t="s">
        <v>294</v>
      </c>
      <c r="BL415" t="s">
        <v>1945</v>
      </c>
      <c r="BM415" t="s">
        <v>8493</v>
      </c>
      <c r="BN415" t="s">
        <v>74</v>
      </c>
      <c r="BO415" t="s">
        <v>74</v>
      </c>
      <c r="BP415" t="s">
        <v>74</v>
      </c>
      <c r="BQ415" t="s">
        <v>74</v>
      </c>
      <c r="BR415" t="s">
        <v>108</v>
      </c>
      <c r="BS415" t="s">
        <v>8494</v>
      </c>
      <c r="BT415" t="str">
        <f>HYPERLINK("https%3A%2F%2Fwww.webofscience.com%2Fwos%2Fwoscc%2Ffull-record%2FWOS:000495213400001","View Full Record in Web of Science")</f>
        <v>View Full Record in Web of Science</v>
      </c>
    </row>
    <row r="416" spans="1:72" x14ac:dyDescent="0.15">
      <c r="A416" t="s">
        <v>133</v>
      </c>
      <c r="B416" t="s">
        <v>8495</v>
      </c>
      <c r="C416" t="s">
        <v>74</v>
      </c>
      <c r="D416" t="s">
        <v>74</v>
      </c>
      <c r="E416" t="s">
        <v>74</v>
      </c>
      <c r="F416" t="s">
        <v>8496</v>
      </c>
      <c r="G416" t="s">
        <v>74</v>
      </c>
      <c r="H416" t="s">
        <v>74</v>
      </c>
      <c r="I416" t="s">
        <v>8497</v>
      </c>
      <c r="J416" t="s">
        <v>8130</v>
      </c>
      <c r="K416" t="s">
        <v>74</v>
      </c>
      <c r="L416" t="s">
        <v>74</v>
      </c>
      <c r="M416" t="s">
        <v>80</v>
      </c>
      <c r="N416" t="s">
        <v>930</v>
      </c>
      <c r="O416" t="s">
        <v>74</v>
      </c>
      <c r="P416" t="s">
        <v>74</v>
      </c>
      <c r="Q416" t="s">
        <v>74</v>
      </c>
      <c r="R416" t="s">
        <v>74</v>
      </c>
      <c r="S416" t="s">
        <v>74</v>
      </c>
      <c r="T416" t="s">
        <v>8498</v>
      </c>
      <c r="U416" t="s">
        <v>74</v>
      </c>
      <c r="V416" t="s">
        <v>8499</v>
      </c>
      <c r="W416" t="s">
        <v>8500</v>
      </c>
      <c r="X416" t="s">
        <v>8501</v>
      </c>
      <c r="Y416" t="s">
        <v>8502</v>
      </c>
      <c r="Z416" t="s">
        <v>8503</v>
      </c>
      <c r="AA416" t="s">
        <v>8504</v>
      </c>
      <c r="AB416" t="s">
        <v>8505</v>
      </c>
      <c r="AC416" t="s">
        <v>74</v>
      </c>
      <c r="AD416" t="s">
        <v>74</v>
      </c>
      <c r="AE416" t="s">
        <v>74</v>
      </c>
      <c r="AF416" t="s">
        <v>74</v>
      </c>
      <c r="AG416">
        <v>290</v>
      </c>
      <c r="AH416">
        <v>22</v>
      </c>
      <c r="AI416">
        <v>22</v>
      </c>
      <c r="AJ416">
        <v>2</v>
      </c>
      <c r="AK416">
        <v>2</v>
      </c>
      <c r="AL416" t="s">
        <v>2587</v>
      </c>
      <c r="AM416" t="s">
        <v>2588</v>
      </c>
      <c r="AN416" t="s">
        <v>2589</v>
      </c>
      <c r="AO416" t="s">
        <v>8141</v>
      </c>
      <c r="AP416" t="s">
        <v>74</v>
      </c>
      <c r="AQ416" t="s">
        <v>74</v>
      </c>
      <c r="AR416" t="s">
        <v>8142</v>
      </c>
      <c r="AS416" t="s">
        <v>8143</v>
      </c>
      <c r="AT416" t="s">
        <v>8442</v>
      </c>
      <c r="AU416">
        <v>2019</v>
      </c>
      <c r="AV416">
        <v>7</v>
      </c>
      <c r="AW416" t="s">
        <v>74</v>
      </c>
      <c r="AX416" t="s">
        <v>74</v>
      </c>
      <c r="AY416" t="s">
        <v>74</v>
      </c>
      <c r="AZ416" t="s">
        <v>74</v>
      </c>
      <c r="BA416" t="s">
        <v>74</v>
      </c>
      <c r="BB416" t="s">
        <v>74</v>
      </c>
      <c r="BC416" t="s">
        <v>74</v>
      </c>
      <c r="BD416">
        <v>424</v>
      </c>
      <c r="BE416" t="s">
        <v>8506</v>
      </c>
      <c r="BF416" t="str">
        <f>HYPERLINK("http://dx.doi.org/10.3389/fevo.2019.00424","http://dx.doi.org/10.3389/fevo.2019.00424")</f>
        <v>http://dx.doi.org/10.3389/fevo.2019.00424</v>
      </c>
      <c r="BG416" t="s">
        <v>74</v>
      </c>
      <c r="BH416" t="s">
        <v>74</v>
      </c>
      <c r="BI416">
        <v>22</v>
      </c>
      <c r="BJ416" t="s">
        <v>437</v>
      </c>
      <c r="BK416" t="s">
        <v>294</v>
      </c>
      <c r="BL416" t="s">
        <v>388</v>
      </c>
      <c r="BM416" t="s">
        <v>8507</v>
      </c>
      <c r="BN416" t="s">
        <v>74</v>
      </c>
      <c r="BO416" t="s">
        <v>2934</v>
      </c>
      <c r="BP416" t="s">
        <v>74</v>
      </c>
      <c r="BQ416" t="s">
        <v>74</v>
      </c>
      <c r="BR416" t="s">
        <v>108</v>
      </c>
      <c r="BS416" t="s">
        <v>8508</v>
      </c>
      <c r="BT416" t="str">
        <f>HYPERLINK("https%3A%2F%2Fwww.webofscience.com%2Fwos%2Fwoscc%2Ffull-record%2FWOS:001030040900001","View Full Record in Web of Science")</f>
        <v>View Full Record in Web of Science</v>
      </c>
    </row>
    <row r="417" spans="1:72" x14ac:dyDescent="0.15">
      <c r="A417" t="s">
        <v>133</v>
      </c>
      <c r="B417" t="s">
        <v>8509</v>
      </c>
      <c r="C417" t="s">
        <v>74</v>
      </c>
      <c r="D417" t="s">
        <v>74</v>
      </c>
      <c r="E417" t="s">
        <v>74</v>
      </c>
      <c r="F417" t="s">
        <v>8510</v>
      </c>
      <c r="G417" t="s">
        <v>74</v>
      </c>
      <c r="H417" t="s">
        <v>74</v>
      </c>
      <c r="I417" t="s">
        <v>8511</v>
      </c>
      <c r="J417" t="s">
        <v>1487</v>
      </c>
      <c r="K417" t="s">
        <v>74</v>
      </c>
      <c r="L417" t="s">
        <v>74</v>
      </c>
      <c r="M417" t="s">
        <v>80</v>
      </c>
      <c r="N417" t="s">
        <v>138</v>
      </c>
      <c r="O417" t="s">
        <v>74</v>
      </c>
      <c r="P417" t="s">
        <v>74</v>
      </c>
      <c r="Q417" t="s">
        <v>74</v>
      </c>
      <c r="R417" t="s">
        <v>74</v>
      </c>
      <c r="S417" t="s">
        <v>74</v>
      </c>
      <c r="T417" t="s">
        <v>8512</v>
      </c>
      <c r="U417" t="s">
        <v>8513</v>
      </c>
      <c r="V417" t="s">
        <v>8514</v>
      </c>
      <c r="W417" t="s">
        <v>8515</v>
      </c>
      <c r="X417" t="s">
        <v>8516</v>
      </c>
      <c r="Y417" t="s">
        <v>8517</v>
      </c>
      <c r="Z417" t="s">
        <v>8518</v>
      </c>
      <c r="AA417" t="s">
        <v>8519</v>
      </c>
      <c r="AB417" t="s">
        <v>8520</v>
      </c>
      <c r="AC417" t="s">
        <v>8521</v>
      </c>
      <c r="AD417" t="s">
        <v>8522</v>
      </c>
      <c r="AE417" t="s">
        <v>8523</v>
      </c>
      <c r="AF417" t="s">
        <v>74</v>
      </c>
      <c r="AG417">
        <v>43</v>
      </c>
      <c r="AH417">
        <v>8</v>
      </c>
      <c r="AI417">
        <v>8</v>
      </c>
      <c r="AJ417">
        <v>1</v>
      </c>
      <c r="AK417">
        <v>13</v>
      </c>
      <c r="AL417" t="s">
        <v>1264</v>
      </c>
      <c r="AM417" t="s">
        <v>1265</v>
      </c>
      <c r="AN417" t="s">
        <v>1266</v>
      </c>
      <c r="AO417" t="s">
        <v>1500</v>
      </c>
      <c r="AP417" t="s">
        <v>1501</v>
      </c>
      <c r="AQ417" t="s">
        <v>74</v>
      </c>
      <c r="AR417" t="s">
        <v>1502</v>
      </c>
      <c r="AS417" t="s">
        <v>1503</v>
      </c>
      <c r="AT417" t="s">
        <v>7767</v>
      </c>
      <c r="AU417">
        <v>2019</v>
      </c>
      <c r="AV417">
        <v>124</v>
      </c>
      <c r="AW417">
        <v>21</v>
      </c>
      <c r="AX417" t="s">
        <v>74</v>
      </c>
      <c r="AY417" t="s">
        <v>74</v>
      </c>
      <c r="AZ417" t="s">
        <v>74</v>
      </c>
      <c r="BA417" t="s">
        <v>74</v>
      </c>
      <c r="BB417">
        <v>11070</v>
      </c>
      <c r="BC417">
        <v>11085</v>
      </c>
      <c r="BD417" t="s">
        <v>74</v>
      </c>
      <c r="BE417" t="s">
        <v>8524</v>
      </c>
      <c r="BF417" t="str">
        <f>HYPERLINK("http://dx.doi.org/10.1029/2019JD030735","http://dx.doi.org/10.1029/2019JD030735")</f>
        <v>http://dx.doi.org/10.1029/2019JD030735</v>
      </c>
      <c r="BG417" t="s">
        <v>74</v>
      </c>
      <c r="BH417" t="s">
        <v>6368</v>
      </c>
      <c r="BI417">
        <v>16</v>
      </c>
      <c r="BJ417" t="s">
        <v>1024</v>
      </c>
      <c r="BK417" t="s">
        <v>294</v>
      </c>
      <c r="BL417" t="s">
        <v>1024</v>
      </c>
      <c r="BM417" t="s">
        <v>8525</v>
      </c>
      <c r="BN417" t="s">
        <v>74</v>
      </c>
      <c r="BO417" t="s">
        <v>74</v>
      </c>
      <c r="BP417" t="s">
        <v>74</v>
      </c>
      <c r="BQ417" t="s">
        <v>74</v>
      </c>
      <c r="BR417" t="s">
        <v>108</v>
      </c>
      <c r="BS417" t="s">
        <v>8526</v>
      </c>
      <c r="BT417" t="str">
        <f>HYPERLINK("https%3A%2F%2Fwww.webofscience.com%2Fwos%2Fwoscc%2Ffull-record%2FWOS:000494991100001","View Full Record in Web of Science")</f>
        <v>View Full Record in Web of Science</v>
      </c>
    </row>
    <row r="418" spans="1:72" x14ac:dyDescent="0.15">
      <c r="A418" t="s">
        <v>133</v>
      </c>
      <c r="B418" t="s">
        <v>8527</v>
      </c>
      <c r="C418" t="s">
        <v>74</v>
      </c>
      <c r="D418" t="s">
        <v>74</v>
      </c>
      <c r="E418" t="s">
        <v>74</v>
      </c>
      <c r="F418" t="s">
        <v>8528</v>
      </c>
      <c r="G418" t="s">
        <v>74</v>
      </c>
      <c r="H418" t="s">
        <v>74</v>
      </c>
      <c r="I418" t="s">
        <v>8529</v>
      </c>
      <c r="J418" t="s">
        <v>1553</v>
      </c>
      <c r="K418" t="s">
        <v>74</v>
      </c>
      <c r="L418" t="s">
        <v>74</v>
      </c>
      <c r="M418" t="s">
        <v>80</v>
      </c>
      <c r="N418" t="s">
        <v>138</v>
      </c>
      <c r="O418" t="s">
        <v>74</v>
      </c>
      <c r="P418" t="s">
        <v>74</v>
      </c>
      <c r="Q418" t="s">
        <v>74</v>
      </c>
      <c r="R418" t="s">
        <v>74</v>
      </c>
      <c r="S418" t="s">
        <v>74</v>
      </c>
      <c r="T418" t="s">
        <v>8530</v>
      </c>
      <c r="U418" t="s">
        <v>8531</v>
      </c>
      <c r="V418" t="s">
        <v>8532</v>
      </c>
      <c r="W418" t="s">
        <v>8533</v>
      </c>
      <c r="X418" t="s">
        <v>8534</v>
      </c>
      <c r="Y418" t="s">
        <v>8535</v>
      </c>
      <c r="Z418" t="s">
        <v>8536</v>
      </c>
      <c r="AA418" t="s">
        <v>8537</v>
      </c>
      <c r="AB418" t="s">
        <v>8538</v>
      </c>
      <c r="AC418" t="s">
        <v>8539</v>
      </c>
      <c r="AD418" t="s">
        <v>8540</v>
      </c>
      <c r="AE418" t="s">
        <v>8541</v>
      </c>
      <c r="AF418" t="s">
        <v>74</v>
      </c>
      <c r="AG418">
        <v>70</v>
      </c>
      <c r="AH418">
        <v>26</v>
      </c>
      <c r="AI418">
        <v>26</v>
      </c>
      <c r="AJ418">
        <v>0</v>
      </c>
      <c r="AK418">
        <v>6</v>
      </c>
      <c r="AL418" t="s">
        <v>1264</v>
      </c>
      <c r="AM418" t="s">
        <v>1265</v>
      </c>
      <c r="AN418" t="s">
        <v>1266</v>
      </c>
      <c r="AO418" t="s">
        <v>1566</v>
      </c>
      <c r="AP418" t="s">
        <v>1567</v>
      </c>
      <c r="AQ418" t="s">
        <v>74</v>
      </c>
      <c r="AR418" t="s">
        <v>1568</v>
      </c>
      <c r="AS418" t="s">
        <v>1569</v>
      </c>
      <c r="AT418" t="s">
        <v>3457</v>
      </c>
      <c r="AU418">
        <v>2019</v>
      </c>
      <c r="AV418">
        <v>124</v>
      </c>
      <c r="AW418">
        <v>11</v>
      </c>
      <c r="AX418" t="s">
        <v>74</v>
      </c>
      <c r="AY418" t="s">
        <v>74</v>
      </c>
      <c r="AZ418" t="s">
        <v>74</v>
      </c>
      <c r="BA418" t="s">
        <v>74</v>
      </c>
      <c r="BB418">
        <v>8488</v>
      </c>
      <c r="BC418">
        <v>8506</v>
      </c>
      <c r="BD418" t="s">
        <v>74</v>
      </c>
      <c r="BE418" t="s">
        <v>8542</v>
      </c>
      <c r="BF418" t="str">
        <f>HYPERLINK("http://dx.doi.org/10.1029/2018JA026401","http://dx.doi.org/10.1029/2018JA026401")</f>
        <v>http://dx.doi.org/10.1029/2018JA026401</v>
      </c>
      <c r="BG418" t="s">
        <v>74</v>
      </c>
      <c r="BH418" t="s">
        <v>6368</v>
      </c>
      <c r="BI418">
        <v>19</v>
      </c>
      <c r="BJ418" t="s">
        <v>1571</v>
      </c>
      <c r="BK418" t="s">
        <v>294</v>
      </c>
      <c r="BL418" t="s">
        <v>1571</v>
      </c>
      <c r="BM418" t="s">
        <v>6850</v>
      </c>
      <c r="BN418" t="s">
        <v>74</v>
      </c>
      <c r="BO418" t="s">
        <v>8543</v>
      </c>
      <c r="BP418" t="s">
        <v>74</v>
      </c>
      <c r="BQ418" t="s">
        <v>74</v>
      </c>
      <c r="BR418" t="s">
        <v>108</v>
      </c>
      <c r="BS418" t="s">
        <v>8544</v>
      </c>
      <c r="BT418" t="str">
        <f>HYPERLINK("https%3A%2F%2Fwww.webofscience.com%2Fwos%2Fwoscc%2Ffull-record%2FWOS:000494922900001","View Full Record in Web of Science")</f>
        <v>View Full Record in Web of Science</v>
      </c>
    </row>
    <row r="419" spans="1:72" x14ac:dyDescent="0.15">
      <c r="A419" t="s">
        <v>133</v>
      </c>
      <c r="B419" t="s">
        <v>8545</v>
      </c>
      <c r="C419" t="s">
        <v>74</v>
      </c>
      <c r="D419" t="s">
        <v>74</v>
      </c>
      <c r="E419" t="s">
        <v>74</v>
      </c>
      <c r="F419" t="s">
        <v>8546</v>
      </c>
      <c r="G419" t="s">
        <v>74</v>
      </c>
      <c r="H419" t="s">
        <v>74</v>
      </c>
      <c r="I419" t="s">
        <v>8547</v>
      </c>
      <c r="J419" t="s">
        <v>1487</v>
      </c>
      <c r="K419" t="s">
        <v>74</v>
      </c>
      <c r="L419" t="s">
        <v>74</v>
      </c>
      <c r="M419" t="s">
        <v>80</v>
      </c>
      <c r="N419" t="s">
        <v>138</v>
      </c>
      <c r="O419" t="s">
        <v>74</v>
      </c>
      <c r="P419" t="s">
        <v>74</v>
      </c>
      <c r="Q419" t="s">
        <v>74</v>
      </c>
      <c r="R419" t="s">
        <v>74</v>
      </c>
      <c r="S419" t="s">
        <v>74</v>
      </c>
      <c r="T419" t="s">
        <v>8548</v>
      </c>
      <c r="U419" t="s">
        <v>8549</v>
      </c>
      <c r="V419" t="s">
        <v>8550</v>
      </c>
      <c r="W419" t="s">
        <v>8551</v>
      </c>
      <c r="X419" t="s">
        <v>8552</v>
      </c>
      <c r="Y419" t="s">
        <v>8553</v>
      </c>
      <c r="Z419" t="s">
        <v>8554</v>
      </c>
      <c r="AA419" t="s">
        <v>74</v>
      </c>
      <c r="AB419" t="s">
        <v>8555</v>
      </c>
      <c r="AC419" t="s">
        <v>8556</v>
      </c>
      <c r="AD419" t="s">
        <v>8557</v>
      </c>
      <c r="AE419" t="s">
        <v>8558</v>
      </c>
      <c r="AF419" t="s">
        <v>74</v>
      </c>
      <c r="AG419">
        <v>77</v>
      </c>
      <c r="AH419">
        <v>23</v>
      </c>
      <c r="AI419">
        <v>24</v>
      </c>
      <c r="AJ419">
        <v>1</v>
      </c>
      <c r="AK419">
        <v>18</v>
      </c>
      <c r="AL419" t="s">
        <v>1264</v>
      </c>
      <c r="AM419" t="s">
        <v>1265</v>
      </c>
      <c r="AN419" t="s">
        <v>1266</v>
      </c>
      <c r="AO419" t="s">
        <v>1500</v>
      </c>
      <c r="AP419" t="s">
        <v>1501</v>
      </c>
      <c r="AQ419" t="s">
        <v>74</v>
      </c>
      <c r="AR419" t="s">
        <v>1502</v>
      </c>
      <c r="AS419" t="s">
        <v>1503</v>
      </c>
      <c r="AT419" t="s">
        <v>7767</v>
      </c>
      <c r="AU419">
        <v>2019</v>
      </c>
      <c r="AV419">
        <v>124</v>
      </c>
      <c r="AW419">
        <v>21</v>
      </c>
      <c r="AX419" t="s">
        <v>74</v>
      </c>
      <c r="AY419" t="s">
        <v>74</v>
      </c>
      <c r="AZ419" t="s">
        <v>74</v>
      </c>
      <c r="BA419" t="s">
        <v>74</v>
      </c>
      <c r="BB419">
        <v>11452</v>
      </c>
      <c r="BC419">
        <v>11476</v>
      </c>
      <c r="BD419" t="s">
        <v>74</v>
      </c>
      <c r="BE419" t="s">
        <v>8559</v>
      </c>
      <c r="BF419" t="str">
        <f>HYPERLINK("http://dx.doi.org/10.1029/2019JD031028","http://dx.doi.org/10.1029/2019JD031028")</f>
        <v>http://dx.doi.org/10.1029/2019JD031028</v>
      </c>
      <c r="BG419" t="s">
        <v>74</v>
      </c>
      <c r="BH419" t="s">
        <v>6368</v>
      </c>
      <c r="BI419">
        <v>25</v>
      </c>
      <c r="BJ419" t="s">
        <v>1024</v>
      </c>
      <c r="BK419" t="s">
        <v>294</v>
      </c>
      <c r="BL419" t="s">
        <v>1024</v>
      </c>
      <c r="BM419" t="s">
        <v>8525</v>
      </c>
      <c r="BN419" t="s">
        <v>74</v>
      </c>
      <c r="BO419" t="s">
        <v>1482</v>
      </c>
      <c r="BP419" t="s">
        <v>74</v>
      </c>
      <c r="BQ419" t="s">
        <v>74</v>
      </c>
      <c r="BR419" t="s">
        <v>108</v>
      </c>
      <c r="BS419" t="s">
        <v>8560</v>
      </c>
      <c r="BT419" t="str">
        <f>HYPERLINK("https%3A%2F%2Fwww.webofscience.com%2Fwos%2Fwoscc%2Ffull-record%2FWOS:000494997700001","View Full Record in Web of Science")</f>
        <v>View Full Record in Web of Science</v>
      </c>
    </row>
    <row r="420" spans="1:72" x14ac:dyDescent="0.15">
      <c r="A420" t="s">
        <v>133</v>
      </c>
      <c r="B420" t="s">
        <v>8561</v>
      </c>
      <c r="C420" t="s">
        <v>74</v>
      </c>
      <c r="D420" t="s">
        <v>74</v>
      </c>
      <c r="E420" t="s">
        <v>74</v>
      </c>
      <c r="F420" t="s">
        <v>8562</v>
      </c>
      <c r="G420" t="s">
        <v>74</v>
      </c>
      <c r="H420" t="s">
        <v>74</v>
      </c>
      <c r="I420" t="s">
        <v>8563</v>
      </c>
      <c r="J420" t="s">
        <v>1928</v>
      </c>
      <c r="K420" t="s">
        <v>74</v>
      </c>
      <c r="L420" t="s">
        <v>74</v>
      </c>
      <c r="M420" t="s">
        <v>80</v>
      </c>
      <c r="N420" t="s">
        <v>138</v>
      </c>
      <c r="O420" t="s">
        <v>74</v>
      </c>
      <c r="P420" t="s">
        <v>74</v>
      </c>
      <c r="Q420" t="s">
        <v>74</v>
      </c>
      <c r="R420" t="s">
        <v>74</v>
      </c>
      <c r="S420" t="s">
        <v>74</v>
      </c>
      <c r="T420" t="s">
        <v>8564</v>
      </c>
      <c r="U420" t="s">
        <v>8565</v>
      </c>
      <c r="V420" t="s">
        <v>8566</v>
      </c>
      <c r="W420" t="s">
        <v>8567</v>
      </c>
      <c r="X420" t="s">
        <v>8568</v>
      </c>
      <c r="Y420" t="s">
        <v>8569</v>
      </c>
      <c r="Z420" t="s">
        <v>8570</v>
      </c>
      <c r="AA420" t="s">
        <v>8571</v>
      </c>
      <c r="AB420" t="s">
        <v>8572</v>
      </c>
      <c r="AC420" t="s">
        <v>8573</v>
      </c>
      <c r="AD420" t="s">
        <v>8574</v>
      </c>
      <c r="AE420" t="s">
        <v>8575</v>
      </c>
      <c r="AF420" t="s">
        <v>74</v>
      </c>
      <c r="AG420">
        <v>149</v>
      </c>
      <c r="AH420">
        <v>26</v>
      </c>
      <c r="AI420">
        <v>31</v>
      </c>
      <c r="AJ420">
        <v>8</v>
      </c>
      <c r="AK420">
        <v>52</v>
      </c>
      <c r="AL420" t="s">
        <v>1264</v>
      </c>
      <c r="AM420" t="s">
        <v>1265</v>
      </c>
      <c r="AN420" t="s">
        <v>1266</v>
      </c>
      <c r="AO420" t="s">
        <v>1940</v>
      </c>
      <c r="AP420" t="s">
        <v>1941</v>
      </c>
      <c r="AQ420" t="s">
        <v>74</v>
      </c>
      <c r="AR420" t="s">
        <v>1942</v>
      </c>
      <c r="AS420" t="s">
        <v>1943</v>
      </c>
      <c r="AT420" t="s">
        <v>3457</v>
      </c>
      <c r="AU420">
        <v>2019</v>
      </c>
      <c r="AV420">
        <v>124</v>
      </c>
      <c r="AW420">
        <v>11</v>
      </c>
      <c r="AX420" t="s">
        <v>74</v>
      </c>
      <c r="AY420" t="s">
        <v>74</v>
      </c>
      <c r="AZ420" t="s">
        <v>74</v>
      </c>
      <c r="BA420" t="s">
        <v>74</v>
      </c>
      <c r="BB420">
        <v>7375</v>
      </c>
      <c r="BC420">
        <v>7399</v>
      </c>
      <c r="BD420" t="s">
        <v>74</v>
      </c>
      <c r="BE420" t="s">
        <v>8576</v>
      </c>
      <c r="BF420" t="str">
        <f>HYPERLINK("http://dx.doi.org/10.1029/2019JC015295","http://dx.doi.org/10.1029/2019JC015295")</f>
        <v>http://dx.doi.org/10.1029/2019JC015295</v>
      </c>
      <c r="BG420" t="s">
        <v>74</v>
      </c>
      <c r="BH420" t="s">
        <v>6368</v>
      </c>
      <c r="BI420">
        <v>25</v>
      </c>
      <c r="BJ420" t="s">
        <v>1945</v>
      </c>
      <c r="BK420" t="s">
        <v>294</v>
      </c>
      <c r="BL420" t="s">
        <v>1945</v>
      </c>
      <c r="BM420" t="s">
        <v>6369</v>
      </c>
      <c r="BN420" t="s">
        <v>74</v>
      </c>
      <c r="BO420" t="s">
        <v>1740</v>
      </c>
      <c r="BP420" t="s">
        <v>74</v>
      </c>
      <c r="BQ420" t="s">
        <v>74</v>
      </c>
      <c r="BR420" t="s">
        <v>108</v>
      </c>
      <c r="BS420" t="s">
        <v>8577</v>
      </c>
      <c r="BT420" t="str">
        <f>HYPERLINK("https%3A%2F%2Fwww.webofscience.com%2Fwos%2Fwoscc%2Ffull-record%2FWOS:000494920600001","View Full Record in Web of Science")</f>
        <v>View Full Record in Web of Science</v>
      </c>
    </row>
    <row r="421" spans="1:72" x14ac:dyDescent="0.15">
      <c r="A421" t="s">
        <v>133</v>
      </c>
      <c r="B421" t="s">
        <v>8578</v>
      </c>
      <c r="C421" t="s">
        <v>74</v>
      </c>
      <c r="D421" t="s">
        <v>74</v>
      </c>
      <c r="E421" t="s">
        <v>74</v>
      </c>
      <c r="F421" t="s">
        <v>8579</v>
      </c>
      <c r="G421" t="s">
        <v>74</v>
      </c>
      <c r="H421" t="s">
        <v>74</v>
      </c>
      <c r="I421" t="s">
        <v>8580</v>
      </c>
      <c r="J421" t="s">
        <v>1553</v>
      </c>
      <c r="K421" t="s">
        <v>74</v>
      </c>
      <c r="L421" t="s">
        <v>74</v>
      </c>
      <c r="M421" t="s">
        <v>80</v>
      </c>
      <c r="N421" t="s">
        <v>138</v>
      </c>
      <c r="O421" t="s">
        <v>74</v>
      </c>
      <c r="P421" t="s">
        <v>74</v>
      </c>
      <c r="Q421" t="s">
        <v>74</v>
      </c>
      <c r="R421" t="s">
        <v>74</v>
      </c>
      <c r="S421" t="s">
        <v>74</v>
      </c>
      <c r="T421" t="s">
        <v>8581</v>
      </c>
      <c r="U421" t="s">
        <v>8582</v>
      </c>
      <c r="V421" t="s">
        <v>8583</v>
      </c>
      <c r="W421" t="s">
        <v>8584</v>
      </c>
      <c r="X421" t="s">
        <v>8585</v>
      </c>
      <c r="Y421" t="s">
        <v>8586</v>
      </c>
      <c r="Z421" t="s">
        <v>8587</v>
      </c>
      <c r="AA421" t="s">
        <v>7229</v>
      </c>
      <c r="AB421" t="s">
        <v>8588</v>
      </c>
      <c r="AC421" t="s">
        <v>8589</v>
      </c>
      <c r="AD421" t="s">
        <v>8590</v>
      </c>
      <c r="AE421" t="s">
        <v>8591</v>
      </c>
      <c r="AF421" t="s">
        <v>74</v>
      </c>
      <c r="AG421">
        <v>45</v>
      </c>
      <c r="AH421">
        <v>0</v>
      </c>
      <c r="AI421">
        <v>0</v>
      </c>
      <c r="AJ421">
        <v>0</v>
      </c>
      <c r="AK421">
        <v>2</v>
      </c>
      <c r="AL421" t="s">
        <v>1264</v>
      </c>
      <c r="AM421" t="s">
        <v>1265</v>
      </c>
      <c r="AN421" t="s">
        <v>1266</v>
      </c>
      <c r="AO421" t="s">
        <v>1566</v>
      </c>
      <c r="AP421" t="s">
        <v>1567</v>
      </c>
      <c r="AQ421" t="s">
        <v>74</v>
      </c>
      <c r="AR421" t="s">
        <v>1568</v>
      </c>
      <c r="AS421" t="s">
        <v>1569</v>
      </c>
      <c r="AT421" t="s">
        <v>3457</v>
      </c>
      <c r="AU421">
        <v>2019</v>
      </c>
      <c r="AV421">
        <v>124</v>
      </c>
      <c r="AW421">
        <v>11</v>
      </c>
      <c r="AX421" t="s">
        <v>74</v>
      </c>
      <c r="AY421" t="s">
        <v>74</v>
      </c>
      <c r="AZ421" t="s">
        <v>74</v>
      </c>
      <c r="BA421" t="s">
        <v>74</v>
      </c>
      <c r="BB421">
        <v>9253</v>
      </c>
      <c r="BC421">
        <v>9269</v>
      </c>
      <c r="BD421" t="s">
        <v>74</v>
      </c>
      <c r="BE421" t="s">
        <v>8592</v>
      </c>
      <c r="BF421" t="str">
        <f>HYPERLINK("http://dx.doi.org/10.1029/2019JA027033","http://dx.doi.org/10.1029/2019JA027033")</f>
        <v>http://dx.doi.org/10.1029/2019JA027033</v>
      </c>
      <c r="BG421" t="s">
        <v>74</v>
      </c>
      <c r="BH421" t="s">
        <v>6368</v>
      </c>
      <c r="BI421">
        <v>17</v>
      </c>
      <c r="BJ421" t="s">
        <v>1571</v>
      </c>
      <c r="BK421" t="s">
        <v>294</v>
      </c>
      <c r="BL421" t="s">
        <v>1571</v>
      </c>
      <c r="BM421" t="s">
        <v>6850</v>
      </c>
      <c r="BN421" t="s">
        <v>74</v>
      </c>
      <c r="BO421" t="s">
        <v>638</v>
      </c>
      <c r="BP421" t="s">
        <v>74</v>
      </c>
      <c r="BQ421" t="s">
        <v>74</v>
      </c>
      <c r="BR421" t="s">
        <v>108</v>
      </c>
      <c r="BS421" t="s">
        <v>8593</v>
      </c>
      <c r="BT421" t="str">
        <f>HYPERLINK("https%3A%2F%2Fwww.webofscience.com%2Fwos%2Fwoscc%2Ffull-record%2FWOS:000494920300001","View Full Record in Web of Science")</f>
        <v>View Full Record in Web of Science</v>
      </c>
    </row>
    <row r="422" spans="1:72" x14ac:dyDescent="0.15">
      <c r="A422" t="s">
        <v>133</v>
      </c>
      <c r="B422" t="s">
        <v>8594</v>
      </c>
      <c r="C422" t="s">
        <v>74</v>
      </c>
      <c r="D422" t="s">
        <v>74</v>
      </c>
      <c r="E422" t="s">
        <v>74</v>
      </c>
      <c r="F422" t="s">
        <v>8595</v>
      </c>
      <c r="G422" t="s">
        <v>74</v>
      </c>
      <c r="H422" t="s">
        <v>74</v>
      </c>
      <c r="I422" t="s">
        <v>8596</v>
      </c>
      <c r="J422" t="s">
        <v>1462</v>
      </c>
      <c r="K422" t="s">
        <v>74</v>
      </c>
      <c r="L422" t="s">
        <v>74</v>
      </c>
      <c r="M422" t="s">
        <v>80</v>
      </c>
      <c r="N422" t="s">
        <v>138</v>
      </c>
      <c r="O422" t="s">
        <v>74</v>
      </c>
      <c r="P422" t="s">
        <v>74</v>
      </c>
      <c r="Q422" t="s">
        <v>74</v>
      </c>
      <c r="R422" t="s">
        <v>74</v>
      </c>
      <c r="S422" t="s">
        <v>74</v>
      </c>
      <c r="T422" t="s">
        <v>74</v>
      </c>
      <c r="U422" t="s">
        <v>8597</v>
      </c>
      <c r="V422" t="s">
        <v>8598</v>
      </c>
      <c r="W422" t="s">
        <v>8599</v>
      </c>
      <c r="X422" t="s">
        <v>8600</v>
      </c>
      <c r="Y422" t="s">
        <v>8601</v>
      </c>
      <c r="Z422" t="s">
        <v>8602</v>
      </c>
      <c r="AA422" t="s">
        <v>74</v>
      </c>
      <c r="AB422" t="s">
        <v>8603</v>
      </c>
      <c r="AC422" t="s">
        <v>74</v>
      </c>
      <c r="AD422" t="s">
        <v>74</v>
      </c>
      <c r="AE422" t="s">
        <v>74</v>
      </c>
      <c r="AF422" t="s">
        <v>74</v>
      </c>
      <c r="AG422">
        <v>49</v>
      </c>
      <c r="AH422">
        <v>4</v>
      </c>
      <c r="AI422">
        <v>4</v>
      </c>
      <c r="AJ422">
        <v>0</v>
      </c>
      <c r="AK422">
        <v>6</v>
      </c>
      <c r="AL422" t="s">
        <v>1264</v>
      </c>
      <c r="AM422" t="s">
        <v>1265</v>
      </c>
      <c r="AN422" t="s">
        <v>1266</v>
      </c>
      <c r="AO422" t="s">
        <v>1475</v>
      </c>
      <c r="AP422" t="s">
        <v>1476</v>
      </c>
      <c r="AQ422" t="s">
        <v>74</v>
      </c>
      <c r="AR422" t="s">
        <v>1477</v>
      </c>
      <c r="AS422" t="s">
        <v>1478</v>
      </c>
      <c r="AT422" t="s">
        <v>7767</v>
      </c>
      <c r="AU422">
        <v>2019</v>
      </c>
      <c r="AV422">
        <v>46</v>
      </c>
      <c r="AW422">
        <v>21</v>
      </c>
      <c r="AX422" t="s">
        <v>74</v>
      </c>
      <c r="AY422" t="s">
        <v>74</v>
      </c>
      <c r="AZ422" t="s">
        <v>74</v>
      </c>
      <c r="BA422" t="s">
        <v>74</v>
      </c>
      <c r="BB422">
        <v>11756</v>
      </c>
      <c r="BC422">
        <v>11763</v>
      </c>
      <c r="BD422" t="s">
        <v>74</v>
      </c>
      <c r="BE422" t="s">
        <v>8604</v>
      </c>
      <c r="BF422" t="str">
        <f>HYPERLINK("http://dx.doi.org/10.1029/2019GL084033","http://dx.doi.org/10.1029/2019GL084033")</f>
        <v>http://dx.doi.org/10.1029/2019GL084033</v>
      </c>
      <c r="BG422" t="s">
        <v>74</v>
      </c>
      <c r="BH422" t="s">
        <v>6368</v>
      </c>
      <c r="BI422">
        <v>8</v>
      </c>
      <c r="BJ422" t="s">
        <v>849</v>
      </c>
      <c r="BK422" t="s">
        <v>294</v>
      </c>
      <c r="BL422" t="s">
        <v>850</v>
      </c>
      <c r="BM422" t="s">
        <v>7769</v>
      </c>
      <c r="BN422" t="s">
        <v>74</v>
      </c>
      <c r="BO422" t="s">
        <v>2403</v>
      </c>
      <c r="BP422" t="s">
        <v>74</v>
      </c>
      <c r="BQ422" t="s">
        <v>74</v>
      </c>
      <c r="BR422" t="s">
        <v>108</v>
      </c>
      <c r="BS422" t="s">
        <v>8605</v>
      </c>
      <c r="BT422" t="str">
        <f>HYPERLINK("https%3A%2F%2Fwww.webofscience.com%2Fwos%2Fwoscc%2Ffull-record%2FWOS:000494950000001","View Full Record in Web of Science")</f>
        <v>View Full Record in Web of Science</v>
      </c>
    </row>
    <row r="423" spans="1:72" x14ac:dyDescent="0.15">
      <c r="A423" t="s">
        <v>133</v>
      </c>
      <c r="B423" t="s">
        <v>8606</v>
      </c>
      <c r="C423" t="s">
        <v>74</v>
      </c>
      <c r="D423" t="s">
        <v>74</v>
      </c>
      <c r="E423" t="s">
        <v>74</v>
      </c>
      <c r="F423" t="s">
        <v>8607</v>
      </c>
      <c r="G423" t="s">
        <v>74</v>
      </c>
      <c r="H423" t="s">
        <v>74</v>
      </c>
      <c r="I423" t="s">
        <v>8608</v>
      </c>
      <c r="J423" t="s">
        <v>2723</v>
      </c>
      <c r="K423" t="s">
        <v>74</v>
      </c>
      <c r="L423" t="s">
        <v>74</v>
      </c>
      <c r="M423" t="s">
        <v>80</v>
      </c>
      <c r="N423" t="s">
        <v>138</v>
      </c>
      <c r="O423" t="s">
        <v>74</v>
      </c>
      <c r="P423" t="s">
        <v>74</v>
      </c>
      <c r="Q423" t="s">
        <v>74</v>
      </c>
      <c r="R423" t="s">
        <v>74</v>
      </c>
      <c r="S423" t="s">
        <v>74</v>
      </c>
      <c r="T423" t="s">
        <v>8609</v>
      </c>
      <c r="U423" t="s">
        <v>74</v>
      </c>
      <c r="V423" t="s">
        <v>8610</v>
      </c>
      <c r="W423" t="s">
        <v>8611</v>
      </c>
      <c r="X423" t="s">
        <v>8612</v>
      </c>
      <c r="Y423" t="s">
        <v>8613</v>
      </c>
      <c r="Z423" t="s">
        <v>8614</v>
      </c>
      <c r="AA423" t="s">
        <v>74</v>
      </c>
      <c r="AB423" t="s">
        <v>74</v>
      </c>
      <c r="AC423" t="s">
        <v>8615</v>
      </c>
      <c r="AD423" t="s">
        <v>8616</v>
      </c>
      <c r="AE423" t="s">
        <v>8617</v>
      </c>
      <c r="AF423" t="s">
        <v>74</v>
      </c>
      <c r="AG423">
        <v>31</v>
      </c>
      <c r="AH423">
        <v>18</v>
      </c>
      <c r="AI423">
        <v>18</v>
      </c>
      <c r="AJ423">
        <v>2</v>
      </c>
      <c r="AK423">
        <v>33</v>
      </c>
      <c r="AL423" t="s">
        <v>2587</v>
      </c>
      <c r="AM423" t="s">
        <v>2588</v>
      </c>
      <c r="AN423" t="s">
        <v>2589</v>
      </c>
      <c r="AO423" t="s">
        <v>74</v>
      </c>
      <c r="AP423" t="s">
        <v>2734</v>
      </c>
      <c r="AQ423" t="s">
        <v>74</v>
      </c>
      <c r="AR423" t="s">
        <v>2735</v>
      </c>
      <c r="AS423" t="s">
        <v>2736</v>
      </c>
      <c r="AT423" t="s">
        <v>8618</v>
      </c>
      <c r="AU423">
        <v>2019</v>
      </c>
      <c r="AV423">
        <v>6</v>
      </c>
      <c r="AW423" t="s">
        <v>74</v>
      </c>
      <c r="AX423" t="s">
        <v>74</v>
      </c>
      <c r="AY423" t="s">
        <v>74</v>
      </c>
      <c r="AZ423" t="s">
        <v>74</v>
      </c>
      <c r="BA423" t="s">
        <v>74</v>
      </c>
      <c r="BB423" t="s">
        <v>74</v>
      </c>
      <c r="BC423" t="s">
        <v>74</v>
      </c>
      <c r="BD423">
        <v>663</v>
      </c>
      <c r="BE423" t="s">
        <v>8619</v>
      </c>
      <c r="BF423" t="str">
        <f>HYPERLINK("http://dx.doi.org/10.3389/fmars.2019.00663","http://dx.doi.org/10.3389/fmars.2019.00663")</f>
        <v>http://dx.doi.org/10.3389/fmars.2019.00663</v>
      </c>
      <c r="BG423" t="s">
        <v>74</v>
      </c>
      <c r="BH423" t="s">
        <v>74</v>
      </c>
      <c r="BI423">
        <v>12</v>
      </c>
      <c r="BJ423" t="s">
        <v>2738</v>
      </c>
      <c r="BK423" t="s">
        <v>294</v>
      </c>
      <c r="BL423" t="s">
        <v>2739</v>
      </c>
      <c r="BM423" t="s">
        <v>8620</v>
      </c>
      <c r="BN423" t="s">
        <v>74</v>
      </c>
      <c r="BO423" t="s">
        <v>361</v>
      </c>
      <c r="BP423" t="s">
        <v>74</v>
      </c>
      <c r="BQ423" t="s">
        <v>74</v>
      </c>
      <c r="BR423" t="s">
        <v>108</v>
      </c>
      <c r="BS423" t="s">
        <v>8621</v>
      </c>
      <c r="BT423" t="str">
        <f>HYPERLINK("https%3A%2F%2Fwww.webofscience.com%2Fwos%2Fwoscc%2Ffull-record%2FWOS:000494856800001","View Full Record in Web of Science")</f>
        <v>View Full Record in Web of Science</v>
      </c>
    </row>
    <row r="424" spans="1:72" x14ac:dyDescent="0.15">
      <c r="A424" t="s">
        <v>133</v>
      </c>
      <c r="B424" t="s">
        <v>8622</v>
      </c>
      <c r="C424" t="s">
        <v>74</v>
      </c>
      <c r="D424" t="s">
        <v>74</v>
      </c>
      <c r="E424" t="s">
        <v>74</v>
      </c>
      <c r="F424" t="s">
        <v>8623</v>
      </c>
      <c r="G424" t="s">
        <v>74</v>
      </c>
      <c r="H424" t="s">
        <v>74</v>
      </c>
      <c r="I424" t="s">
        <v>8624</v>
      </c>
      <c r="J424" t="s">
        <v>8625</v>
      </c>
      <c r="K424" t="s">
        <v>74</v>
      </c>
      <c r="L424" t="s">
        <v>74</v>
      </c>
      <c r="M424" t="s">
        <v>80</v>
      </c>
      <c r="N424" t="s">
        <v>1333</v>
      </c>
      <c r="O424" t="s">
        <v>74</v>
      </c>
      <c r="P424" t="s">
        <v>74</v>
      </c>
      <c r="Q424" t="s">
        <v>74</v>
      </c>
      <c r="R424" t="s">
        <v>74</v>
      </c>
      <c r="S424" t="s">
        <v>74</v>
      </c>
      <c r="T424" t="s">
        <v>74</v>
      </c>
      <c r="U424" t="s">
        <v>8626</v>
      </c>
      <c r="V424" t="s">
        <v>74</v>
      </c>
      <c r="W424" t="s">
        <v>8627</v>
      </c>
      <c r="X424" t="s">
        <v>8628</v>
      </c>
      <c r="Y424" t="s">
        <v>8629</v>
      </c>
      <c r="Z424" t="s">
        <v>8630</v>
      </c>
      <c r="AA424" t="s">
        <v>74</v>
      </c>
      <c r="AB424" t="s">
        <v>74</v>
      </c>
      <c r="AC424" t="s">
        <v>74</v>
      </c>
      <c r="AD424" t="s">
        <v>74</v>
      </c>
      <c r="AE424" t="s">
        <v>74</v>
      </c>
      <c r="AF424" t="s">
        <v>74</v>
      </c>
      <c r="AG424">
        <v>20</v>
      </c>
      <c r="AH424">
        <v>15</v>
      </c>
      <c r="AI424">
        <v>17</v>
      </c>
      <c r="AJ424">
        <v>7</v>
      </c>
      <c r="AK424">
        <v>51</v>
      </c>
      <c r="AL424" t="s">
        <v>2038</v>
      </c>
      <c r="AM424" t="s">
        <v>1730</v>
      </c>
      <c r="AN424" t="s">
        <v>2039</v>
      </c>
      <c r="AO424" t="s">
        <v>8631</v>
      </c>
      <c r="AP424" t="s">
        <v>8632</v>
      </c>
      <c r="AQ424" t="s">
        <v>74</v>
      </c>
      <c r="AR424" t="s">
        <v>8625</v>
      </c>
      <c r="AS424" t="s">
        <v>8633</v>
      </c>
      <c r="AT424" t="s">
        <v>8618</v>
      </c>
      <c r="AU424">
        <v>2019</v>
      </c>
      <c r="AV424">
        <v>575</v>
      </c>
      <c r="AW424">
        <v>7781</v>
      </c>
      <c r="AX424" t="s">
        <v>74</v>
      </c>
      <c r="AY424" t="s">
        <v>74</v>
      </c>
      <c r="AZ424" t="s">
        <v>74</v>
      </c>
      <c r="BA424" t="s">
        <v>74</v>
      </c>
      <c r="BB424">
        <v>46</v>
      </c>
      <c r="BC424">
        <v>47</v>
      </c>
      <c r="BD424" t="s">
        <v>74</v>
      </c>
      <c r="BE424" t="s">
        <v>8634</v>
      </c>
      <c r="BF424" t="str">
        <f>HYPERLINK("http://dx.doi.org/10.1038/d41586-019-02837-5","http://dx.doi.org/10.1038/d41586-019-02837-5")</f>
        <v>http://dx.doi.org/10.1038/d41586-019-02837-5</v>
      </c>
      <c r="BG424" t="s">
        <v>74</v>
      </c>
      <c r="BH424" t="s">
        <v>74</v>
      </c>
      <c r="BI424">
        <v>2</v>
      </c>
      <c r="BJ424" t="s">
        <v>1245</v>
      </c>
      <c r="BK424" t="s">
        <v>360</v>
      </c>
      <c r="BL424" t="s">
        <v>1246</v>
      </c>
      <c r="BM424" t="s">
        <v>8635</v>
      </c>
      <c r="BN424">
        <v>31686046</v>
      </c>
      <c r="BO424" t="s">
        <v>74</v>
      </c>
      <c r="BP424" t="s">
        <v>74</v>
      </c>
      <c r="BQ424" t="s">
        <v>74</v>
      </c>
      <c r="BR424" t="s">
        <v>108</v>
      </c>
      <c r="BS424" t="s">
        <v>8636</v>
      </c>
      <c r="BT424" t="str">
        <f>HYPERLINK("https%3A%2F%2Fwww.webofscience.com%2Fwos%2Fwoscc%2Ffull-record%2FWOS:000496159900027","View Full Record in Web of Science")</f>
        <v>View Full Record in Web of Science</v>
      </c>
    </row>
    <row r="425" spans="1:72" x14ac:dyDescent="0.15">
      <c r="A425" t="s">
        <v>133</v>
      </c>
      <c r="B425" t="s">
        <v>8637</v>
      </c>
      <c r="C425" t="s">
        <v>74</v>
      </c>
      <c r="D425" t="s">
        <v>74</v>
      </c>
      <c r="E425" t="s">
        <v>74</v>
      </c>
      <c r="F425" t="s">
        <v>8638</v>
      </c>
      <c r="G425" t="s">
        <v>74</v>
      </c>
      <c r="H425" t="s">
        <v>74</v>
      </c>
      <c r="I425" t="s">
        <v>8639</v>
      </c>
      <c r="J425" t="s">
        <v>8640</v>
      </c>
      <c r="K425" t="s">
        <v>74</v>
      </c>
      <c r="L425" t="s">
        <v>74</v>
      </c>
      <c r="M425" t="s">
        <v>80</v>
      </c>
      <c r="N425" t="s">
        <v>138</v>
      </c>
      <c r="O425" t="s">
        <v>74</v>
      </c>
      <c r="P425" t="s">
        <v>74</v>
      </c>
      <c r="Q425" t="s">
        <v>74</v>
      </c>
      <c r="R425" t="s">
        <v>74</v>
      </c>
      <c r="S425" t="s">
        <v>74</v>
      </c>
      <c r="T425" t="s">
        <v>8641</v>
      </c>
      <c r="U425" t="s">
        <v>8642</v>
      </c>
      <c r="V425" t="s">
        <v>8643</v>
      </c>
      <c r="W425" t="s">
        <v>8644</v>
      </c>
      <c r="X425" t="s">
        <v>8645</v>
      </c>
      <c r="Y425" t="s">
        <v>8646</v>
      </c>
      <c r="Z425" t="s">
        <v>8647</v>
      </c>
      <c r="AA425" t="s">
        <v>74</v>
      </c>
      <c r="AB425" t="s">
        <v>8648</v>
      </c>
      <c r="AC425" t="s">
        <v>74</v>
      </c>
      <c r="AD425" t="s">
        <v>74</v>
      </c>
      <c r="AE425" t="s">
        <v>74</v>
      </c>
      <c r="AF425" t="s">
        <v>74</v>
      </c>
      <c r="AG425">
        <v>56</v>
      </c>
      <c r="AH425">
        <v>4</v>
      </c>
      <c r="AI425">
        <v>5</v>
      </c>
      <c r="AJ425">
        <v>1</v>
      </c>
      <c r="AK425">
        <v>13</v>
      </c>
      <c r="AL425" t="s">
        <v>8649</v>
      </c>
      <c r="AM425" t="s">
        <v>8650</v>
      </c>
      <c r="AN425" t="s">
        <v>8651</v>
      </c>
      <c r="AO425" t="s">
        <v>8652</v>
      </c>
      <c r="AP425" t="s">
        <v>8653</v>
      </c>
      <c r="AQ425" t="s">
        <v>74</v>
      </c>
      <c r="AR425" t="s">
        <v>8654</v>
      </c>
      <c r="AS425" t="s">
        <v>8655</v>
      </c>
      <c r="AT425" t="s">
        <v>291</v>
      </c>
      <c r="AU425">
        <v>2021</v>
      </c>
      <c r="AV425">
        <v>53</v>
      </c>
      <c r="AW425">
        <v>1</v>
      </c>
      <c r="AX425" t="s">
        <v>74</v>
      </c>
      <c r="AY425" t="s">
        <v>74</v>
      </c>
      <c r="AZ425" t="s">
        <v>74</v>
      </c>
      <c r="BA425" t="s">
        <v>74</v>
      </c>
      <c r="BB425">
        <v>91</v>
      </c>
      <c r="BC425">
        <v>116</v>
      </c>
      <c r="BD425">
        <v>13916519886367</v>
      </c>
      <c r="BE425" t="s">
        <v>8656</v>
      </c>
      <c r="BF425" t="str">
        <f>HYPERLINK("http://dx.doi.org/10.1177/0013916519886367","http://dx.doi.org/10.1177/0013916519886367")</f>
        <v>http://dx.doi.org/10.1177/0013916519886367</v>
      </c>
      <c r="BG425" t="s">
        <v>74</v>
      </c>
      <c r="BH425" t="s">
        <v>6368</v>
      </c>
      <c r="BI425">
        <v>26</v>
      </c>
      <c r="BJ425" t="s">
        <v>8657</v>
      </c>
      <c r="BK425" t="s">
        <v>717</v>
      </c>
      <c r="BL425" t="s">
        <v>8658</v>
      </c>
      <c r="BM425" t="s">
        <v>8659</v>
      </c>
      <c r="BN425" t="s">
        <v>74</v>
      </c>
      <c r="BO425" t="s">
        <v>666</v>
      </c>
      <c r="BP425" t="s">
        <v>74</v>
      </c>
      <c r="BQ425" t="s">
        <v>74</v>
      </c>
      <c r="BR425" t="s">
        <v>108</v>
      </c>
      <c r="BS425" t="s">
        <v>8660</v>
      </c>
      <c r="BT425" t="str">
        <f>HYPERLINK("https%3A%2F%2Fwww.webofscience.com%2Fwos%2Fwoscc%2Ffull-record%2FWOS:000496052500001","View Full Record in Web of Science")</f>
        <v>View Full Record in Web of Science</v>
      </c>
    </row>
    <row r="426" spans="1:72" x14ac:dyDescent="0.15">
      <c r="A426" t="s">
        <v>133</v>
      </c>
      <c r="B426" t="s">
        <v>8661</v>
      </c>
      <c r="C426" t="s">
        <v>74</v>
      </c>
      <c r="D426" t="s">
        <v>74</v>
      </c>
      <c r="E426" t="s">
        <v>74</v>
      </c>
      <c r="F426" t="s">
        <v>8662</v>
      </c>
      <c r="G426" t="s">
        <v>74</v>
      </c>
      <c r="H426" t="s">
        <v>74</v>
      </c>
      <c r="I426" t="s">
        <v>8663</v>
      </c>
      <c r="J426" t="s">
        <v>8664</v>
      </c>
      <c r="K426" t="s">
        <v>74</v>
      </c>
      <c r="L426" t="s">
        <v>74</v>
      </c>
      <c r="M426" t="s">
        <v>80</v>
      </c>
      <c r="N426" t="s">
        <v>138</v>
      </c>
      <c r="O426" t="s">
        <v>74</v>
      </c>
      <c r="P426" t="s">
        <v>74</v>
      </c>
      <c r="Q426" t="s">
        <v>74</v>
      </c>
      <c r="R426" t="s">
        <v>74</v>
      </c>
      <c r="S426" t="s">
        <v>74</v>
      </c>
      <c r="T426" t="s">
        <v>8665</v>
      </c>
      <c r="U426" t="s">
        <v>8666</v>
      </c>
      <c r="V426" t="s">
        <v>8667</v>
      </c>
      <c r="W426" t="s">
        <v>8668</v>
      </c>
      <c r="X426" t="s">
        <v>8669</v>
      </c>
      <c r="Y426" t="s">
        <v>8670</v>
      </c>
      <c r="Z426" t="s">
        <v>8671</v>
      </c>
      <c r="AA426" t="s">
        <v>8672</v>
      </c>
      <c r="AB426" t="s">
        <v>8673</v>
      </c>
      <c r="AC426" t="s">
        <v>8674</v>
      </c>
      <c r="AD426" t="s">
        <v>8675</v>
      </c>
      <c r="AE426" t="s">
        <v>8676</v>
      </c>
      <c r="AF426" t="s">
        <v>74</v>
      </c>
      <c r="AG426">
        <v>42</v>
      </c>
      <c r="AH426">
        <v>7</v>
      </c>
      <c r="AI426">
        <v>7</v>
      </c>
      <c r="AJ426">
        <v>2</v>
      </c>
      <c r="AK426">
        <v>28</v>
      </c>
      <c r="AL426" t="s">
        <v>1964</v>
      </c>
      <c r="AM426" t="s">
        <v>1965</v>
      </c>
      <c r="AN426" t="s">
        <v>1966</v>
      </c>
      <c r="AO426" t="s">
        <v>8677</v>
      </c>
      <c r="AP426" t="s">
        <v>8678</v>
      </c>
      <c r="AQ426" t="s">
        <v>74</v>
      </c>
      <c r="AR426" t="s">
        <v>8679</v>
      </c>
      <c r="AS426" t="s">
        <v>8680</v>
      </c>
      <c r="AT426" t="s">
        <v>1405</v>
      </c>
      <c r="AU426">
        <v>2020</v>
      </c>
      <c r="AV426">
        <v>202</v>
      </c>
      <c r="AW426">
        <v>3</v>
      </c>
      <c r="AX426" t="s">
        <v>74</v>
      </c>
      <c r="AY426" t="s">
        <v>74</v>
      </c>
      <c r="AZ426" t="s">
        <v>74</v>
      </c>
      <c r="BA426" t="s">
        <v>74</v>
      </c>
      <c r="BB426">
        <v>447</v>
      </c>
      <c r="BC426">
        <v>454</v>
      </c>
      <c r="BD426" t="s">
        <v>74</v>
      </c>
      <c r="BE426" t="s">
        <v>8681</v>
      </c>
      <c r="BF426" t="str">
        <f>HYPERLINK("http://dx.doi.org/10.1007/s00203-019-01755-4","http://dx.doi.org/10.1007/s00203-019-01755-4")</f>
        <v>http://dx.doi.org/10.1007/s00203-019-01755-4</v>
      </c>
      <c r="BG426" t="s">
        <v>74</v>
      </c>
      <c r="BH426" t="s">
        <v>6368</v>
      </c>
      <c r="BI426">
        <v>8</v>
      </c>
      <c r="BJ426" t="s">
        <v>1713</v>
      </c>
      <c r="BK426" t="s">
        <v>294</v>
      </c>
      <c r="BL426" t="s">
        <v>1713</v>
      </c>
      <c r="BM426" t="s">
        <v>8682</v>
      </c>
      <c r="BN426">
        <v>31691844</v>
      </c>
      <c r="BO426" t="s">
        <v>74</v>
      </c>
      <c r="BP426" t="s">
        <v>74</v>
      </c>
      <c r="BQ426" t="s">
        <v>74</v>
      </c>
      <c r="BR426" t="s">
        <v>108</v>
      </c>
      <c r="BS426" t="s">
        <v>8683</v>
      </c>
      <c r="BT426" t="str">
        <f>HYPERLINK("https%3A%2F%2Fwww.webofscience.com%2Fwos%2Fwoscc%2Ffull-record%2FWOS:000494779700002","View Full Record in Web of Science")</f>
        <v>View Full Record in Web of Science</v>
      </c>
    </row>
    <row r="427" spans="1:72" x14ac:dyDescent="0.15">
      <c r="A427" t="s">
        <v>133</v>
      </c>
      <c r="B427" t="s">
        <v>8684</v>
      </c>
      <c r="C427" t="s">
        <v>74</v>
      </c>
      <c r="D427" t="s">
        <v>74</v>
      </c>
      <c r="E427" t="s">
        <v>74</v>
      </c>
      <c r="F427" t="s">
        <v>8685</v>
      </c>
      <c r="G427" t="s">
        <v>74</v>
      </c>
      <c r="H427" t="s">
        <v>74</v>
      </c>
      <c r="I427" t="s">
        <v>8686</v>
      </c>
      <c r="J427" t="s">
        <v>1388</v>
      </c>
      <c r="K427" t="s">
        <v>74</v>
      </c>
      <c r="L427" t="s">
        <v>74</v>
      </c>
      <c r="M427" t="s">
        <v>80</v>
      </c>
      <c r="N427" t="s">
        <v>138</v>
      </c>
      <c r="O427" t="s">
        <v>74</v>
      </c>
      <c r="P427" t="s">
        <v>74</v>
      </c>
      <c r="Q427" t="s">
        <v>74</v>
      </c>
      <c r="R427" t="s">
        <v>74</v>
      </c>
      <c r="S427" t="s">
        <v>74</v>
      </c>
      <c r="T427" t="s">
        <v>8687</v>
      </c>
      <c r="U427" t="s">
        <v>8688</v>
      </c>
      <c r="V427" t="s">
        <v>8689</v>
      </c>
      <c r="W427" t="s">
        <v>8690</v>
      </c>
      <c r="X427" t="s">
        <v>8612</v>
      </c>
      <c r="Y427" t="s">
        <v>8691</v>
      </c>
      <c r="Z427" t="s">
        <v>8692</v>
      </c>
      <c r="AA427" t="s">
        <v>74</v>
      </c>
      <c r="AB427" t="s">
        <v>8693</v>
      </c>
      <c r="AC427" t="s">
        <v>8694</v>
      </c>
      <c r="AD427" t="s">
        <v>8695</v>
      </c>
      <c r="AE427" t="s">
        <v>8696</v>
      </c>
      <c r="AF427" t="s">
        <v>74</v>
      </c>
      <c r="AG427">
        <v>39</v>
      </c>
      <c r="AH427">
        <v>3</v>
      </c>
      <c r="AI427">
        <v>4</v>
      </c>
      <c r="AJ427">
        <v>0</v>
      </c>
      <c r="AK427">
        <v>5</v>
      </c>
      <c r="AL427" t="s">
        <v>429</v>
      </c>
      <c r="AM427" t="s">
        <v>430</v>
      </c>
      <c r="AN427" t="s">
        <v>431</v>
      </c>
      <c r="AO427" t="s">
        <v>1401</v>
      </c>
      <c r="AP427" t="s">
        <v>1402</v>
      </c>
      <c r="AQ427" t="s">
        <v>74</v>
      </c>
      <c r="AR427" t="s">
        <v>1403</v>
      </c>
      <c r="AS427" t="s">
        <v>1404</v>
      </c>
      <c r="AT427" t="s">
        <v>1405</v>
      </c>
      <c r="AU427">
        <v>2020</v>
      </c>
      <c r="AV427">
        <v>40</v>
      </c>
      <c r="AW427">
        <v>5</v>
      </c>
      <c r="AX427" t="s">
        <v>74</v>
      </c>
      <c r="AY427" t="s">
        <v>74</v>
      </c>
      <c r="AZ427" t="s">
        <v>74</v>
      </c>
      <c r="BA427" t="s">
        <v>74</v>
      </c>
      <c r="BB427">
        <v>2778</v>
      </c>
      <c r="BC427">
        <v>2794</v>
      </c>
      <c r="BD427" t="s">
        <v>74</v>
      </c>
      <c r="BE427" t="s">
        <v>8697</v>
      </c>
      <c r="BF427" t="str">
        <f>HYPERLINK("http://dx.doi.org/10.1002/joc.6366","http://dx.doi.org/10.1002/joc.6366")</f>
        <v>http://dx.doi.org/10.1002/joc.6366</v>
      </c>
      <c r="BG427" t="s">
        <v>74</v>
      </c>
      <c r="BH427" t="s">
        <v>6368</v>
      </c>
      <c r="BI427">
        <v>17</v>
      </c>
      <c r="BJ427" t="s">
        <v>1024</v>
      </c>
      <c r="BK427" t="s">
        <v>294</v>
      </c>
      <c r="BL427" t="s">
        <v>1024</v>
      </c>
      <c r="BM427" t="s">
        <v>1407</v>
      </c>
      <c r="BN427" t="s">
        <v>74</v>
      </c>
      <c r="BO427" t="s">
        <v>638</v>
      </c>
      <c r="BP427" t="s">
        <v>74</v>
      </c>
      <c r="BQ427" t="s">
        <v>74</v>
      </c>
      <c r="BR427" t="s">
        <v>108</v>
      </c>
      <c r="BS427" t="s">
        <v>8698</v>
      </c>
      <c r="BT427" t="str">
        <f>HYPERLINK("https%3A%2F%2Fwww.webofscience.com%2Fwos%2Fwoscc%2Ffull-record%2FWOS:000494649700001","View Full Record in Web of Science")</f>
        <v>View Full Record in Web of Science</v>
      </c>
    </row>
    <row r="428" spans="1:72" x14ac:dyDescent="0.15">
      <c r="A428" t="s">
        <v>133</v>
      </c>
      <c r="B428" t="s">
        <v>8699</v>
      </c>
      <c r="C428" t="s">
        <v>74</v>
      </c>
      <c r="D428" t="s">
        <v>74</v>
      </c>
      <c r="E428" t="s">
        <v>74</v>
      </c>
      <c r="F428" t="s">
        <v>8700</v>
      </c>
      <c r="G428" t="s">
        <v>74</v>
      </c>
      <c r="H428" t="s">
        <v>74</v>
      </c>
      <c r="I428" t="s">
        <v>8701</v>
      </c>
      <c r="J428" t="s">
        <v>2026</v>
      </c>
      <c r="K428" t="s">
        <v>74</v>
      </c>
      <c r="L428" t="s">
        <v>74</v>
      </c>
      <c r="M428" t="s">
        <v>80</v>
      </c>
      <c r="N428" t="s">
        <v>138</v>
      </c>
      <c r="O428" t="s">
        <v>74</v>
      </c>
      <c r="P428" t="s">
        <v>74</v>
      </c>
      <c r="Q428" t="s">
        <v>74</v>
      </c>
      <c r="R428" t="s">
        <v>74</v>
      </c>
      <c r="S428" t="s">
        <v>74</v>
      </c>
      <c r="T428" t="s">
        <v>74</v>
      </c>
      <c r="U428" t="s">
        <v>8702</v>
      </c>
      <c r="V428" t="s">
        <v>8703</v>
      </c>
      <c r="W428" t="s">
        <v>8704</v>
      </c>
      <c r="X428" t="s">
        <v>8705</v>
      </c>
      <c r="Y428" t="s">
        <v>8706</v>
      </c>
      <c r="Z428" t="s">
        <v>8707</v>
      </c>
      <c r="AA428" t="s">
        <v>8708</v>
      </c>
      <c r="AB428" t="s">
        <v>8709</v>
      </c>
      <c r="AC428" t="s">
        <v>8710</v>
      </c>
      <c r="AD428" t="s">
        <v>8711</v>
      </c>
      <c r="AE428" t="s">
        <v>8712</v>
      </c>
      <c r="AF428" t="s">
        <v>74</v>
      </c>
      <c r="AG428">
        <v>73</v>
      </c>
      <c r="AH428">
        <v>50</v>
      </c>
      <c r="AI428">
        <v>54</v>
      </c>
      <c r="AJ428">
        <v>1</v>
      </c>
      <c r="AK428">
        <v>14</v>
      </c>
      <c r="AL428" t="s">
        <v>2038</v>
      </c>
      <c r="AM428" t="s">
        <v>1730</v>
      </c>
      <c r="AN428" t="s">
        <v>2039</v>
      </c>
      <c r="AO428" t="s">
        <v>2040</v>
      </c>
      <c r="AP428" t="s">
        <v>74</v>
      </c>
      <c r="AQ428" t="s">
        <v>74</v>
      </c>
      <c r="AR428" t="s">
        <v>2041</v>
      </c>
      <c r="AS428" t="s">
        <v>2042</v>
      </c>
      <c r="AT428" t="s">
        <v>8713</v>
      </c>
      <c r="AU428">
        <v>2019</v>
      </c>
      <c r="AV428">
        <v>10</v>
      </c>
      <c r="AW428" t="s">
        <v>74</v>
      </c>
      <c r="AX428" t="s">
        <v>74</v>
      </c>
      <c r="AY428" t="s">
        <v>74</v>
      </c>
      <c r="AZ428" t="s">
        <v>74</v>
      </c>
      <c r="BA428" t="s">
        <v>74</v>
      </c>
      <c r="BB428" t="s">
        <v>74</v>
      </c>
      <c r="BC428" t="s">
        <v>74</v>
      </c>
      <c r="BD428">
        <v>5040</v>
      </c>
      <c r="BE428" t="s">
        <v>8714</v>
      </c>
      <c r="BF428" t="str">
        <f>HYPERLINK("http://dx.doi.org/10.1038/s41467-019-12874-3","http://dx.doi.org/10.1038/s41467-019-12874-3")</f>
        <v>http://dx.doi.org/10.1038/s41467-019-12874-3</v>
      </c>
      <c r="BG428" t="s">
        <v>74</v>
      </c>
      <c r="BH428" t="s">
        <v>74</v>
      </c>
      <c r="BI428">
        <v>9</v>
      </c>
      <c r="BJ428" t="s">
        <v>1245</v>
      </c>
      <c r="BK428" t="s">
        <v>294</v>
      </c>
      <c r="BL428" t="s">
        <v>1246</v>
      </c>
      <c r="BM428" t="s">
        <v>8715</v>
      </c>
      <c r="BN428">
        <v>31695032</v>
      </c>
      <c r="BO428" t="s">
        <v>1791</v>
      </c>
      <c r="BP428" t="s">
        <v>74</v>
      </c>
      <c r="BQ428" t="s">
        <v>74</v>
      </c>
      <c r="BR428" t="s">
        <v>108</v>
      </c>
      <c r="BS428" t="s">
        <v>8716</v>
      </c>
      <c r="BT428" t="str">
        <f>HYPERLINK("https%3A%2F%2Fwww.webofscience.com%2Fwos%2Fwoscc%2Ffull-record%2FWOS:000494635900001","View Full Record in Web of Science")</f>
        <v>View Full Record in Web of Science</v>
      </c>
    </row>
    <row r="429" spans="1:72" x14ac:dyDescent="0.15">
      <c r="A429" t="s">
        <v>133</v>
      </c>
      <c r="B429" t="s">
        <v>8717</v>
      </c>
      <c r="C429" t="s">
        <v>74</v>
      </c>
      <c r="D429" t="s">
        <v>74</v>
      </c>
      <c r="E429" t="s">
        <v>74</v>
      </c>
      <c r="F429" t="s">
        <v>8718</v>
      </c>
      <c r="G429" t="s">
        <v>74</v>
      </c>
      <c r="H429" t="s">
        <v>74</v>
      </c>
      <c r="I429" t="s">
        <v>8719</v>
      </c>
      <c r="J429" t="s">
        <v>2723</v>
      </c>
      <c r="K429" t="s">
        <v>74</v>
      </c>
      <c r="L429" t="s">
        <v>74</v>
      </c>
      <c r="M429" t="s">
        <v>80</v>
      </c>
      <c r="N429" t="s">
        <v>930</v>
      </c>
      <c r="O429" t="s">
        <v>74</v>
      </c>
      <c r="P429" t="s">
        <v>74</v>
      </c>
      <c r="Q429" t="s">
        <v>74</v>
      </c>
      <c r="R429" t="s">
        <v>74</v>
      </c>
      <c r="S429" t="s">
        <v>74</v>
      </c>
      <c r="T429" t="s">
        <v>8720</v>
      </c>
      <c r="U429" t="s">
        <v>8721</v>
      </c>
      <c r="V429" t="s">
        <v>8722</v>
      </c>
      <c r="W429" t="s">
        <v>8723</v>
      </c>
      <c r="X429" t="s">
        <v>8724</v>
      </c>
      <c r="Y429" t="s">
        <v>8725</v>
      </c>
      <c r="Z429" t="s">
        <v>8726</v>
      </c>
      <c r="AA429" t="s">
        <v>8727</v>
      </c>
      <c r="AB429" t="s">
        <v>8728</v>
      </c>
      <c r="AC429" t="s">
        <v>8729</v>
      </c>
      <c r="AD429" t="s">
        <v>8729</v>
      </c>
      <c r="AE429" t="s">
        <v>8730</v>
      </c>
      <c r="AF429" t="s">
        <v>74</v>
      </c>
      <c r="AG429">
        <v>238</v>
      </c>
      <c r="AH429">
        <v>28</v>
      </c>
      <c r="AI429">
        <v>28</v>
      </c>
      <c r="AJ429">
        <v>8</v>
      </c>
      <c r="AK429">
        <v>100</v>
      </c>
      <c r="AL429" t="s">
        <v>2587</v>
      </c>
      <c r="AM429" t="s">
        <v>2588</v>
      </c>
      <c r="AN429" t="s">
        <v>2589</v>
      </c>
      <c r="AO429" t="s">
        <v>74</v>
      </c>
      <c r="AP429" t="s">
        <v>2734</v>
      </c>
      <c r="AQ429" t="s">
        <v>74</v>
      </c>
      <c r="AR429" t="s">
        <v>2735</v>
      </c>
      <c r="AS429" t="s">
        <v>2736</v>
      </c>
      <c r="AT429" t="s">
        <v>8713</v>
      </c>
      <c r="AU429">
        <v>2019</v>
      </c>
      <c r="AV429">
        <v>6</v>
      </c>
      <c r="AW429" t="s">
        <v>74</v>
      </c>
      <c r="AX429" t="s">
        <v>74</v>
      </c>
      <c r="AY429" t="s">
        <v>74</v>
      </c>
      <c r="AZ429" t="s">
        <v>74</v>
      </c>
      <c r="BA429" t="s">
        <v>74</v>
      </c>
      <c r="BB429" t="s">
        <v>74</v>
      </c>
      <c r="BC429" t="s">
        <v>74</v>
      </c>
      <c r="BD429">
        <v>647</v>
      </c>
      <c r="BE429" t="s">
        <v>8731</v>
      </c>
      <c r="BF429" t="str">
        <f>HYPERLINK("http://dx.doi.org/10.3389/fmars.2019.00647","http://dx.doi.org/10.3389/fmars.2019.00647")</f>
        <v>http://dx.doi.org/10.3389/fmars.2019.00647</v>
      </c>
      <c r="BG429" t="s">
        <v>74</v>
      </c>
      <c r="BH429" t="s">
        <v>74</v>
      </c>
      <c r="BI429">
        <v>21</v>
      </c>
      <c r="BJ429" t="s">
        <v>2738</v>
      </c>
      <c r="BK429" t="s">
        <v>294</v>
      </c>
      <c r="BL429" t="s">
        <v>2739</v>
      </c>
      <c r="BM429" t="s">
        <v>8732</v>
      </c>
      <c r="BN429" t="s">
        <v>74</v>
      </c>
      <c r="BO429" t="s">
        <v>693</v>
      </c>
      <c r="BP429" t="s">
        <v>74</v>
      </c>
      <c r="BQ429" t="s">
        <v>74</v>
      </c>
      <c r="BR429" t="s">
        <v>108</v>
      </c>
      <c r="BS429" t="s">
        <v>8733</v>
      </c>
      <c r="BT429" t="str">
        <f>HYPERLINK("https%3A%2F%2Fwww.webofscience.com%2Fwos%2Fwoscc%2Ffull-record%2FWOS:000494735900001","View Full Record in Web of Science")</f>
        <v>View Full Record in Web of Science</v>
      </c>
    </row>
    <row r="430" spans="1:72" x14ac:dyDescent="0.15">
      <c r="A430" t="s">
        <v>133</v>
      </c>
      <c r="B430" t="s">
        <v>8734</v>
      </c>
      <c r="C430" t="s">
        <v>74</v>
      </c>
      <c r="D430" t="s">
        <v>74</v>
      </c>
      <c r="E430" t="s">
        <v>74</v>
      </c>
      <c r="F430" t="s">
        <v>8735</v>
      </c>
      <c r="G430" t="s">
        <v>74</v>
      </c>
      <c r="H430" t="s">
        <v>74</v>
      </c>
      <c r="I430" t="s">
        <v>8736</v>
      </c>
      <c r="J430" t="s">
        <v>8737</v>
      </c>
      <c r="K430" t="s">
        <v>74</v>
      </c>
      <c r="L430" t="s">
        <v>74</v>
      </c>
      <c r="M430" t="s">
        <v>80</v>
      </c>
      <c r="N430" t="s">
        <v>138</v>
      </c>
      <c r="O430" t="s">
        <v>74</v>
      </c>
      <c r="P430" t="s">
        <v>74</v>
      </c>
      <c r="Q430" t="s">
        <v>74</v>
      </c>
      <c r="R430" t="s">
        <v>74</v>
      </c>
      <c r="S430" t="s">
        <v>74</v>
      </c>
      <c r="T430" t="s">
        <v>8738</v>
      </c>
      <c r="U430" t="s">
        <v>8739</v>
      </c>
      <c r="V430" t="s">
        <v>8740</v>
      </c>
      <c r="W430" t="s">
        <v>8741</v>
      </c>
      <c r="X430" t="s">
        <v>8742</v>
      </c>
      <c r="Y430" t="s">
        <v>8743</v>
      </c>
      <c r="Z430" t="s">
        <v>8744</v>
      </c>
      <c r="AA430" t="s">
        <v>8745</v>
      </c>
      <c r="AB430" t="s">
        <v>8746</v>
      </c>
      <c r="AC430" t="s">
        <v>8747</v>
      </c>
      <c r="AD430" t="s">
        <v>8748</v>
      </c>
      <c r="AE430" t="s">
        <v>8749</v>
      </c>
      <c r="AF430" t="s">
        <v>74</v>
      </c>
      <c r="AG430">
        <v>93</v>
      </c>
      <c r="AH430">
        <v>1</v>
      </c>
      <c r="AI430">
        <v>1</v>
      </c>
      <c r="AJ430">
        <v>0</v>
      </c>
      <c r="AK430">
        <v>14</v>
      </c>
      <c r="AL430" t="s">
        <v>1964</v>
      </c>
      <c r="AM430" t="s">
        <v>1965</v>
      </c>
      <c r="AN430" t="s">
        <v>1966</v>
      </c>
      <c r="AO430" t="s">
        <v>8750</v>
      </c>
      <c r="AP430" t="s">
        <v>8751</v>
      </c>
      <c r="AQ430" t="s">
        <v>74</v>
      </c>
      <c r="AR430" t="s">
        <v>8752</v>
      </c>
      <c r="AS430" t="s">
        <v>8753</v>
      </c>
      <c r="AT430" t="s">
        <v>1270</v>
      </c>
      <c r="AU430">
        <v>2019</v>
      </c>
      <c r="AV430">
        <v>25</v>
      </c>
      <c r="AW430" t="s">
        <v>8754</v>
      </c>
      <c r="AX430" t="s">
        <v>74</v>
      </c>
      <c r="AY430" t="s">
        <v>74</v>
      </c>
      <c r="AZ430" t="s">
        <v>74</v>
      </c>
      <c r="BA430" t="s">
        <v>74</v>
      </c>
      <c r="BB430">
        <v>195</v>
      </c>
      <c r="BC430">
        <v>218</v>
      </c>
      <c r="BD430" t="s">
        <v>74</v>
      </c>
      <c r="BE430" t="s">
        <v>8755</v>
      </c>
      <c r="BF430" t="str">
        <f>HYPERLINK("http://dx.doi.org/10.1007/s10498-019-09360-z","http://dx.doi.org/10.1007/s10498-019-09360-z")</f>
        <v>http://dx.doi.org/10.1007/s10498-019-09360-z</v>
      </c>
      <c r="BG430" t="s">
        <v>74</v>
      </c>
      <c r="BH430" t="s">
        <v>6368</v>
      </c>
      <c r="BI430">
        <v>24</v>
      </c>
      <c r="BJ430" t="s">
        <v>1067</v>
      </c>
      <c r="BK430" t="s">
        <v>294</v>
      </c>
      <c r="BL430" t="s">
        <v>1067</v>
      </c>
      <c r="BM430" t="s">
        <v>8756</v>
      </c>
      <c r="BN430" t="s">
        <v>74</v>
      </c>
      <c r="BO430" t="s">
        <v>1506</v>
      </c>
      <c r="BP430" t="s">
        <v>74</v>
      </c>
      <c r="BQ430" t="s">
        <v>74</v>
      </c>
      <c r="BR430" t="s">
        <v>108</v>
      </c>
      <c r="BS430" t="s">
        <v>8757</v>
      </c>
      <c r="BT430" t="str">
        <f>HYPERLINK("https%3A%2F%2Fwww.webofscience.com%2Fwos%2Fwoscc%2Ffull-record%2FWOS:000494758500001","View Full Record in Web of Science")</f>
        <v>View Full Record in Web of Science</v>
      </c>
    </row>
    <row r="431" spans="1:72" x14ac:dyDescent="0.15">
      <c r="A431" t="s">
        <v>133</v>
      </c>
      <c r="B431" t="s">
        <v>8758</v>
      </c>
      <c r="C431" t="s">
        <v>74</v>
      </c>
      <c r="D431" t="s">
        <v>74</v>
      </c>
      <c r="E431" t="s">
        <v>74</v>
      </c>
      <c r="F431" t="s">
        <v>8759</v>
      </c>
      <c r="G431" t="s">
        <v>74</v>
      </c>
      <c r="H431" t="s">
        <v>74</v>
      </c>
      <c r="I431" t="s">
        <v>8760</v>
      </c>
      <c r="J431" t="s">
        <v>8761</v>
      </c>
      <c r="K431" t="s">
        <v>74</v>
      </c>
      <c r="L431" t="s">
        <v>74</v>
      </c>
      <c r="M431" t="s">
        <v>80</v>
      </c>
      <c r="N431" t="s">
        <v>138</v>
      </c>
      <c r="O431" t="s">
        <v>74</v>
      </c>
      <c r="P431" t="s">
        <v>74</v>
      </c>
      <c r="Q431" t="s">
        <v>74</v>
      </c>
      <c r="R431" t="s">
        <v>74</v>
      </c>
      <c r="S431" t="s">
        <v>74</v>
      </c>
      <c r="T431" t="s">
        <v>8762</v>
      </c>
      <c r="U431" t="s">
        <v>8763</v>
      </c>
      <c r="V431" t="s">
        <v>8764</v>
      </c>
      <c r="W431" t="s">
        <v>8765</v>
      </c>
      <c r="X431" t="s">
        <v>8766</v>
      </c>
      <c r="Y431" t="s">
        <v>8767</v>
      </c>
      <c r="Z431" t="s">
        <v>8768</v>
      </c>
      <c r="AA431" t="s">
        <v>8769</v>
      </c>
      <c r="AB431" t="s">
        <v>8770</v>
      </c>
      <c r="AC431" t="s">
        <v>8771</v>
      </c>
      <c r="AD431" t="s">
        <v>8772</v>
      </c>
      <c r="AE431" t="s">
        <v>8773</v>
      </c>
      <c r="AF431" t="s">
        <v>74</v>
      </c>
      <c r="AG431">
        <v>93</v>
      </c>
      <c r="AH431">
        <v>9</v>
      </c>
      <c r="AI431">
        <v>9</v>
      </c>
      <c r="AJ431">
        <v>1</v>
      </c>
      <c r="AK431">
        <v>8</v>
      </c>
      <c r="AL431" t="s">
        <v>2012</v>
      </c>
      <c r="AM431" t="s">
        <v>1730</v>
      </c>
      <c r="AN431" t="s">
        <v>2013</v>
      </c>
      <c r="AO431" t="s">
        <v>8774</v>
      </c>
      <c r="AP431" t="s">
        <v>74</v>
      </c>
      <c r="AQ431" t="s">
        <v>74</v>
      </c>
      <c r="AR431" t="s">
        <v>8775</v>
      </c>
      <c r="AS431" t="s">
        <v>8776</v>
      </c>
      <c r="AT431" t="s">
        <v>8713</v>
      </c>
      <c r="AU431">
        <v>2019</v>
      </c>
      <c r="AV431">
        <v>19</v>
      </c>
      <c r="AW431">
        <v>1</v>
      </c>
      <c r="AX431" t="s">
        <v>74</v>
      </c>
      <c r="AY431" t="s">
        <v>74</v>
      </c>
      <c r="AZ431" t="s">
        <v>74</v>
      </c>
      <c r="BA431" t="s">
        <v>74</v>
      </c>
      <c r="BB431" t="s">
        <v>74</v>
      </c>
      <c r="BC431" t="s">
        <v>74</v>
      </c>
      <c r="BD431">
        <v>205</v>
      </c>
      <c r="BE431" t="s">
        <v>8777</v>
      </c>
      <c r="BF431" t="str">
        <f>HYPERLINK("http://dx.doi.org/10.1186/s12862-019-1524-y","http://dx.doi.org/10.1186/s12862-019-1524-y")</f>
        <v>http://dx.doi.org/10.1186/s12862-019-1524-y</v>
      </c>
      <c r="BG431" t="s">
        <v>74</v>
      </c>
      <c r="BH431" t="s">
        <v>74</v>
      </c>
      <c r="BI431">
        <v>12</v>
      </c>
      <c r="BJ431" t="s">
        <v>8778</v>
      </c>
      <c r="BK431" t="s">
        <v>294</v>
      </c>
      <c r="BL431" t="s">
        <v>8778</v>
      </c>
      <c r="BM431" t="s">
        <v>8779</v>
      </c>
      <c r="BN431">
        <v>31694524</v>
      </c>
      <c r="BO431" t="s">
        <v>693</v>
      </c>
      <c r="BP431" t="s">
        <v>74</v>
      </c>
      <c r="BQ431" t="s">
        <v>74</v>
      </c>
      <c r="BR431" t="s">
        <v>108</v>
      </c>
      <c r="BS431" t="s">
        <v>8780</v>
      </c>
      <c r="BT431" t="str">
        <f>HYPERLINK("https%3A%2F%2Fwww.webofscience.com%2Fwos%2Fwoscc%2Ffull-record%2FWOS:000495581700003","View Full Record in Web of Science")</f>
        <v>View Full Record in Web of Science</v>
      </c>
    </row>
    <row r="432" spans="1:72" x14ac:dyDescent="0.15">
      <c r="A432" t="s">
        <v>133</v>
      </c>
      <c r="B432" t="s">
        <v>8781</v>
      </c>
      <c r="C432" t="s">
        <v>74</v>
      </c>
      <c r="D432" t="s">
        <v>74</v>
      </c>
      <c r="E432" t="s">
        <v>74</v>
      </c>
      <c r="F432" t="s">
        <v>8782</v>
      </c>
      <c r="G432" t="s">
        <v>74</v>
      </c>
      <c r="H432" t="s">
        <v>74</v>
      </c>
      <c r="I432" t="s">
        <v>8783</v>
      </c>
      <c r="J432" t="s">
        <v>3507</v>
      </c>
      <c r="K432" t="s">
        <v>74</v>
      </c>
      <c r="L432" t="s">
        <v>74</v>
      </c>
      <c r="M432" t="s">
        <v>80</v>
      </c>
      <c r="N432" t="s">
        <v>138</v>
      </c>
      <c r="O432" t="s">
        <v>74</v>
      </c>
      <c r="P432" t="s">
        <v>74</v>
      </c>
      <c r="Q432" t="s">
        <v>74</v>
      </c>
      <c r="R432" t="s">
        <v>74</v>
      </c>
      <c r="S432" t="s">
        <v>74</v>
      </c>
      <c r="T432" t="s">
        <v>8784</v>
      </c>
      <c r="U432" t="s">
        <v>8785</v>
      </c>
      <c r="V432" t="s">
        <v>8786</v>
      </c>
      <c r="W432" t="s">
        <v>8787</v>
      </c>
      <c r="X432" t="s">
        <v>8788</v>
      </c>
      <c r="Y432" t="s">
        <v>8789</v>
      </c>
      <c r="Z432" t="s">
        <v>8790</v>
      </c>
      <c r="AA432" t="s">
        <v>8791</v>
      </c>
      <c r="AB432" t="s">
        <v>8792</v>
      </c>
      <c r="AC432" t="s">
        <v>8793</v>
      </c>
      <c r="AD432" t="s">
        <v>8794</v>
      </c>
      <c r="AE432" t="s">
        <v>8795</v>
      </c>
      <c r="AF432" t="s">
        <v>74</v>
      </c>
      <c r="AG432">
        <v>34</v>
      </c>
      <c r="AH432">
        <v>14</v>
      </c>
      <c r="AI432">
        <v>14</v>
      </c>
      <c r="AJ432">
        <v>7</v>
      </c>
      <c r="AK432">
        <v>47</v>
      </c>
      <c r="AL432" t="s">
        <v>1964</v>
      </c>
      <c r="AM432" t="s">
        <v>1965</v>
      </c>
      <c r="AN432" t="s">
        <v>1966</v>
      </c>
      <c r="AO432" t="s">
        <v>3519</v>
      </c>
      <c r="AP432" t="s">
        <v>3520</v>
      </c>
      <c r="AQ432" t="s">
        <v>74</v>
      </c>
      <c r="AR432" t="s">
        <v>3521</v>
      </c>
      <c r="AS432" t="s">
        <v>3522</v>
      </c>
      <c r="AT432" t="s">
        <v>1270</v>
      </c>
      <c r="AU432">
        <v>2019</v>
      </c>
      <c r="AV432">
        <v>42</v>
      </c>
      <c r="AW432">
        <v>12</v>
      </c>
      <c r="AX432" t="s">
        <v>74</v>
      </c>
      <c r="AY432" t="s">
        <v>74</v>
      </c>
      <c r="AZ432" t="s">
        <v>74</v>
      </c>
      <c r="BA432" t="s">
        <v>74</v>
      </c>
      <c r="BB432">
        <v>2219</v>
      </c>
      <c r="BC432">
        <v>2226</v>
      </c>
      <c r="BD432" t="s">
        <v>74</v>
      </c>
      <c r="BE432" t="s">
        <v>8796</v>
      </c>
      <c r="BF432" t="str">
        <f>HYPERLINK("http://dx.doi.org/10.1007/s00300-019-02596-z","http://dx.doi.org/10.1007/s00300-019-02596-z")</f>
        <v>http://dx.doi.org/10.1007/s00300-019-02596-z</v>
      </c>
      <c r="BG432" t="s">
        <v>74</v>
      </c>
      <c r="BH432" t="s">
        <v>6368</v>
      </c>
      <c r="BI432">
        <v>8</v>
      </c>
      <c r="BJ432" t="s">
        <v>3524</v>
      </c>
      <c r="BK432" t="s">
        <v>294</v>
      </c>
      <c r="BL432" t="s">
        <v>295</v>
      </c>
      <c r="BM432" t="s">
        <v>5497</v>
      </c>
      <c r="BN432" t="s">
        <v>74</v>
      </c>
      <c r="BO432" t="s">
        <v>74</v>
      </c>
      <c r="BP432" t="s">
        <v>74</v>
      </c>
      <c r="BQ432" t="s">
        <v>74</v>
      </c>
      <c r="BR432" t="s">
        <v>108</v>
      </c>
      <c r="BS432" t="s">
        <v>8797</v>
      </c>
      <c r="BT432" t="str">
        <f>HYPERLINK("https%3A%2F%2Fwww.webofscience.com%2Fwos%2Fwoscc%2Ffull-record%2FWOS:000494375100001","View Full Record in Web of Science")</f>
        <v>View Full Record in Web of Science</v>
      </c>
    </row>
    <row r="433" spans="1:72" x14ac:dyDescent="0.15">
      <c r="A433" t="s">
        <v>133</v>
      </c>
      <c r="B433" t="s">
        <v>8798</v>
      </c>
      <c r="C433" t="s">
        <v>74</v>
      </c>
      <c r="D433" t="s">
        <v>74</v>
      </c>
      <c r="E433" t="s">
        <v>74</v>
      </c>
      <c r="F433" t="s">
        <v>8799</v>
      </c>
      <c r="G433" t="s">
        <v>74</v>
      </c>
      <c r="H433" t="s">
        <v>74</v>
      </c>
      <c r="I433" t="s">
        <v>8800</v>
      </c>
      <c r="J433" t="s">
        <v>2623</v>
      </c>
      <c r="K433" t="s">
        <v>74</v>
      </c>
      <c r="L433" t="s">
        <v>74</v>
      </c>
      <c r="M433" t="s">
        <v>80</v>
      </c>
      <c r="N433" t="s">
        <v>138</v>
      </c>
      <c r="O433" t="s">
        <v>74</v>
      </c>
      <c r="P433" t="s">
        <v>74</v>
      </c>
      <c r="Q433" t="s">
        <v>74</v>
      </c>
      <c r="R433" t="s">
        <v>74</v>
      </c>
      <c r="S433" t="s">
        <v>74</v>
      </c>
      <c r="T433" t="s">
        <v>74</v>
      </c>
      <c r="U433" t="s">
        <v>8801</v>
      </c>
      <c r="V433" t="s">
        <v>8802</v>
      </c>
      <c r="W433" t="s">
        <v>8803</v>
      </c>
      <c r="X433" t="s">
        <v>8804</v>
      </c>
      <c r="Y433" t="s">
        <v>8805</v>
      </c>
      <c r="Z433" t="s">
        <v>8806</v>
      </c>
      <c r="AA433" t="s">
        <v>8807</v>
      </c>
      <c r="AB433" t="s">
        <v>8808</v>
      </c>
      <c r="AC433" t="s">
        <v>8809</v>
      </c>
      <c r="AD433" t="s">
        <v>8810</v>
      </c>
      <c r="AE433" t="s">
        <v>8811</v>
      </c>
      <c r="AF433" t="s">
        <v>74</v>
      </c>
      <c r="AG433">
        <v>60</v>
      </c>
      <c r="AH433">
        <v>17</v>
      </c>
      <c r="AI433">
        <v>18</v>
      </c>
      <c r="AJ433">
        <v>0</v>
      </c>
      <c r="AK433">
        <v>8</v>
      </c>
      <c r="AL433" t="s">
        <v>840</v>
      </c>
      <c r="AM433" t="s">
        <v>841</v>
      </c>
      <c r="AN433" t="s">
        <v>842</v>
      </c>
      <c r="AO433" t="s">
        <v>2636</v>
      </c>
      <c r="AP433" t="s">
        <v>74</v>
      </c>
      <c r="AQ433" t="s">
        <v>74</v>
      </c>
      <c r="AR433" t="s">
        <v>2637</v>
      </c>
      <c r="AS433" t="s">
        <v>2638</v>
      </c>
      <c r="AT433" t="s">
        <v>8713</v>
      </c>
      <c r="AU433">
        <v>2019</v>
      </c>
      <c r="AV433">
        <v>9</v>
      </c>
      <c r="AW433" t="s">
        <v>74</v>
      </c>
      <c r="AX433" t="s">
        <v>74</v>
      </c>
      <c r="AY433" t="s">
        <v>74</v>
      </c>
      <c r="AZ433" t="s">
        <v>74</v>
      </c>
      <c r="BA433" t="s">
        <v>74</v>
      </c>
      <c r="BB433" t="s">
        <v>74</v>
      </c>
      <c r="BC433" t="s">
        <v>74</v>
      </c>
      <c r="BD433">
        <v>16135</v>
      </c>
      <c r="BE433" t="s">
        <v>8812</v>
      </c>
      <c r="BF433" t="str">
        <f>HYPERLINK("http://dx.doi.org/10.1038/s41598-019-52491-0","http://dx.doi.org/10.1038/s41598-019-52491-0")</f>
        <v>http://dx.doi.org/10.1038/s41598-019-52491-0</v>
      </c>
      <c r="BG433" t="s">
        <v>74</v>
      </c>
      <c r="BH433" t="s">
        <v>74</v>
      </c>
      <c r="BI433">
        <v>15</v>
      </c>
      <c r="BJ433" t="s">
        <v>1245</v>
      </c>
      <c r="BK433" t="s">
        <v>294</v>
      </c>
      <c r="BL433" t="s">
        <v>1246</v>
      </c>
      <c r="BM433" t="s">
        <v>8813</v>
      </c>
      <c r="BN433">
        <v>31695084</v>
      </c>
      <c r="BO433" t="s">
        <v>2934</v>
      </c>
      <c r="BP433" t="s">
        <v>74</v>
      </c>
      <c r="BQ433" t="s">
        <v>74</v>
      </c>
      <c r="BR433" t="s">
        <v>108</v>
      </c>
      <c r="BS433" t="s">
        <v>8814</v>
      </c>
      <c r="BT433" t="str">
        <f>HYPERLINK("https%3A%2F%2Fwww.webofscience.com%2Fwos%2Fwoscc%2Ffull-record%2FWOS:000494636500024","View Full Record in Web of Science")</f>
        <v>View Full Record in Web of Science</v>
      </c>
    </row>
    <row r="434" spans="1:72" x14ac:dyDescent="0.15">
      <c r="A434" t="s">
        <v>133</v>
      </c>
      <c r="B434" t="s">
        <v>8815</v>
      </c>
      <c r="C434" t="s">
        <v>74</v>
      </c>
      <c r="D434" t="s">
        <v>74</v>
      </c>
      <c r="E434" t="s">
        <v>74</v>
      </c>
      <c r="F434" t="s">
        <v>8816</v>
      </c>
      <c r="G434" t="s">
        <v>74</v>
      </c>
      <c r="H434" t="s">
        <v>74</v>
      </c>
      <c r="I434" t="s">
        <v>8817</v>
      </c>
      <c r="J434" t="s">
        <v>7601</v>
      </c>
      <c r="K434" t="s">
        <v>74</v>
      </c>
      <c r="L434" t="s">
        <v>74</v>
      </c>
      <c r="M434" t="s">
        <v>80</v>
      </c>
      <c r="N434" t="s">
        <v>930</v>
      </c>
      <c r="O434" t="s">
        <v>74</v>
      </c>
      <c r="P434" t="s">
        <v>74</v>
      </c>
      <c r="Q434" t="s">
        <v>74</v>
      </c>
      <c r="R434" t="s">
        <v>74</v>
      </c>
      <c r="S434" t="s">
        <v>74</v>
      </c>
      <c r="T434" t="s">
        <v>74</v>
      </c>
      <c r="U434" t="s">
        <v>8818</v>
      </c>
      <c r="V434" t="s">
        <v>8819</v>
      </c>
      <c r="W434" t="s">
        <v>8820</v>
      </c>
      <c r="X434" t="s">
        <v>8821</v>
      </c>
      <c r="Y434" t="s">
        <v>8822</v>
      </c>
      <c r="Z434" t="s">
        <v>8823</v>
      </c>
      <c r="AA434" t="s">
        <v>8824</v>
      </c>
      <c r="AB434" t="s">
        <v>8825</v>
      </c>
      <c r="AC434" t="s">
        <v>74</v>
      </c>
      <c r="AD434" t="s">
        <v>74</v>
      </c>
      <c r="AE434" t="s">
        <v>74</v>
      </c>
      <c r="AF434" t="s">
        <v>74</v>
      </c>
      <c r="AG434">
        <v>82</v>
      </c>
      <c r="AH434">
        <v>78</v>
      </c>
      <c r="AI434">
        <v>82</v>
      </c>
      <c r="AJ434">
        <v>2</v>
      </c>
      <c r="AK434">
        <v>71</v>
      </c>
      <c r="AL434" t="s">
        <v>7611</v>
      </c>
      <c r="AM434" t="s">
        <v>1265</v>
      </c>
      <c r="AN434" t="s">
        <v>7612</v>
      </c>
      <c r="AO434" t="s">
        <v>7613</v>
      </c>
      <c r="AP434" t="s">
        <v>7614</v>
      </c>
      <c r="AQ434" t="s">
        <v>74</v>
      </c>
      <c r="AR434" t="s">
        <v>7615</v>
      </c>
      <c r="AS434" t="s">
        <v>7616</v>
      </c>
      <c r="AT434" t="s">
        <v>8826</v>
      </c>
      <c r="AU434">
        <v>2019</v>
      </c>
      <c r="AV434">
        <v>53</v>
      </c>
      <c r="AW434">
        <v>21</v>
      </c>
      <c r="AX434" t="s">
        <v>74</v>
      </c>
      <c r="AY434" t="s">
        <v>74</v>
      </c>
      <c r="AZ434" t="s">
        <v>74</v>
      </c>
      <c r="BA434" t="s">
        <v>74</v>
      </c>
      <c r="BB434">
        <v>12158</v>
      </c>
      <c r="BC434">
        <v>12167</v>
      </c>
      <c r="BD434" t="s">
        <v>74</v>
      </c>
      <c r="BE434" t="s">
        <v>8827</v>
      </c>
      <c r="BF434" t="str">
        <f>HYPERLINK("http://dx.doi.org/10.1021/acs.est.9b01424","http://dx.doi.org/10.1021/acs.est.9b01424")</f>
        <v>http://dx.doi.org/10.1021/acs.est.9b01424</v>
      </c>
      <c r="BG434" t="s">
        <v>74</v>
      </c>
      <c r="BH434" t="s">
        <v>74</v>
      </c>
      <c r="BI434">
        <v>10</v>
      </c>
      <c r="BJ434" t="s">
        <v>5230</v>
      </c>
      <c r="BK434" t="s">
        <v>294</v>
      </c>
      <c r="BL434" t="s">
        <v>5231</v>
      </c>
      <c r="BM434" t="s">
        <v>8828</v>
      </c>
      <c r="BN434">
        <v>31577441</v>
      </c>
      <c r="BO434" t="s">
        <v>666</v>
      </c>
      <c r="BP434" t="s">
        <v>74</v>
      </c>
      <c r="BQ434" t="s">
        <v>74</v>
      </c>
      <c r="BR434" t="s">
        <v>108</v>
      </c>
      <c r="BS434" t="s">
        <v>8829</v>
      </c>
      <c r="BT434" t="str">
        <f>HYPERLINK("https%3A%2F%2Fwww.webofscience.com%2Fwos%2Fwoscc%2Ffull-record%2FWOS:000495467500004","View Full Record in Web of Science")</f>
        <v>View Full Record in Web of Science</v>
      </c>
    </row>
    <row r="435" spans="1:72" x14ac:dyDescent="0.15">
      <c r="A435" t="s">
        <v>133</v>
      </c>
      <c r="B435" t="s">
        <v>8830</v>
      </c>
      <c r="C435" t="s">
        <v>74</v>
      </c>
      <c r="D435" t="s">
        <v>74</v>
      </c>
      <c r="E435" t="s">
        <v>74</v>
      </c>
      <c r="F435" t="s">
        <v>8831</v>
      </c>
      <c r="G435" t="s">
        <v>74</v>
      </c>
      <c r="H435" t="s">
        <v>74</v>
      </c>
      <c r="I435" t="s">
        <v>8832</v>
      </c>
      <c r="J435" t="s">
        <v>8833</v>
      </c>
      <c r="K435" t="s">
        <v>74</v>
      </c>
      <c r="L435" t="s">
        <v>74</v>
      </c>
      <c r="M435" t="s">
        <v>80</v>
      </c>
      <c r="N435" t="s">
        <v>138</v>
      </c>
      <c r="O435" t="s">
        <v>74</v>
      </c>
      <c r="P435" t="s">
        <v>74</v>
      </c>
      <c r="Q435" t="s">
        <v>74</v>
      </c>
      <c r="R435" t="s">
        <v>74</v>
      </c>
      <c r="S435" t="s">
        <v>74</v>
      </c>
      <c r="T435" t="s">
        <v>8834</v>
      </c>
      <c r="U435" t="s">
        <v>8835</v>
      </c>
      <c r="V435" t="s">
        <v>8836</v>
      </c>
      <c r="W435" t="s">
        <v>8837</v>
      </c>
      <c r="X435" t="s">
        <v>8838</v>
      </c>
      <c r="Y435" t="s">
        <v>8839</v>
      </c>
      <c r="Z435" t="s">
        <v>8840</v>
      </c>
      <c r="AA435" t="s">
        <v>74</v>
      </c>
      <c r="AB435" t="s">
        <v>8841</v>
      </c>
      <c r="AC435" t="s">
        <v>8842</v>
      </c>
      <c r="AD435" t="s">
        <v>8843</v>
      </c>
      <c r="AE435" t="s">
        <v>8844</v>
      </c>
      <c r="AF435" t="s">
        <v>74</v>
      </c>
      <c r="AG435">
        <v>67</v>
      </c>
      <c r="AH435">
        <v>1</v>
      </c>
      <c r="AI435">
        <v>2</v>
      </c>
      <c r="AJ435">
        <v>0</v>
      </c>
      <c r="AK435">
        <v>1</v>
      </c>
      <c r="AL435" t="s">
        <v>8845</v>
      </c>
      <c r="AM435" t="s">
        <v>8846</v>
      </c>
      <c r="AN435" t="s">
        <v>8847</v>
      </c>
      <c r="AO435" t="s">
        <v>8848</v>
      </c>
      <c r="AP435" t="s">
        <v>8849</v>
      </c>
      <c r="AQ435" t="s">
        <v>74</v>
      </c>
      <c r="AR435" t="s">
        <v>8850</v>
      </c>
      <c r="AS435" t="s">
        <v>8851</v>
      </c>
      <c r="AT435" t="s">
        <v>8826</v>
      </c>
      <c r="AU435">
        <v>2019</v>
      </c>
      <c r="AV435">
        <v>66</v>
      </c>
      <c r="AW435">
        <v>2</v>
      </c>
      <c r="AX435" t="s">
        <v>74</v>
      </c>
      <c r="AY435" t="s">
        <v>74</v>
      </c>
      <c r="AZ435" t="s">
        <v>74</v>
      </c>
      <c r="BA435" t="s">
        <v>74</v>
      </c>
      <c r="BB435">
        <v>147</v>
      </c>
      <c r="BC435">
        <v>177</v>
      </c>
      <c r="BD435" t="s">
        <v>74</v>
      </c>
      <c r="BE435" t="s">
        <v>8852</v>
      </c>
      <c r="BF435" t="str">
        <f>HYPERLINK("http://dx.doi.org/10.3897/dez.66.38022","http://dx.doi.org/10.3897/dez.66.38022")</f>
        <v>http://dx.doi.org/10.3897/dez.66.38022</v>
      </c>
      <c r="BG435" t="s">
        <v>74</v>
      </c>
      <c r="BH435" t="s">
        <v>74</v>
      </c>
      <c r="BI435">
        <v>31</v>
      </c>
      <c r="BJ435" t="s">
        <v>1326</v>
      </c>
      <c r="BK435" t="s">
        <v>294</v>
      </c>
      <c r="BL435" t="s">
        <v>1326</v>
      </c>
      <c r="BM435" t="s">
        <v>8853</v>
      </c>
      <c r="BN435" t="s">
        <v>74</v>
      </c>
      <c r="BO435" t="s">
        <v>8854</v>
      </c>
      <c r="BP435" t="s">
        <v>74</v>
      </c>
      <c r="BQ435" t="s">
        <v>74</v>
      </c>
      <c r="BR435" t="s">
        <v>108</v>
      </c>
      <c r="BS435" t="s">
        <v>8855</v>
      </c>
      <c r="BT435" t="str">
        <f>HYPERLINK("https%3A%2F%2Fwww.webofscience.com%2Fwos%2Fwoscc%2Ffull-record%2FWOS:000495742500001","View Full Record in Web of Science")</f>
        <v>View Full Record in Web of Science</v>
      </c>
    </row>
    <row r="436" spans="1:72" x14ac:dyDescent="0.15">
      <c r="A436" t="s">
        <v>133</v>
      </c>
      <c r="B436" t="s">
        <v>8856</v>
      </c>
      <c r="C436" t="s">
        <v>74</v>
      </c>
      <c r="D436" t="s">
        <v>74</v>
      </c>
      <c r="E436" t="s">
        <v>74</v>
      </c>
      <c r="F436" t="s">
        <v>8857</v>
      </c>
      <c r="G436" t="s">
        <v>74</v>
      </c>
      <c r="H436" t="s">
        <v>74</v>
      </c>
      <c r="I436" t="s">
        <v>8858</v>
      </c>
      <c r="J436" t="s">
        <v>8859</v>
      </c>
      <c r="K436" t="s">
        <v>74</v>
      </c>
      <c r="L436" t="s">
        <v>74</v>
      </c>
      <c r="M436" t="s">
        <v>80</v>
      </c>
      <c r="N436" t="s">
        <v>138</v>
      </c>
      <c r="O436" t="s">
        <v>74</v>
      </c>
      <c r="P436" t="s">
        <v>74</v>
      </c>
      <c r="Q436" t="s">
        <v>74</v>
      </c>
      <c r="R436" t="s">
        <v>74</v>
      </c>
      <c r="S436" t="s">
        <v>74</v>
      </c>
      <c r="T436" t="s">
        <v>74</v>
      </c>
      <c r="U436" t="s">
        <v>8860</v>
      </c>
      <c r="V436" t="s">
        <v>8861</v>
      </c>
      <c r="W436" t="s">
        <v>8862</v>
      </c>
      <c r="X436" t="s">
        <v>8863</v>
      </c>
      <c r="Y436" t="s">
        <v>8864</v>
      </c>
      <c r="Z436" t="s">
        <v>8865</v>
      </c>
      <c r="AA436" t="s">
        <v>8866</v>
      </c>
      <c r="AB436" t="s">
        <v>8867</v>
      </c>
      <c r="AC436" t="s">
        <v>8868</v>
      </c>
      <c r="AD436" t="s">
        <v>1987</v>
      </c>
      <c r="AE436" t="s">
        <v>8869</v>
      </c>
      <c r="AF436" t="s">
        <v>74</v>
      </c>
      <c r="AG436">
        <v>46</v>
      </c>
      <c r="AH436">
        <v>11</v>
      </c>
      <c r="AI436">
        <v>15</v>
      </c>
      <c r="AJ436">
        <v>9</v>
      </c>
      <c r="AK436">
        <v>51</v>
      </c>
      <c r="AL436" t="s">
        <v>7611</v>
      </c>
      <c r="AM436" t="s">
        <v>1265</v>
      </c>
      <c r="AN436" t="s">
        <v>7612</v>
      </c>
      <c r="AO436" t="s">
        <v>8870</v>
      </c>
      <c r="AP436" t="s">
        <v>74</v>
      </c>
      <c r="AQ436" t="s">
        <v>74</v>
      </c>
      <c r="AR436" t="s">
        <v>8859</v>
      </c>
      <c r="AS436" t="s">
        <v>8871</v>
      </c>
      <c r="AT436" t="s">
        <v>8826</v>
      </c>
      <c r="AU436">
        <v>2019</v>
      </c>
      <c r="AV436">
        <v>4</v>
      </c>
      <c r="AW436">
        <v>19</v>
      </c>
      <c r="AX436" t="s">
        <v>74</v>
      </c>
      <c r="AY436" t="s">
        <v>74</v>
      </c>
      <c r="AZ436" t="s">
        <v>74</v>
      </c>
      <c r="BA436" t="s">
        <v>74</v>
      </c>
      <c r="BB436">
        <v>17972</v>
      </c>
      <c r="BC436">
        <v>17980</v>
      </c>
      <c r="BD436" t="s">
        <v>74</v>
      </c>
      <c r="BE436" t="s">
        <v>8872</v>
      </c>
      <c r="BF436" t="str">
        <f>HYPERLINK("http://dx.doi.org/10.1021/acsomega.9b01294","http://dx.doi.org/10.1021/acsomega.9b01294")</f>
        <v>http://dx.doi.org/10.1021/acsomega.9b01294</v>
      </c>
      <c r="BG436" t="s">
        <v>74</v>
      </c>
      <c r="BH436" t="s">
        <v>74</v>
      </c>
      <c r="BI436">
        <v>9</v>
      </c>
      <c r="BJ436" t="s">
        <v>8873</v>
      </c>
      <c r="BK436" t="s">
        <v>294</v>
      </c>
      <c r="BL436" t="s">
        <v>8874</v>
      </c>
      <c r="BM436" t="s">
        <v>8875</v>
      </c>
      <c r="BN436">
        <v>31720501</v>
      </c>
      <c r="BO436" t="s">
        <v>693</v>
      </c>
      <c r="BP436" t="s">
        <v>74</v>
      </c>
      <c r="BQ436" t="s">
        <v>74</v>
      </c>
      <c r="BR436" t="s">
        <v>108</v>
      </c>
      <c r="BS436" t="s">
        <v>8876</v>
      </c>
      <c r="BT436" t="str">
        <f>HYPERLINK("https%3A%2F%2Fwww.webofscience.com%2Fwos%2Fwoscc%2Ffull-record%2FWOS:000495089100005","View Full Record in Web of Science")</f>
        <v>View Full Record in Web of Science</v>
      </c>
    </row>
    <row r="437" spans="1:72" x14ac:dyDescent="0.15">
      <c r="A437" t="s">
        <v>133</v>
      </c>
      <c r="B437" t="s">
        <v>8877</v>
      </c>
      <c r="C437" t="s">
        <v>74</v>
      </c>
      <c r="D437" t="s">
        <v>74</v>
      </c>
      <c r="E437" t="s">
        <v>74</v>
      </c>
      <c r="F437" t="s">
        <v>8878</v>
      </c>
      <c r="G437" t="s">
        <v>74</v>
      </c>
      <c r="H437" t="s">
        <v>74</v>
      </c>
      <c r="I437" t="s">
        <v>8879</v>
      </c>
      <c r="J437" t="s">
        <v>1462</v>
      </c>
      <c r="K437" t="s">
        <v>74</v>
      </c>
      <c r="L437" t="s">
        <v>74</v>
      </c>
      <c r="M437" t="s">
        <v>80</v>
      </c>
      <c r="N437" t="s">
        <v>138</v>
      </c>
      <c r="O437" t="s">
        <v>74</v>
      </c>
      <c r="P437" t="s">
        <v>74</v>
      </c>
      <c r="Q437" t="s">
        <v>74</v>
      </c>
      <c r="R437" t="s">
        <v>74</v>
      </c>
      <c r="S437" t="s">
        <v>74</v>
      </c>
      <c r="T437" t="s">
        <v>74</v>
      </c>
      <c r="U437" t="s">
        <v>8880</v>
      </c>
      <c r="V437" t="s">
        <v>8881</v>
      </c>
      <c r="W437" t="s">
        <v>8882</v>
      </c>
      <c r="X437" t="s">
        <v>8883</v>
      </c>
      <c r="Y437" t="s">
        <v>8884</v>
      </c>
      <c r="Z437" t="s">
        <v>8885</v>
      </c>
      <c r="AA437" t="s">
        <v>8886</v>
      </c>
      <c r="AB437" t="s">
        <v>8887</v>
      </c>
      <c r="AC437" t="s">
        <v>8888</v>
      </c>
      <c r="AD437" t="s">
        <v>8889</v>
      </c>
      <c r="AE437" t="s">
        <v>8890</v>
      </c>
      <c r="AF437" t="s">
        <v>74</v>
      </c>
      <c r="AG437">
        <v>36</v>
      </c>
      <c r="AH437">
        <v>15</v>
      </c>
      <c r="AI437">
        <v>15</v>
      </c>
      <c r="AJ437">
        <v>0</v>
      </c>
      <c r="AK437">
        <v>7</v>
      </c>
      <c r="AL437" t="s">
        <v>1264</v>
      </c>
      <c r="AM437" t="s">
        <v>1265</v>
      </c>
      <c r="AN437" t="s">
        <v>1266</v>
      </c>
      <c r="AO437" t="s">
        <v>1475</v>
      </c>
      <c r="AP437" t="s">
        <v>1476</v>
      </c>
      <c r="AQ437" t="s">
        <v>74</v>
      </c>
      <c r="AR437" t="s">
        <v>1477</v>
      </c>
      <c r="AS437" t="s">
        <v>1478</v>
      </c>
      <c r="AT437" t="s">
        <v>7767</v>
      </c>
      <c r="AU437">
        <v>2019</v>
      </c>
      <c r="AV437">
        <v>46</v>
      </c>
      <c r="AW437">
        <v>21</v>
      </c>
      <c r="AX437" t="s">
        <v>74</v>
      </c>
      <c r="AY437" t="s">
        <v>74</v>
      </c>
      <c r="AZ437" t="s">
        <v>74</v>
      </c>
      <c r="BA437" t="s">
        <v>74</v>
      </c>
      <c r="BB437">
        <v>11642</v>
      </c>
      <c r="BC437">
        <v>11651</v>
      </c>
      <c r="BD437" t="s">
        <v>74</v>
      </c>
      <c r="BE437" t="s">
        <v>8891</v>
      </c>
      <c r="BF437" t="str">
        <f>HYPERLINK("http://dx.doi.org/10.1029/2019GL084379","http://dx.doi.org/10.1029/2019GL084379")</f>
        <v>http://dx.doi.org/10.1029/2019GL084379</v>
      </c>
      <c r="BG437" t="s">
        <v>74</v>
      </c>
      <c r="BH437" t="s">
        <v>6368</v>
      </c>
      <c r="BI437">
        <v>10</v>
      </c>
      <c r="BJ437" t="s">
        <v>849</v>
      </c>
      <c r="BK437" t="s">
        <v>294</v>
      </c>
      <c r="BL437" t="s">
        <v>850</v>
      </c>
      <c r="BM437" t="s">
        <v>7769</v>
      </c>
      <c r="BN437" t="s">
        <v>74</v>
      </c>
      <c r="BO437" t="s">
        <v>588</v>
      </c>
      <c r="BP437" t="s">
        <v>74</v>
      </c>
      <c r="BQ437" t="s">
        <v>74</v>
      </c>
      <c r="BR437" t="s">
        <v>108</v>
      </c>
      <c r="BS437" t="s">
        <v>8892</v>
      </c>
      <c r="BT437" t="str">
        <f>HYPERLINK("https%3A%2F%2Fwww.webofscience.com%2Fwos%2Fwoscc%2Ffull-record%2FWOS:000495521400001","View Full Record in Web of Science")</f>
        <v>View Full Record in Web of Science</v>
      </c>
    </row>
    <row r="438" spans="1:72" x14ac:dyDescent="0.15">
      <c r="A438" t="s">
        <v>133</v>
      </c>
      <c r="B438" t="s">
        <v>8893</v>
      </c>
      <c r="C438" t="s">
        <v>74</v>
      </c>
      <c r="D438" t="s">
        <v>74</v>
      </c>
      <c r="E438" t="s">
        <v>74</v>
      </c>
      <c r="F438" t="s">
        <v>8894</v>
      </c>
      <c r="G438" t="s">
        <v>74</v>
      </c>
      <c r="H438" t="s">
        <v>74</v>
      </c>
      <c r="I438" t="s">
        <v>8895</v>
      </c>
      <c r="J438" t="s">
        <v>1462</v>
      </c>
      <c r="K438" t="s">
        <v>74</v>
      </c>
      <c r="L438" t="s">
        <v>74</v>
      </c>
      <c r="M438" t="s">
        <v>80</v>
      </c>
      <c r="N438" t="s">
        <v>138</v>
      </c>
      <c r="O438" t="s">
        <v>74</v>
      </c>
      <c r="P438" t="s">
        <v>74</v>
      </c>
      <c r="Q438" t="s">
        <v>74</v>
      </c>
      <c r="R438" t="s">
        <v>74</v>
      </c>
      <c r="S438" t="s">
        <v>74</v>
      </c>
      <c r="T438" t="s">
        <v>8896</v>
      </c>
      <c r="U438" t="s">
        <v>8897</v>
      </c>
      <c r="V438" t="s">
        <v>8898</v>
      </c>
      <c r="W438" t="s">
        <v>8899</v>
      </c>
      <c r="X438" t="s">
        <v>8900</v>
      </c>
      <c r="Y438" t="s">
        <v>8901</v>
      </c>
      <c r="Z438" t="s">
        <v>8902</v>
      </c>
      <c r="AA438" t="s">
        <v>8903</v>
      </c>
      <c r="AB438" t="s">
        <v>8904</v>
      </c>
      <c r="AC438" t="s">
        <v>8905</v>
      </c>
      <c r="AD438" t="s">
        <v>8906</v>
      </c>
      <c r="AE438" t="s">
        <v>8907</v>
      </c>
      <c r="AF438" t="s">
        <v>74</v>
      </c>
      <c r="AG438">
        <v>43</v>
      </c>
      <c r="AH438">
        <v>54</v>
      </c>
      <c r="AI438">
        <v>60</v>
      </c>
      <c r="AJ438">
        <v>1</v>
      </c>
      <c r="AK438">
        <v>19</v>
      </c>
      <c r="AL438" t="s">
        <v>1264</v>
      </c>
      <c r="AM438" t="s">
        <v>1265</v>
      </c>
      <c r="AN438" t="s">
        <v>1266</v>
      </c>
      <c r="AO438" t="s">
        <v>1475</v>
      </c>
      <c r="AP438" t="s">
        <v>1476</v>
      </c>
      <c r="AQ438" t="s">
        <v>74</v>
      </c>
      <c r="AR438" t="s">
        <v>1477</v>
      </c>
      <c r="AS438" t="s">
        <v>1478</v>
      </c>
      <c r="AT438" t="s">
        <v>7767</v>
      </c>
      <c r="AU438">
        <v>2019</v>
      </c>
      <c r="AV438">
        <v>46</v>
      </c>
      <c r="AW438">
        <v>21</v>
      </c>
      <c r="AX438" t="s">
        <v>74</v>
      </c>
      <c r="AY438" t="s">
        <v>74</v>
      </c>
      <c r="AZ438" t="s">
        <v>74</v>
      </c>
      <c r="BA438" t="s">
        <v>74</v>
      </c>
      <c r="BB438">
        <v>12092</v>
      </c>
      <c r="BC438">
        <v>12100</v>
      </c>
      <c r="BD438" t="s">
        <v>74</v>
      </c>
      <c r="BE438" t="s">
        <v>8908</v>
      </c>
      <c r="BF438" t="str">
        <f>HYPERLINK("http://dx.doi.org/10.1029/2019GL084397","http://dx.doi.org/10.1029/2019GL084397")</f>
        <v>http://dx.doi.org/10.1029/2019GL084397</v>
      </c>
      <c r="BG438" t="s">
        <v>74</v>
      </c>
      <c r="BH438" t="s">
        <v>6368</v>
      </c>
      <c r="BI438">
        <v>9</v>
      </c>
      <c r="BJ438" t="s">
        <v>849</v>
      </c>
      <c r="BK438" t="s">
        <v>294</v>
      </c>
      <c r="BL438" t="s">
        <v>850</v>
      </c>
      <c r="BM438" t="s">
        <v>7769</v>
      </c>
      <c r="BN438" t="s">
        <v>74</v>
      </c>
      <c r="BO438" t="s">
        <v>8909</v>
      </c>
      <c r="BP438" t="s">
        <v>74</v>
      </c>
      <c r="BQ438" t="s">
        <v>74</v>
      </c>
      <c r="BR438" t="s">
        <v>108</v>
      </c>
      <c r="BS438" t="s">
        <v>8910</v>
      </c>
      <c r="BT438" t="str">
        <f>HYPERLINK("https%3A%2F%2Fwww.webofscience.com%2Fwos%2Fwoscc%2Ffull-record%2FWOS:000494348900001","View Full Record in Web of Science")</f>
        <v>View Full Record in Web of Science</v>
      </c>
    </row>
    <row r="439" spans="1:72" x14ac:dyDescent="0.15">
      <c r="A439" t="s">
        <v>133</v>
      </c>
      <c r="B439" t="s">
        <v>8911</v>
      </c>
      <c r="C439" t="s">
        <v>74</v>
      </c>
      <c r="D439" t="s">
        <v>74</v>
      </c>
      <c r="E439" t="s">
        <v>74</v>
      </c>
      <c r="F439" t="s">
        <v>8912</v>
      </c>
      <c r="G439" t="s">
        <v>74</v>
      </c>
      <c r="H439" t="s">
        <v>74</v>
      </c>
      <c r="I439" t="s">
        <v>8913</v>
      </c>
      <c r="J439" t="s">
        <v>1462</v>
      </c>
      <c r="K439" t="s">
        <v>74</v>
      </c>
      <c r="L439" t="s">
        <v>74</v>
      </c>
      <c r="M439" t="s">
        <v>80</v>
      </c>
      <c r="N439" t="s">
        <v>138</v>
      </c>
      <c r="O439" t="s">
        <v>74</v>
      </c>
      <c r="P439" t="s">
        <v>74</v>
      </c>
      <c r="Q439" t="s">
        <v>74</v>
      </c>
      <c r="R439" t="s">
        <v>74</v>
      </c>
      <c r="S439" t="s">
        <v>74</v>
      </c>
      <c r="T439" t="s">
        <v>8914</v>
      </c>
      <c r="U439" t="s">
        <v>8915</v>
      </c>
      <c r="V439" t="s">
        <v>8916</v>
      </c>
      <c r="W439" t="s">
        <v>8917</v>
      </c>
      <c r="X439" t="s">
        <v>8918</v>
      </c>
      <c r="Y439" t="s">
        <v>8919</v>
      </c>
      <c r="Z439" t="s">
        <v>8920</v>
      </c>
      <c r="AA439" t="s">
        <v>74</v>
      </c>
      <c r="AB439" t="s">
        <v>8921</v>
      </c>
      <c r="AC439" t="s">
        <v>8922</v>
      </c>
      <c r="AD439" t="s">
        <v>8923</v>
      </c>
      <c r="AE439" t="s">
        <v>8924</v>
      </c>
      <c r="AF439" t="s">
        <v>74</v>
      </c>
      <c r="AG439">
        <v>51</v>
      </c>
      <c r="AH439">
        <v>12</v>
      </c>
      <c r="AI439">
        <v>15</v>
      </c>
      <c r="AJ439">
        <v>1</v>
      </c>
      <c r="AK439">
        <v>30</v>
      </c>
      <c r="AL439" t="s">
        <v>1264</v>
      </c>
      <c r="AM439" t="s">
        <v>1265</v>
      </c>
      <c r="AN439" t="s">
        <v>1266</v>
      </c>
      <c r="AO439" t="s">
        <v>1475</v>
      </c>
      <c r="AP439" t="s">
        <v>1476</v>
      </c>
      <c r="AQ439" t="s">
        <v>74</v>
      </c>
      <c r="AR439" t="s">
        <v>1477</v>
      </c>
      <c r="AS439" t="s">
        <v>1478</v>
      </c>
      <c r="AT439" t="s">
        <v>7767</v>
      </c>
      <c r="AU439">
        <v>2019</v>
      </c>
      <c r="AV439">
        <v>46</v>
      </c>
      <c r="AW439">
        <v>21</v>
      </c>
      <c r="AX439" t="s">
        <v>74</v>
      </c>
      <c r="AY439" t="s">
        <v>74</v>
      </c>
      <c r="AZ439" t="s">
        <v>74</v>
      </c>
      <c r="BA439" t="s">
        <v>74</v>
      </c>
      <c r="BB439">
        <v>12340</v>
      </c>
      <c r="BC439">
        <v>12349</v>
      </c>
      <c r="BD439" t="s">
        <v>74</v>
      </c>
      <c r="BE439" t="s">
        <v>8925</v>
      </c>
      <c r="BF439" t="str">
        <f>HYPERLINK("http://dx.doi.org/10.1029/2019GL085292","http://dx.doi.org/10.1029/2019GL085292")</f>
        <v>http://dx.doi.org/10.1029/2019GL085292</v>
      </c>
      <c r="BG439" t="s">
        <v>74</v>
      </c>
      <c r="BH439" t="s">
        <v>6368</v>
      </c>
      <c r="BI439">
        <v>10</v>
      </c>
      <c r="BJ439" t="s">
        <v>849</v>
      </c>
      <c r="BK439" t="s">
        <v>294</v>
      </c>
      <c r="BL439" t="s">
        <v>850</v>
      </c>
      <c r="BM439" t="s">
        <v>7769</v>
      </c>
      <c r="BN439" t="s">
        <v>74</v>
      </c>
      <c r="BO439" t="s">
        <v>74</v>
      </c>
      <c r="BP439" t="s">
        <v>74</v>
      </c>
      <c r="BQ439" t="s">
        <v>74</v>
      </c>
      <c r="BR439" t="s">
        <v>108</v>
      </c>
      <c r="BS439" t="s">
        <v>8926</v>
      </c>
      <c r="BT439" t="str">
        <f>HYPERLINK("https%3A%2F%2Fwww.webofscience.com%2Fwos%2Fwoscc%2Ffull-record%2FWOS:000494347200001","View Full Record in Web of Science")</f>
        <v>View Full Record in Web of Science</v>
      </c>
    </row>
    <row r="440" spans="1:72" x14ac:dyDescent="0.15">
      <c r="A440" t="s">
        <v>133</v>
      </c>
      <c r="B440" t="s">
        <v>8927</v>
      </c>
      <c r="C440" t="s">
        <v>74</v>
      </c>
      <c r="D440" t="s">
        <v>74</v>
      </c>
      <c r="E440" t="s">
        <v>74</v>
      </c>
      <c r="F440" t="s">
        <v>8928</v>
      </c>
      <c r="G440" t="s">
        <v>74</v>
      </c>
      <c r="H440" t="s">
        <v>74</v>
      </c>
      <c r="I440" t="s">
        <v>8929</v>
      </c>
      <c r="J440" t="s">
        <v>1928</v>
      </c>
      <c r="K440" t="s">
        <v>74</v>
      </c>
      <c r="L440" t="s">
        <v>74</v>
      </c>
      <c r="M440" t="s">
        <v>80</v>
      </c>
      <c r="N440" t="s">
        <v>138</v>
      </c>
      <c r="O440" t="s">
        <v>74</v>
      </c>
      <c r="P440" t="s">
        <v>74</v>
      </c>
      <c r="Q440" t="s">
        <v>74</v>
      </c>
      <c r="R440" t="s">
        <v>74</v>
      </c>
      <c r="S440" t="s">
        <v>74</v>
      </c>
      <c r="T440" t="s">
        <v>8930</v>
      </c>
      <c r="U440" t="s">
        <v>8931</v>
      </c>
      <c r="V440" t="s">
        <v>8932</v>
      </c>
      <c r="W440" t="s">
        <v>8933</v>
      </c>
      <c r="X440" t="s">
        <v>8934</v>
      </c>
      <c r="Y440" t="s">
        <v>2978</v>
      </c>
      <c r="Z440" t="s">
        <v>2979</v>
      </c>
      <c r="AA440" t="s">
        <v>8935</v>
      </c>
      <c r="AB440" t="s">
        <v>8936</v>
      </c>
      <c r="AC440" t="s">
        <v>8937</v>
      </c>
      <c r="AD440" t="s">
        <v>8938</v>
      </c>
      <c r="AE440" t="s">
        <v>8939</v>
      </c>
      <c r="AF440" t="s">
        <v>74</v>
      </c>
      <c r="AG440">
        <v>94</v>
      </c>
      <c r="AH440">
        <v>23</v>
      </c>
      <c r="AI440">
        <v>23</v>
      </c>
      <c r="AJ440">
        <v>2</v>
      </c>
      <c r="AK440">
        <v>40</v>
      </c>
      <c r="AL440" t="s">
        <v>1264</v>
      </c>
      <c r="AM440" t="s">
        <v>1265</v>
      </c>
      <c r="AN440" t="s">
        <v>1266</v>
      </c>
      <c r="AO440" t="s">
        <v>1940</v>
      </c>
      <c r="AP440" t="s">
        <v>1941</v>
      </c>
      <c r="AQ440" t="s">
        <v>74</v>
      </c>
      <c r="AR440" t="s">
        <v>1942</v>
      </c>
      <c r="AS440" t="s">
        <v>1943</v>
      </c>
      <c r="AT440" t="s">
        <v>3457</v>
      </c>
      <c r="AU440">
        <v>2019</v>
      </c>
      <c r="AV440">
        <v>124</v>
      </c>
      <c r="AW440">
        <v>11</v>
      </c>
      <c r="AX440" t="s">
        <v>74</v>
      </c>
      <c r="AY440" t="s">
        <v>74</v>
      </c>
      <c r="AZ440" t="s">
        <v>74</v>
      </c>
      <c r="BA440" t="s">
        <v>74</v>
      </c>
      <c r="BB440">
        <v>7328</v>
      </c>
      <c r="BC440">
        <v>7343</v>
      </c>
      <c r="BD440" t="s">
        <v>74</v>
      </c>
      <c r="BE440" t="s">
        <v>8940</v>
      </c>
      <c r="BF440" t="str">
        <f>HYPERLINK("http://dx.doi.org/10.1029/2019JC015355","http://dx.doi.org/10.1029/2019JC015355")</f>
        <v>http://dx.doi.org/10.1029/2019JC015355</v>
      </c>
      <c r="BG440" t="s">
        <v>74</v>
      </c>
      <c r="BH440" t="s">
        <v>6368</v>
      </c>
      <c r="BI440">
        <v>16</v>
      </c>
      <c r="BJ440" t="s">
        <v>1945</v>
      </c>
      <c r="BK440" t="s">
        <v>294</v>
      </c>
      <c r="BL440" t="s">
        <v>1945</v>
      </c>
      <c r="BM440" t="s">
        <v>6369</v>
      </c>
      <c r="BN440" t="s">
        <v>74</v>
      </c>
      <c r="BO440" t="s">
        <v>2349</v>
      </c>
      <c r="BP440" t="s">
        <v>74</v>
      </c>
      <c r="BQ440" t="s">
        <v>74</v>
      </c>
      <c r="BR440" t="s">
        <v>108</v>
      </c>
      <c r="BS440" t="s">
        <v>8941</v>
      </c>
      <c r="BT440" t="str">
        <f>HYPERLINK("https%3A%2F%2Fwww.webofscience.com%2Fwos%2Fwoscc%2Ffull-record%2FWOS:000494218500001","View Full Record in Web of Science")</f>
        <v>View Full Record in Web of Science</v>
      </c>
    </row>
    <row r="441" spans="1:72" x14ac:dyDescent="0.15">
      <c r="A441" t="s">
        <v>133</v>
      </c>
      <c r="B441" t="s">
        <v>8942</v>
      </c>
      <c r="C441" t="s">
        <v>74</v>
      </c>
      <c r="D441" t="s">
        <v>74</v>
      </c>
      <c r="E441" t="s">
        <v>74</v>
      </c>
      <c r="F441" t="s">
        <v>8943</v>
      </c>
      <c r="G441" t="s">
        <v>74</v>
      </c>
      <c r="H441" t="s">
        <v>74</v>
      </c>
      <c r="I441" t="s">
        <v>8944</v>
      </c>
      <c r="J441" t="s">
        <v>8945</v>
      </c>
      <c r="K441" t="s">
        <v>74</v>
      </c>
      <c r="L441" t="s">
        <v>74</v>
      </c>
      <c r="M441" t="s">
        <v>80</v>
      </c>
      <c r="N441" t="s">
        <v>138</v>
      </c>
      <c r="O441" t="s">
        <v>74</v>
      </c>
      <c r="P441" t="s">
        <v>74</v>
      </c>
      <c r="Q441" t="s">
        <v>74</v>
      </c>
      <c r="R441" t="s">
        <v>74</v>
      </c>
      <c r="S441" t="s">
        <v>74</v>
      </c>
      <c r="T441" t="s">
        <v>8946</v>
      </c>
      <c r="U441" t="s">
        <v>8947</v>
      </c>
      <c r="V441" t="s">
        <v>8948</v>
      </c>
      <c r="W441" t="s">
        <v>8949</v>
      </c>
      <c r="X441" t="s">
        <v>8950</v>
      </c>
      <c r="Y441" t="s">
        <v>8951</v>
      </c>
      <c r="Z441" t="s">
        <v>8952</v>
      </c>
      <c r="AA441" t="s">
        <v>8953</v>
      </c>
      <c r="AB441" t="s">
        <v>8954</v>
      </c>
      <c r="AC441" t="s">
        <v>8955</v>
      </c>
      <c r="AD441" t="s">
        <v>8956</v>
      </c>
      <c r="AE441" t="s">
        <v>8957</v>
      </c>
      <c r="AF441" t="s">
        <v>74</v>
      </c>
      <c r="AG441">
        <v>103</v>
      </c>
      <c r="AH441">
        <v>12</v>
      </c>
      <c r="AI441">
        <v>12</v>
      </c>
      <c r="AJ441">
        <v>1</v>
      </c>
      <c r="AK441">
        <v>2</v>
      </c>
      <c r="AL441" t="s">
        <v>284</v>
      </c>
      <c r="AM441" t="s">
        <v>285</v>
      </c>
      <c r="AN441" t="s">
        <v>286</v>
      </c>
      <c r="AO441" t="s">
        <v>8958</v>
      </c>
      <c r="AP441" t="s">
        <v>8959</v>
      </c>
      <c r="AQ441" t="s">
        <v>74</v>
      </c>
      <c r="AR441" t="s">
        <v>8960</v>
      </c>
      <c r="AS441" t="s">
        <v>8961</v>
      </c>
      <c r="AT441" t="s">
        <v>8826</v>
      </c>
      <c r="AU441">
        <v>2019</v>
      </c>
      <c r="AV441">
        <v>526</v>
      </c>
      <c r="AW441" t="s">
        <v>74</v>
      </c>
      <c r="AX441" t="s">
        <v>74</v>
      </c>
      <c r="AY441" t="s">
        <v>74</v>
      </c>
      <c r="AZ441" t="s">
        <v>555</v>
      </c>
      <c r="BA441" t="s">
        <v>74</v>
      </c>
      <c r="BB441">
        <v>62</v>
      </c>
      <c r="BC441">
        <v>83</v>
      </c>
      <c r="BD441" t="s">
        <v>74</v>
      </c>
      <c r="BE441" t="s">
        <v>8962</v>
      </c>
      <c r="BF441" t="str">
        <f>HYPERLINK("http://dx.doi.org/10.1016/j.chemgeo.2018.05.034","http://dx.doi.org/10.1016/j.chemgeo.2018.05.034")</f>
        <v>http://dx.doi.org/10.1016/j.chemgeo.2018.05.034</v>
      </c>
      <c r="BG441" t="s">
        <v>74</v>
      </c>
      <c r="BH441" t="s">
        <v>74</v>
      </c>
      <c r="BI441">
        <v>22</v>
      </c>
      <c r="BJ441" t="s">
        <v>1067</v>
      </c>
      <c r="BK441" t="s">
        <v>294</v>
      </c>
      <c r="BL441" t="s">
        <v>1067</v>
      </c>
      <c r="BM441" t="s">
        <v>8963</v>
      </c>
      <c r="BN441" t="s">
        <v>74</v>
      </c>
      <c r="BO441" t="s">
        <v>638</v>
      </c>
      <c r="BP441" t="s">
        <v>74</v>
      </c>
      <c r="BQ441" t="s">
        <v>74</v>
      </c>
      <c r="BR441" t="s">
        <v>108</v>
      </c>
      <c r="BS441" t="s">
        <v>8964</v>
      </c>
      <c r="BT441" t="str">
        <f>HYPERLINK("https%3A%2F%2Fwww.webofscience.com%2Fwos%2Fwoscc%2Ffull-record%2FWOS:000496914500006","View Full Record in Web of Science")</f>
        <v>View Full Record in Web of Science</v>
      </c>
    </row>
    <row r="442" spans="1:72" x14ac:dyDescent="0.15">
      <c r="A442" t="s">
        <v>133</v>
      </c>
      <c r="B442" t="s">
        <v>8965</v>
      </c>
      <c r="C442" t="s">
        <v>74</v>
      </c>
      <c r="D442" t="s">
        <v>74</v>
      </c>
      <c r="E442" t="s">
        <v>74</v>
      </c>
      <c r="F442" t="s">
        <v>8966</v>
      </c>
      <c r="G442" t="s">
        <v>74</v>
      </c>
      <c r="H442" t="s">
        <v>74</v>
      </c>
      <c r="I442" t="s">
        <v>8967</v>
      </c>
      <c r="J442" t="s">
        <v>1225</v>
      </c>
      <c r="K442" t="s">
        <v>74</v>
      </c>
      <c r="L442" t="s">
        <v>74</v>
      </c>
      <c r="M442" t="s">
        <v>80</v>
      </c>
      <c r="N442" t="s">
        <v>138</v>
      </c>
      <c r="O442" t="s">
        <v>74</v>
      </c>
      <c r="P442" t="s">
        <v>74</v>
      </c>
      <c r="Q442" t="s">
        <v>74</v>
      </c>
      <c r="R442" t="s">
        <v>74</v>
      </c>
      <c r="S442" t="s">
        <v>74</v>
      </c>
      <c r="T442" t="s">
        <v>74</v>
      </c>
      <c r="U442" t="s">
        <v>8968</v>
      </c>
      <c r="V442" t="s">
        <v>8969</v>
      </c>
      <c r="W442" t="s">
        <v>8970</v>
      </c>
      <c r="X442" t="s">
        <v>8971</v>
      </c>
      <c r="Y442" t="s">
        <v>8972</v>
      </c>
      <c r="Z442" t="s">
        <v>8973</v>
      </c>
      <c r="AA442" t="s">
        <v>8974</v>
      </c>
      <c r="AB442" t="s">
        <v>8975</v>
      </c>
      <c r="AC442" t="s">
        <v>8976</v>
      </c>
      <c r="AD442" t="s">
        <v>8977</v>
      </c>
      <c r="AE442" t="s">
        <v>8978</v>
      </c>
      <c r="AF442" t="s">
        <v>74</v>
      </c>
      <c r="AG442">
        <v>63</v>
      </c>
      <c r="AH442">
        <v>15</v>
      </c>
      <c r="AI442">
        <v>17</v>
      </c>
      <c r="AJ442">
        <v>1</v>
      </c>
      <c r="AK442">
        <v>8</v>
      </c>
      <c r="AL442" t="s">
        <v>1237</v>
      </c>
      <c r="AM442" t="s">
        <v>1238</v>
      </c>
      <c r="AN442" t="s">
        <v>1239</v>
      </c>
      <c r="AO442" t="s">
        <v>1240</v>
      </c>
      <c r="AP442" t="s">
        <v>74</v>
      </c>
      <c r="AQ442" t="s">
        <v>74</v>
      </c>
      <c r="AR442" t="s">
        <v>1225</v>
      </c>
      <c r="AS442" t="s">
        <v>1241</v>
      </c>
      <c r="AT442" t="s">
        <v>8979</v>
      </c>
      <c r="AU442">
        <v>2019</v>
      </c>
      <c r="AV442">
        <v>14</v>
      </c>
      <c r="AW442">
        <v>11</v>
      </c>
      <c r="AX442" t="s">
        <v>74</v>
      </c>
      <c r="AY442" t="s">
        <v>74</v>
      </c>
      <c r="AZ442" t="s">
        <v>74</v>
      </c>
      <c r="BA442" t="s">
        <v>74</v>
      </c>
      <c r="BB442" t="s">
        <v>74</v>
      </c>
      <c r="BC442" t="s">
        <v>74</v>
      </c>
      <c r="BD442" t="s">
        <v>8980</v>
      </c>
      <c r="BE442" t="s">
        <v>8981</v>
      </c>
      <c r="BF442" t="str">
        <f>HYPERLINK("http://dx.doi.org/10.1371/journal.pone.0224395","http://dx.doi.org/10.1371/journal.pone.0224395")</f>
        <v>http://dx.doi.org/10.1371/journal.pone.0224395</v>
      </c>
      <c r="BG442" t="s">
        <v>74</v>
      </c>
      <c r="BH442" t="s">
        <v>74</v>
      </c>
      <c r="BI442">
        <v>13</v>
      </c>
      <c r="BJ442" t="s">
        <v>1245</v>
      </c>
      <c r="BK442" t="s">
        <v>294</v>
      </c>
      <c r="BL442" t="s">
        <v>1246</v>
      </c>
      <c r="BM442" t="s">
        <v>8982</v>
      </c>
      <c r="BN442">
        <v>31682631</v>
      </c>
      <c r="BO442" t="s">
        <v>1354</v>
      </c>
      <c r="BP442" t="s">
        <v>74</v>
      </c>
      <c r="BQ442" t="s">
        <v>74</v>
      </c>
      <c r="BR442" t="s">
        <v>108</v>
      </c>
      <c r="BS442" t="s">
        <v>8983</v>
      </c>
      <c r="BT442" t="str">
        <f>HYPERLINK("https%3A%2F%2Fwww.webofscience.com%2Fwos%2Fwoscc%2Ffull-record%2FWOS:000532676800015","View Full Record in Web of Science")</f>
        <v>View Full Record in Web of Science</v>
      </c>
    </row>
    <row r="443" spans="1:72" x14ac:dyDescent="0.15">
      <c r="A443" t="s">
        <v>133</v>
      </c>
      <c r="B443" t="s">
        <v>8984</v>
      </c>
      <c r="C443" t="s">
        <v>74</v>
      </c>
      <c r="D443" t="s">
        <v>74</v>
      </c>
      <c r="E443" t="s">
        <v>74</v>
      </c>
      <c r="F443" t="s">
        <v>8985</v>
      </c>
      <c r="G443" t="s">
        <v>74</v>
      </c>
      <c r="H443" t="s">
        <v>74</v>
      </c>
      <c r="I443" t="s">
        <v>8986</v>
      </c>
      <c r="J443" t="s">
        <v>8987</v>
      </c>
      <c r="K443" t="s">
        <v>74</v>
      </c>
      <c r="L443" t="s">
        <v>74</v>
      </c>
      <c r="M443" t="s">
        <v>80</v>
      </c>
      <c r="N443" t="s">
        <v>138</v>
      </c>
      <c r="O443" t="s">
        <v>74</v>
      </c>
      <c r="P443" t="s">
        <v>74</v>
      </c>
      <c r="Q443" t="s">
        <v>74</v>
      </c>
      <c r="R443" t="s">
        <v>74</v>
      </c>
      <c r="S443" t="s">
        <v>74</v>
      </c>
      <c r="T443" t="s">
        <v>8988</v>
      </c>
      <c r="U443" t="s">
        <v>74</v>
      </c>
      <c r="V443" t="s">
        <v>8989</v>
      </c>
      <c r="W443" t="s">
        <v>8990</v>
      </c>
      <c r="X443" t="s">
        <v>8991</v>
      </c>
      <c r="Y443" t="s">
        <v>8992</v>
      </c>
      <c r="Z443" t="s">
        <v>8993</v>
      </c>
      <c r="AA443" t="s">
        <v>74</v>
      </c>
      <c r="AB443" t="s">
        <v>74</v>
      </c>
      <c r="AC443" t="s">
        <v>74</v>
      </c>
      <c r="AD443" t="s">
        <v>74</v>
      </c>
      <c r="AE443" t="s">
        <v>74</v>
      </c>
      <c r="AF443" t="s">
        <v>74</v>
      </c>
      <c r="AG443">
        <v>41</v>
      </c>
      <c r="AH443">
        <v>4</v>
      </c>
      <c r="AI443">
        <v>4</v>
      </c>
      <c r="AJ443">
        <v>0</v>
      </c>
      <c r="AK443">
        <v>15</v>
      </c>
      <c r="AL443" t="s">
        <v>1964</v>
      </c>
      <c r="AM443" t="s">
        <v>4096</v>
      </c>
      <c r="AN443" t="s">
        <v>4097</v>
      </c>
      <c r="AO443" t="s">
        <v>8994</v>
      </c>
      <c r="AP443" t="s">
        <v>8995</v>
      </c>
      <c r="AQ443" t="s">
        <v>74</v>
      </c>
      <c r="AR443" t="s">
        <v>8996</v>
      </c>
      <c r="AS443" t="s">
        <v>8997</v>
      </c>
      <c r="AT443" t="s">
        <v>1270</v>
      </c>
      <c r="AU443">
        <v>2019</v>
      </c>
      <c r="AV443">
        <v>19</v>
      </c>
      <c r="AW443">
        <v>6</v>
      </c>
      <c r="AX443" t="s">
        <v>74</v>
      </c>
      <c r="AY443" t="s">
        <v>74</v>
      </c>
      <c r="AZ443" t="s">
        <v>74</v>
      </c>
      <c r="BA443" t="s">
        <v>74</v>
      </c>
      <c r="BB443">
        <v>631</v>
      </c>
      <c r="BC443">
        <v>645</v>
      </c>
      <c r="BD443" t="s">
        <v>74</v>
      </c>
      <c r="BE443" t="s">
        <v>8998</v>
      </c>
      <c r="BF443" t="str">
        <f>HYPERLINK("http://dx.doi.org/10.1007/s10784-019-09457-4","http://dx.doi.org/10.1007/s10784-019-09457-4")</f>
        <v>http://dx.doi.org/10.1007/s10784-019-09457-4</v>
      </c>
      <c r="BG443" t="s">
        <v>74</v>
      </c>
      <c r="BH443" t="s">
        <v>6368</v>
      </c>
      <c r="BI443">
        <v>15</v>
      </c>
      <c r="BJ443" t="s">
        <v>8999</v>
      </c>
      <c r="BK443" t="s">
        <v>717</v>
      </c>
      <c r="BL443" t="s">
        <v>9000</v>
      </c>
      <c r="BM443" t="s">
        <v>9001</v>
      </c>
      <c r="BN443" t="s">
        <v>74</v>
      </c>
      <c r="BO443" t="s">
        <v>74</v>
      </c>
      <c r="BP443" t="s">
        <v>74</v>
      </c>
      <c r="BQ443" t="s">
        <v>74</v>
      </c>
      <c r="BR443" t="s">
        <v>108</v>
      </c>
      <c r="BS443" t="s">
        <v>9002</v>
      </c>
      <c r="BT443" t="str">
        <f>HYPERLINK("https%3A%2F%2Fwww.webofscience.com%2Fwos%2Fwoscc%2Ffull-record%2FWOS:000494008600001","View Full Record in Web of Science")</f>
        <v>View Full Record in Web of Science</v>
      </c>
    </row>
    <row r="444" spans="1:72" x14ac:dyDescent="0.15">
      <c r="A444" t="s">
        <v>133</v>
      </c>
      <c r="B444" t="s">
        <v>9003</v>
      </c>
      <c r="C444" t="s">
        <v>74</v>
      </c>
      <c r="D444" t="s">
        <v>74</v>
      </c>
      <c r="E444" t="s">
        <v>74</v>
      </c>
      <c r="F444" t="s">
        <v>9004</v>
      </c>
      <c r="G444" t="s">
        <v>74</v>
      </c>
      <c r="H444" t="s">
        <v>74</v>
      </c>
      <c r="I444" t="s">
        <v>9005</v>
      </c>
      <c r="J444" t="s">
        <v>1902</v>
      </c>
      <c r="K444" t="s">
        <v>74</v>
      </c>
      <c r="L444" t="s">
        <v>74</v>
      </c>
      <c r="M444" t="s">
        <v>80</v>
      </c>
      <c r="N444" t="s">
        <v>138</v>
      </c>
      <c r="O444" t="s">
        <v>74</v>
      </c>
      <c r="P444" t="s">
        <v>74</v>
      </c>
      <c r="Q444" t="s">
        <v>74</v>
      </c>
      <c r="R444" t="s">
        <v>74</v>
      </c>
      <c r="S444" t="s">
        <v>74</v>
      </c>
      <c r="T444" t="s">
        <v>9006</v>
      </c>
      <c r="U444" t="s">
        <v>9007</v>
      </c>
      <c r="V444" t="s">
        <v>9008</v>
      </c>
      <c r="W444" t="s">
        <v>9009</v>
      </c>
      <c r="X444" t="s">
        <v>9010</v>
      </c>
      <c r="Y444" t="s">
        <v>9011</v>
      </c>
      <c r="Z444" t="s">
        <v>9012</v>
      </c>
      <c r="AA444" t="s">
        <v>9013</v>
      </c>
      <c r="AB444" t="s">
        <v>9014</v>
      </c>
      <c r="AC444" t="s">
        <v>9015</v>
      </c>
      <c r="AD444" t="s">
        <v>9016</v>
      </c>
      <c r="AE444" t="s">
        <v>9017</v>
      </c>
      <c r="AF444" t="s">
        <v>74</v>
      </c>
      <c r="AG444">
        <v>68</v>
      </c>
      <c r="AH444">
        <v>5</v>
      </c>
      <c r="AI444">
        <v>6</v>
      </c>
      <c r="AJ444">
        <v>2</v>
      </c>
      <c r="AK444">
        <v>15</v>
      </c>
      <c r="AL444" t="s">
        <v>1915</v>
      </c>
      <c r="AM444" t="s">
        <v>1916</v>
      </c>
      <c r="AN444" t="s">
        <v>1917</v>
      </c>
      <c r="AO444" t="s">
        <v>1918</v>
      </c>
      <c r="AP444" t="s">
        <v>1919</v>
      </c>
      <c r="AQ444" t="s">
        <v>74</v>
      </c>
      <c r="AR444" t="s">
        <v>1902</v>
      </c>
      <c r="AS444" t="s">
        <v>1920</v>
      </c>
      <c r="AT444" t="s">
        <v>291</v>
      </c>
      <c r="AU444">
        <v>2020</v>
      </c>
      <c r="AV444">
        <v>24</v>
      </c>
      <c r="AW444">
        <v>1</v>
      </c>
      <c r="AX444" t="s">
        <v>74</v>
      </c>
      <c r="AY444" t="s">
        <v>74</v>
      </c>
      <c r="AZ444" t="s">
        <v>555</v>
      </c>
      <c r="BA444" t="s">
        <v>74</v>
      </c>
      <c r="BB444">
        <v>107</v>
      </c>
      <c r="BC444">
        <v>120</v>
      </c>
      <c r="BD444" t="s">
        <v>74</v>
      </c>
      <c r="BE444" t="s">
        <v>9018</v>
      </c>
      <c r="BF444" t="str">
        <f>HYPERLINK("http://dx.doi.org/10.1007/s00792-019-01139-y","http://dx.doi.org/10.1007/s00792-019-01139-y")</f>
        <v>http://dx.doi.org/10.1007/s00792-019-01139-y</v>
      </c>
      <c r="BG444" t="s">
        <v>74</v>
      </c>
      <c r="BH444" t="s">
        <v>6368</v>
      </c>
      <c r="BI444">
        <v>14</v>
      </c>
      <c r="BJ444" t="s">
        <v>1922</v>
      </c>
      <c r="BK444" t="s">
        <v>294</v>
      </c>
      <c r="BL444" t="s">
        <v>1922</v>
      </c>
      <c r="BM444" t="s">
        <v>9019</v>
      </c>
      <c r="BN444">
        <v>31679078</v>
      </c>
      <c r="BO444" t="s">
        <v>74</v>
      </c>
      <c r="BP444" t="s">
        <v>74</v>
      </c>
      <c r="BQ444" t="s">
        <v>74</v>
      </c>
      <c r="BR444" t="s">
        <v>108</v>
      </c>
      <c r="BS444" t="s">
        <v>9020</v>
      </c>
      <c r="BT444" t="str">
        <f>HYPERLINK("https%3A%2F%2Fwww.webofscience.com%2Fwos%2Fwoscc%2Ffull-record%2FWOS:000493691300001","View Full Record in Web of Science")</f>
        <v>View Full Record in Web of Science</v>
      </c>
    </row>
    <row r="445" spans="1:72" x14ac:dyDescent="0.15">
      <c r="A445" t="s">
        <v>133</v>
      </c>
      <c r="B445" t="s">
        <v>9021</v>
      </c>
      <c r="C445" t="s">
        <v>74</v>
      </c>
      <c r="D445" t="s">
        <v>74</v>
      </c>
      <c r="E445" t="s">
        <v>74</v>
      </c>
      <c r="F445" t="s">
        <v>9022</v>
      </c>
      <c r="G445" t="s">
        <v>74</v>
      </c>
      <c r="H445" t="s">
        <v>74</v>
      </c>
      <c r="I445" t="s">
        <v>9023</v>
      </c>
      <c r="J445" t="s">
        <v>9024</v>
      </c>
      <c r="K445" t="s">
        <v>74</v>
      </c>
      <c r="L445" t="s">
        <v>74</v>
      </c>
      <c r="M445" t="s">
        <v>80</v>
      </c>
      <c r="N445" t="s">
        <v>138</v>
      </c>
      <c r="O445" t="s">
        <v>74</v>
      </c>
      <c r="P445" t="s">
        <v>74</v>
      </c>
      <c r="Q445" t="s">
        <v>74</v>
      </c>
      <c r="R445" t="s">
        <v>74</v>
      </c>
      <c r="S445" t="s">
        <v>74</v>
      </c>
      <c r="T445" t="s">
        <v>74</v>
      </c>
      <c r="U445" t="s">
        <v>9025</v>
      </c>
      <c r="V445" t="s">
        <v>9026</v>
      </c>
      <c r="W445" t="s">
        <v>9027</v>
      </c>
      <c r="X445" t="s">
        <v>9028</v>
      </c>
      <c r="Y445" t="s">
        <v>9029</v>
      </c>
      <c r="Z445" t="s">
        <v>9030</v>
      </c>
      <c r="AA445" t="s">
        <v>9031</v>
      </c>
      <c r="AB445" t="s">
        <v>9032</v>
      </c>
      <c r="AC445" t="s">
        <v>9033</v>
      </c>
      <c r="AD445" t="s">
        <v>4526</v>
      </c>
      <c r="AE445" t="s">
        <v>9034</v>
      </c>
      <c r="AF445" t="s">
        <v>74</v>
      </c>
      <c r="AG445">
        <v>24</v>
      </c>
      <c r="AH445">
        <v>0</v>
      </c>
      <c r="AI445">
        <v>0</v>
      </c>
      <c r="AJ445">
        <v>0</v>
      </c>
      <c r="AK445">
        <v>47</v>
      </c>
      <c r="AL445" t="s">
        <v>1758</v>
      </c>
      <c r="AM445" t="s">
        <v>1759</v>
      </c>
      <c r="AN445" t="s">
        <v>1760</v>
      </c>
      <c r="AO445" t="s">
        <v>9035</v>
      </c>
      <c r="AP445" t="s">
        <v>9036</v>
      </c>
      <c r="AQ445" t="s">
        <v>74</v>
      </c>
      <c r="AR445" t="s">
        <v>9037</v>
      </c>
      <c r="AS445" t="s">
        <v>9038</v>
      </c>
      <c r="AT445" t="s">
        <v>9039</v>
      </c>
      <c r="AU445">
        <v>2019</v>
      </c>
      <c r="AV445">
        <v>10</v>
      </c>
      <c r="AW445">
        <v>11</v>
      </c>
      <c r="AX445" t="s">
        <v>74</v>
      </c>
      <c r="AY445" t="s">
        <v>74</v>
      </c>
      <c r="AZ445" t="s">
        <v>74</v>
      </c>
      <c r="BA445" t="s">
        <v>74</v>
      </c>
      <c r="BB445">
        <v>1113</v>
      </c>
      <c r="BC445">
        <v>1122</v>
      </c>
      <c r="BD445" t="s">
        <v>74</v>
      </c>
      <c r="BE445" t="s">
        <v>9040</v>
      </c>
      <c r="BF445" t="str">
        <f>HYPERLINK("http://dx.doi.org/10.1080/2150704X.2019.1650983","http://dx.doi.org/10.1080/2150704X.2019.1650983")</f>
        <v>http://dx.doi.org/10.1080/2150704X.2019.1650983</v>
      </c>
      <c r="BG445" t="s">
        <v>74</v>
      </c>
      <c r="BH445" t="s">
        <v>74</v>
      </c>
      <c r="BI445">
        <v>10</v>
      </c>
      <c r="BJ445" t="s">
        <v>9041</v>
      </c>
      <c r="BK445" t="s">
        <v>294</v>
      </c>
      <c r="BL445" t="s">
        <v>9041</v>
      </c>
      <c r="BM445" t="s">
        <v>9042</v>
      </c>
      <c r="BN445" t="s">
        <v>74</v>
      </c>
      <c r="BO445" t="s">
        <v>74</v>
      </c>
      <c r="BP445" t="s">
        <v>74</v>
      </c>
      <c r="BQ445" t="s">
        <v>74</v>
      </c>
      <c r="BR445" t="s">
        <v>108</v>
      </c>
      <c r="BS445" t="s">
        <v>9043</v>
      </c>
      <c r="BT445" t="str">
        <f>HYPERLINK("https%3A%2F%2Fwww.webofscience.com%2Fwos%2Fwoscc%2Ffull-record%2FWOS:000479072200001","View Full Record in Web of Science")</f>
        <v>View Full Record in Web of Science</v>
      </c>
    </row>
    <row r="446" spans="1:72" x14ac:dyDescent="0.15">
      <c r="A446" t="s">
        <v>133</v>
      </c>
      <c r="B446" t="s">
        <v>9044</v>
      </c>
      <c r="C446" t="s">
        <v>74</v>
      </c>
      <c r="D446" t="s">
        <v>74</v>
      </c>
      <c r="E446" t="s">
        <v>74</v>
      </c>
      <c r="F446" t="s">
        <v>9045</v>
      </c>
      <c r="G446" t="s">
        <v>74</v>
      </c>
      <c r="H446" t="s">
        <v>74</v>
      </c>
      <c r="I446" t="s">
        <v>9046</v>
      </c>
      <c r="J446" t="s">
        <v>9047</v>
      </c>
      <c r="K446" t="s">
        <v>74</v>
      </c>
      <c r="L446" t="s">
        <v>74</v>
      </c>
      <c r="M446" t="s">
        <v>80</v>
      </c>
      <c r="N446" t="s">
        <v>138</v>
      </c>
      <c r="O446" t="s">
        <v>74</v>
      </c>
      <c r="P446" t="s">
        <v>74</v>
      </c>
      <c r="Q446" t="s">
        <v>74</v>
      </c>
      <c r="R446" t="s">
        <v>74</v>
      </c>
      <c r="S446" t="s">
        <v>74</v>
      </c>
      <c r="T446" t="s">
        <v>9048</v>
      </c>
      <c r="U446" t="s">
        <v>9049</v>
      </c>
      <c r="V446" t="s">
        <v>9050</v>
      </c>
      <c r="W446" t="s">
        <v>9051</v>
      </c>
      <c r="X446" t="s">
        <v>74</v>
      </c>
      <c r="Y446" t="s">
        <v>9052</v>
      </c>
      <c r="Z446" t="s">
        <v>9053</v>
      </c>
      <c r="AA446" t="s">
        <v>74</v>
      </c>
      <c r="AB446" t="s">
        <v>74</v>
      </c>
      <c r="AC446" t="s">
        <v>74</v>
      </c>
      <c r="AD446" t="s">
        <v>74</v>
      </c>
      <c r="AE446" t="s">
        <v>74</v>
      </c>
      <c r="AF446" t="s">
        <v>74</v>
      </c>
      <c r="AG446">
        <v>35</v>
      </c>
      <c r="AH446">
        <v>1</v>
      </c>
      <c r="AI446">
        <v>2</v>
      </c>
      <c r="AJ446">
        <v>0</v>
      </c>
      <c r="AK446">
        <v>2</v>
      </c>
      <c r="AL446" t="s">
        <v>605</v>
      </c>
      <c r="AM446" t="s">
        <v>1965</v>
      </c>
      <c r="AN446" t="s">
        <v>4578</v>
      </c>
      <c r="AO446" t="s">
        <v>9054</v>
      </c>
      <c r="AP446" t="s">
        <v>9055</v>
      </c>
      <c r="AQ446" t="s">
        <v>74</v>
      </c>
      <c r="AR446" t="s">
        <v>9056</v>
      </c>
      <c r="AS446" t="s">
        <v>9057</v>
      </c>
      <c r="AT446" t="s">
        <v>3457</v>
      </c>
      <c r="AU446">
        <v>2019</v>
      </c>
      <c r="AV446">
        <v>55</v>
      </c>
      <c r="AW446">
        <v>6</v>
      </c>
      <c r="AX446" t="s">
        <v>74</v>
      </c>
      <c r="AY446" t="s">
        <v>74</v>
      </c>
      <c r="AZ446" t="s">
        <v>74</v>
      </c>
      <c r="BA446" t="s">
        <v>74</v>
      </c>
      <c r="BB446">
        <v>373</v>
      </c>
      <c r="BC446">
        <v>384</v>
      </c>
      <c r="BD446" t="s">
        <v>9058</v>
      </c>
      <c r="BE446" t="s">
        <v>9059</v>
      </c>
      <c r="BF446" t="str">
        <f>HYPERLINK("http://dx.doi.org/10.1017/S0032247419000688","http://dx.doi.org/10.1017/S0032247419000688")</f>
        <v>http://dx.doi.org/10.1017/S0032247419000688</v>
      </c>
      <c r="BG446" t="s">
        <v>74</v>
      </c>
      <c r="BH446" t="s">
        <v>74</v>
      </c>
      <c r="BI446">
        <v>12</v>
      </c>
      <c r="BJ446" t="s">
        <v>9060</v>
      </c>
      <c r="BK446" t="s">
        <v>294</v>
      </c>
      <c r="BL446" t="s">
        <v>388</v>
      </c>
      <c r="BM446" t="s">
        <v>9061</v>
      </c>
      <c r="BN446" t="s">
        <v>74</v>
      </c>
      <c r="BO446" t="s">
        <v>74</v>
      </c>
      <c r="BP446" t="s">
        <v>74</v>
      </c>
      <c r="BQ446" t="s">
        <v>74</v>
      </c>
      <c r="BR446" t="s">
        <v>108</v>
      </c>
      <c r="BS446" t="s">
        <v>9062</v>
      </c>
      <c r="BT446" t="str">
        <f>HYPERLINK("https%3A%2F%2Fwww.webofscience.com%2Fwos%2Fwoscc%2Ffull-record%2FWOS:000568317400002","View Full Record in Web of Science")</f>
        <v>View Full Record in Web of Science</v>
      </c>
    </row>
    <row r="447" spans="1:72" x14ac:dyDescent="0.15">
      <c r="A447" t="s">
        <v>133</v>
      </c>
      <c r="B447" t="s">
        <v>9063</v>
      </c>
      <c r="C447" t="s">
        <v>74</v>
      </c>
      <c r="D447" t="s">
        <v>74</v>
      </c>
      <c r="E447" t="s">
        <v>74</v>
      </c>
      <c r="F447" t="s">
        <v>9064</v>
      </c>
      <c r="G447" t="s">
        <v>74</v>
      </c>
      <c r="H447" t="s">
        <v>74</v>
      </c>
      <c r="I447" t="s">
        <v>9065</v>
      </c>
      <c r="J447" t="s">
        <v>9047</v>
      </c>
      <c r="K447" t="s">
        <v>74</v>
      </c>
      <c r="L447" t="s">
        <v>74</v>
      </c>
      <c r="M447" t="s">
        <v>80</v>
      </c>
      <c r="N447" t="s">
        <v>138</v>
      </c>
      <c r="O447" t="s">
        <v>74</v>
      </c>
      <c r="P447" t="s">
        <v>74</v>
      </c>
      <c r="Q447" t="s">
        <v>74</v>
      </c>
      <c r="R447" t="s">
        <v>74</v>
      </c>
      <c r="S447" t="s">
        <v>74</v>
      </c>
      <c r="T447" t="s">
        <v>9066</v>
      </c>
      <c r="U447" t="s">
        <v>9067</v>
      </c>
      <c r="V447" t="s">
        <v>9068</v>
      </c>
      <c r="W447" t="s">
        <v>9069</v>
      </c>
      <c r="X447" t="s">
        <v>9070</v>
      </c>
      <c r="Y447" t="s">
        <v>9071</v>
      </c>
      <c r="Z447" t="s">
        <v>9072</v>
      </c>
      <c r="AA447" t="s">
        <v>9073</v>
      </c>
      <c r="AB447" t="s">
        <v>9074</v>
      </c>
      <c r="AC447" t="s">
        <v>9075</v>
      </c>
      <c r="AD447" t="s">
        <v>9076</v>
      </c>
      <c r="AE447" t="s">
        <v>9077</v>
      </c>
      <c r="AF447" t="s">
        <v>74</v>
      </c>
      <c r="AG447">
        <v>49</v>
      </c>
      <c r="AH447">
        <v>2</v>
      </c>
      <c r="AI447">
        <v>2</v>
      </c>
      <c r="AJ447">
        <v>5</v>
      </c>
      <c r="AK447">
        <v>16</v>
      </c>
      <c r="AL447" t="s">
        <v>605</v>
      </c>
      <c r="AM447" t="s">
        <v>1965</v>
      </c>
      <c r="AN447" t="s">
        <v>4578</v>
      </c>
      <c r="AO447" t="s">
        <v>9054</v>
      </c>
      <c r="AP447" t="s">
        <v>9055</v>
      </c>
      <c r="AQ447" t="s">
        <v>74</v>
      </c>
      <c r="AR447" t="s">
        <v>9056</v>
      </c>
      <c r="AS447" t="s">
        <v>9057</v>
      </c>
      <c r="AT447" t="s">
        <v>3457</v>
      </c>
      <c r="AU447">
        <v>2019</v>
      </c>
      <c r="AV447">
        <v>55</v>
      </c>
      <c r="AW447">
        <v>6</v>
      </c>
      <c r="AX447" t="s">
        <v>74</v>
      </c>
      <c r="AY447" t="s">
        <v>74</v>
      </c>
      <c r="AZ447" t="s">
        <v>74</v>
      </c>
      <c r="BA447" t="s">
        <v>74</v>
      </c>
      <c r="BB447">
        <v>411</v>
      </c>
      <c r="BC447">
        <v>416</v>
      </c>
      <c r="BD447" t="s">
        <v>9078</v>
      </c>
      <c r="BE447" t="s">
        <v>9079</v>
      </c>
      <c r="BF447" t="str">
        <f>HYPERLINK("http://dx.doi.org/10.1017/S0032247420000017","http://dx.doi.org/10.1017/S0032247420000017")</f>
        <v>http://dx.doi.org/10.1017/S0032247420000017</v>
      </c>
      <c r="BG447" t="s">
        <v>74</v>
      </c>
      <c r="BH447" t="s">
        <v>74</v>
      </c>
      <c r="BI447">
        <v>6</v>
      </c>
      <c r="BJ447" t="s">
        <v>9060</v>
      </c>
      <c r="BK447" t="s">
        <v>294</v>
      </c>
      <c r="BL447" t="s">
        <v>388</v>
      </c>
      <c r="BM447" t="s">
        <v>9061</v>
      </c>
      <c r="BN447" t="s">
        <v>74</v>
      </c>
      <c r="BO447" t="s">
        <v>74</v>
      </c>
      <c r="BP447" t="s">
        <v>74</v>
      </c>
      <c r="BQ447" t="s">
        <v>74</v>
      </c>
      <c r="BR447" t="s">
        <v>108</v>
      </c>
      <c r="BS447" t="s">
        <v>9080</v>
      </c>
      <c r="BT447" t="str">
        <f>HYPERLINK("https%3A%2F%2Fwww.webofscience.com%2Fwos%2Fwoscc%2Ffull-record%2FWOS:000568317400006","View Full Record in Web of Science")</f>
        <v>View Full Record in Web of Science</v>
      </c>
    </row>
    <row r="448" spans="1:72" x14ac:dyDescent="0.15">
      <c r="A448" t="s">
        <v>133</v>
      </c>
      <c r="B448" t="s">
        <v>9081</v>
      </c>
      <c r="C448" t="s">
        <v>74</v>
      </c>
      <c r="D448" t="s">
        <v>74</v>
      </c>
      <c r="E448" t="s">
        <v>74</v>
      </c>
      <c r="F448" t="s">
        <v>9082</v>
      </c>
      <c r="G448" t="s">
        <v>74</v>
      </c>
      <c r="H448" t="s">
        <v>74</v>
      </c>
      <c r="I448" t="s">
        <v>9083</v>
      </c>
      <c r="J448" t="s">
        <v>9047</v>
      </c>
      <c r="K448" t="s">
        <v>74</v>
      </c>
      <c r="L448" t="s">
        <v>74</v>
      </c>
      <c r="M448" t="s">
        <v>80</v>
      </c>
      <c r="N448" t="s">
        <v>138</v>
      </c>
      <c r="O448" t="s">
        <v>74</v>
      </c>
      <c r="P448" t="s">
        <v>74</v>
      </c>
      <c r="Q448" t="s">
        <v>74</v>
      </c>
      <c r="R448" t="s">
        <v>74</v>
      </c>
      <c r="S448" t="s">
        <v>74</v>
      </c>
      <c r="T448" t="s">
        <v>9084</v>
      </c>
      <c r="U448" t="s">
        <v>9085</v>
      </c>
      <c r="V448" t="s">
        <v>9086</v>
      </c>
      <c r="W448" t="s">
        <v>9087</v>
      </c>
      <c r="X448" t="s">
        <v>9088</v>
      </c>
      <c r="Y448" t="s">
        <v>9089</v>
      </c>
      <c r="Z448" t="s">
        <v>9090</v>
      </c>
      <c r="AA448" t="s">
        <v>9091</v>
      </c>
      <c r="AB448" t="s">
        <v>9092</v>
      </c>
      <c r="AC448" t="s">
        <v>74</v>
      </c>
      <c r="AD448" t="s">
        <v>74</v>
      </c>
      <c r="AE448" t="s">
        <v>74</v>
      </c>
      <c r="AF448" t="s">
        <v>74</v>
      </c>
      <c r="AG448">
        <v>30</v>
      </c>
      <c r="AH448">
        <v>6</v>
      </c>
      <c r="AI448">
        <v>6</v>
      </c>
      <c r="AJ448">
        <v>1</v>
      </c>
      <c r="AK448">
        <v>4</v>
      </c>
      <c r="AL448" t="s">
        <v>605</v>
      </c>
      <c r="AM448" t="s">
        <v>1965</v>
      </c>
      <c r="AN448" t="s">
        <v>4578</v>
      </c>
      <c r="AO448" t="s">
        <v>9054</v>
      </c>
      <c r="AP448" t="s">
        <v>9055</v>
      </c>
      <c r="AQ448" t="s">
        <v>74</v>
      </c>
      <c r="AR448" t="s">
        <v>9056</v>
      </c>
      <c r="AS448" t="s">
        <v>9057</v>
      </c>
      <c r="AT448" t="s">
        <v>3457</v>
      </c>
      <c r="AU448">
        <v>2019</v>
      </c>
      <c r="AV448">
        <v>55</v>
      </c>
      <c r="AW448">
        <v>6</v>
      </c>
      <c r="AX448" t="s">
        <v>74</v>
      </c>
      <c r="AY448" t="s">
        <v>74</v>
      </c>
      <c r="AZ448" t="s">
        <v>74</v>
      </c>
      <c r="BA448" t="s">
        <v>74</v>
      </c>
      <c r="BB448">
        <v>452</v>
      </c>
      <c r="BC448">
        <v>459</v>
      </c>
      <c r="BD448" t="s">
        <v>9093</v>
      </c>
      <c r="BE448" t="s">
        <v>9094</v>
      </c>
      <c r="BF448" t="str">
        <f>HYPERLINK("http://dx.doi.org/10.1017/S0032247420000157","http://dx.doi.org/10.1017/S0032247420000157")</f>
        <v>http://dx.doi.org/10.1017/S0032247420000157</v>
      </c>
      <c r="BG448" t="s">
        <v>74</v>
      </c>
      <c r="BH448" t="s">
        <v>74</v>
      </c>
      <c r="BI448">
        <v>8</v>
      </c>
      <c r="BJ448" t="s">
        <v>9060</v>
      </c>
      <c r="BK448" t="s">
        <v>294</v>
      </c>
      <c r="BL448" t="s">
        <v>388</v>
      </c>
      <c r="BM448" t="s">
        <v>9061</v>
      </c>
      <c r="BN448" t="s">
        <v>74</v>
      </c>
      <c r="BO448" t="s">
        <v>74</v>
      </c>
      <c r="BP448" t="s">
        <v>74</v>
      </c>
      <c r="BQ448" t="s">
        <v>74</v>
      </c>
      <c r="BR448" t="s">
        <v>108</v>
      </c>
      <c r="BS448" t="s">
        <v>9095</v>
      </c>
      <c r="BT448" t="str">
        <f>HYPERLINK("https%3A%2F%2Fwww.webofscience.com%2Fwos%2Fwoscc%2Ffull-record%2FWOS:000568317400010","View Full Record in Web of Science")</f>
        <v>View Full Record in Web of Science</v>
      </c>
    </row>
    <row r="449" spans="1:72" x14ac:dyDescent="0.15">
      <c r="A449" t="s">
        <v>133</v>
      </c>
      <c r="B449" t="s">
        <v>9096</v>
      </c>
      <c r="C449" t="s">
        <v>74</v>
      </c>
      <c r="D449" t="s">
        <v>74</v>
      </c>
      <c r="E449" t="s">
        <v>74</v>
      </c>
      <c r="F449" t="s">
        <v>9097</v>
      </c>
      <c r="G449" t="s">
        <v>74</v>
      </c>
      <c r="H449" t="s">
        <v>74</v>
      </c>
      <c r="I449" t="s">
        <v>9098</v>
      </c>
      <c r="J449" t="s">
        <v>9047</v>
      </c>
      <c r="K449" t="s">
        <v>74</v>
      </c>
      <c r="L449" t="s">
        <v>74</v>
      </c>
      <c r="M449" t="s">
        <v>80</v>
      </c>
      <c r="N449" t="s">
        <v>138</v>
      </c>
      <c r="O449" t="s">
        <v>74</v>
      </c>
      <c r="P449" t="s">
        <v>74</v>
      </c>
      <c r="Q449" t="s">
        <v>74</v>
      </c>
      <c r="R449" t="s">
        <v>74</v>
      </c>
      <c r="S449" t="s">
        <v>74</v>
      </c>
      <c r="T449" t="s">
        <v>9099</v>
      </c>
      <c r="U449" t="s">
        <v>74</v>
      </c>
      <c r="V449" t="s">
        <v>9100</v>
      </c>
      <c r="W449" t="s">
        <v>74</v>
      </c>
      <c r="X449" t="s">
        <v>74</v>
      </c>
      <c r="Y449" t="s">
        <v>74</v>
      </c>
      <c r="Z449" t="s">
        <v>9101</v>
      </c>
      <c r="AA449" t="s">
        <v>74</v>
      </c>
      <c r="AB449" t="s">
        <v>9102</v>
      </c>
      <c r="AC449" t="s">
        <v>74</v>
      </c>
      <c r="AD449" t="s">
        <v>74</v>
      </c>
      <c r="AE449" t="s">
        <v>74</v>
      </c>
      <c r="AF449" t="s">
        <v>74</v>
      </c>
      <c r="AG449">
        <v>36</v>
      </c>
      <c r="AH449">
        <v>2</v>
      </c>
      <c r="AI449">
        <v>2</v>
      </c>
      <c r="AJ449">
        <v>0</v>
      </c>
      <c r="AK449">
        <v>3</v>
      </c>
      <c r="AL449" t="s">
        <v>605</v>
      </c>
      <c r="AM449" t="s">
        <v>1965</v>
      </c>
      <c r="AN449" t="s">
        <v>4578</v>
      </c>
      <c r="AO449" t="s">
        <v>9054</v>
      </c>
      <c r="AP449" t="s">
        <v>9055</v>
      </c>
      <c r="AQ449" t="s">
        <v>74</v>
      </c>
      <c r="AR449" t="s">
        <v>9056</v>
      </c>
      <c r="AS449" t="s">
        <v>9057</v>
      </c>
      <c r="AT449" t="s">
        <v>3457</v>
      </c>
      <c r="AU449">
        <v>2019</v>
      </c>
      <c r="AV449">
        <v>55</v>
      </c>
      <c r="AW449">
        <v>6</v>
      </c>
      <c r="AX449" t="s">
        <v>74</v>
      </c>
      <c r="AY449" t="s">
        <v>74</v>
      </c>
      <c r="AZ449" t="s">
        <v>74</v>
      </c>
      <c r="BA449" t="s">
        <v>74</v>
      </c>
      <c r="BB449">
        <v>476</v>
      </c>
      <c r="BC449">
        <v>496</v>
      </c>
      <c r="BD449" t="s">
        <v>9103</v>
      </c>
      <c r="BE449" t="s">
        <v>9104</v>
      </c>
      <c r="BF449" t="str">
        <f>HYPERLINK("http://dx.doi.org/10.1017/S0032247420000182","http://dx.doi.org/10.1017/S0032247420000182")</f>
        <v>http://dx.doi.org/10.1017/S0032247420000182</v>
      </c>
      <c r="BG449" t="s">
        <v>74</v>
      </c>
      <c r="BH449" t="s">
        <v>74</v>
      </c>
      <c r="BI449">
        <v>21</v>
      </c>
      <c r="BJ449" t="s">
        <v>9060</v>
      </c>
      <c r="BK449" t="s">
        <v>294</v>
      </c>
      <c r="BL449" t="s">
        <v>388</v>
      </c>
      <c r="BM449" t="s">
        <v>9061</v>
      </c>
      <c r="BN449" t="s">
        <v>74</v>
      </c>
      <c r="BO449" t="s">
        <v>74</v>
      </c>
      <c r="BP449" t="s">
        <v>74</v>
      </c>
      <c r="BQ449" t="s">
        <v>74</v>
      </c>
      <c r="BR449" t="s">
        <v>108</v>
      </c>
      <c r="BS449" t="s">
        <v>9105</v>
      </c>
      <c r="BT449" t="str">
        <f>HYPERLINK("https%3A%2F%2Fwww.webofscience.com%2Fwos%2Fwoscc%2Ffull-record%2FWOS:000568317400012","View Full Record in Web of Science")</f>
        <v>View Full Record in Web of Science</v>
      </c>
    </row>
    <row r="450" spans="1:72" x14ac:dyDescent="0.15">
      <c r="A450" t="s">
        <v>133</v>
      </c>
      <c r="B450" t="s">
        <v>9106</v>
      </c>
      <c r="C450" t="s">
        <v>74</v>
      </c>
      <c r="D450" t="s">
        <v>74</v>
      </c>
      <c r="E450" t="s">
        <v>74</v>
      </c>
      <c r="F450" t="s">
        <v>9107</v>
      </c>
      <c r="G450" t="s">
        <v>74</v>
      </c>
      <c r="H450" t="s">
        <v>74</v>
      </c>
      <c r="I450" t="s">
        <v>9108</v>
      </c>
      <c r="J450" t="s">
        <v>9047</v>
      </c>
      <c r="K450" t="s">
        <v>74</v>
      </c>
      <c r="L450" t="s">
        <v>74</v>
      </c>
      <c r="M450" t="s">
        <v>80</v>
      </c>
      <c r="N450" t="s">
        <v>138</v>
      </c>
      <c r="O450" t="s">
        <v>74</v>
      </c>
      <c r="P450" t="s">
        <v>74</v>
      </c>
      <c r="Q450" t="s">
        <v>74</v>
      </c>
      <c r="R450" t="s">
        <v>74</v>
      </c>
      <c r="S450" t="s">
        <v>74</v>
      </c>
      <c r="T450" t="s">
        <v>9109</v>
      </c>
      <c r="U450" t="s">
        <v>9110</v>
      </c>
      <c r="V450" t="s">
        <v>9111</v>
      </c>
      <c r="W450" t="s">
        <v>9112</v>
      </c>
      <c r="X450" t="s">
        <v>9113</v>
      </c>
      <c r="Y450" t="s">
        <v>9114</v>
      </c>
      <c r="Z450" t="s">
        <v>9115</v>
      </c>
      <c r="AA450" t="s">
        <v>9116</v>
      </c>
      <c r="AB450" t="s">
        <v>9117</v>
      </c>
      <c r="AC450" t="s">
        <v>9118</v>
      </c>
      <c r="AD450" t="s">
        <v>9118</v>
      </c>
      <c r="AE450" t="s">
        <v>9119</v>
      </c>
      <c r="AF450" t="s">
        <v>74</v>
      </c>
      <c r="AG450">
        <v>65</v>
      </c>
      <c r="AH450">
        <v>16</v>
      </c>
      <c r="AI450">
        <v>17</v>
      </c>
      <c r="AJ450">
        <v>0</v>
      </c>
      <c r="AK450">
        <v>18</v>
      </c>
      <c r="AL450" t="s">
        <v>605</v>
      </c>
      <c r="AM450" t="s">
        <v>1965</v>
      </c>
      <c r="AN450" t="s">
        <v>4578</v>
      </c>
      <c r="AO450" t="s">
        <v>9054</v>
      </c>
      <c r="AP450" t="s">
        <v>9055</v>
      </c>
      <c r="AQ450" t="s">
        <v>74</v>
      </c>
      <c r="AR450" t="s">
        <v>9056</v>
      </c>
      <c r="AS450" t="s">
        <v>9057</v>
      </c>
      <c r="AT450" t="s">
        <v>3457</v>
      </c>
      <c r="AU450">
        <v>2019</v>
      </c>
      <c r="AV450">
        <v>55</v>
      </c>
      <c r="AW450">
        <v>6</v>
      </c>
      <c r="AX450" t="s">
        <v>74</v>
      </c>
      <c r="AY450" t="s">
        <v>74</v>
      </c>
      <c r="AZ450" t="s">
        <v>74</v>
      </c>
      <c r="BA450" t="s">
        <v>74</v>
      </c>
      <c r="BB450">
        <v>497</v>
      </c>
      <c r="BC450">
        <v>506</v>
      </c>
      <c r="BD450" t="s">
        <v>9120</v>
      </c>
      <c r="BE450" t="s">
        <v>9121</v>
      </c>
      <c r="BF450" t="str">
        <f>HYPERLINK("http://dx.doi.org/10.1017/S0032247420000194","http://dx.doi.org/10.1017/S0032247420000194")</f>
        <v>http://dx.doi.org/10.1017/S0032247420000194</v>
      </c>
      <c r="BG450" t="s">
        <v>74</v>
      </c>
      <c r="BH450" t="s">
        <v>74</v>
      </c>
      <c r="BI450">
        <v>10</v>
      </c>
      <c r="BJ450" t="s">
        <v>9060</v>
      </c>
      <c r="BK450" t="s">
        <v>360</v>
      </c>
      <c r="BL450" t="s">
        <v>388</v>
      </c>
      <c r="BM450" t="s">
        <v>9061</v>
      </c>
      <c r="BN450" t="s">
        <v>74</v>
      </c>
      <c r="BO450" t="s">
        <v>74</v>
      </c>
      <c r="BP450" t="s">
        <v>74</v>
      </c>
      <c r="BQ450" t="s">
        <v>74</v>
      </c>
      <c r="BR450" t="s">
        <v>108</v>
      </c>
      <c r="BS450" t="s">
        <v>9122</v>
      </c>
      <c r="BT450" t="str">
        <f>HYPERLINK("https%3A%2F%2Fwww.webofscience.com%2Fwos%2Fwoscc%2Ffull-record%2FWOS:000568317400013","View Full Record in Web of Science")</f>
        <v>View Full Record in Web of Science</v>
      </c>
    </row>
    <row r="451" spans="1:72" x14ac:dyDescent="0.15">
      <c r="A451" t="s">
        <v>133</v>
      </c>
      <c r="B451" t="s">
        <v>9123</v>
      </c>
      <c r="C451" t="s">
        <v>74</v>
      </c>
      <c r="D451" t="s">
        <v>74</v>
      </c>
      <c r="E451" t="s">
        <v>74</v>
      </c>
      <c r="F451" t="s">
        <v>9124</v>
      </c>
      <c r="G451" t="s">
        <v>74</v>
      </c>
      <c r="H451" t="s">
        <v>74</v>
      </c>
      <c r="I451" t="s">
        <v>9125</v>
      </c>
      <c r="J451" t="s">
        <v>9047</v>
      </c>
      <c r="K451" t="s">
        <v>74</v>
      </c>
      <c r="L451" t="s">
        <v>74</v>
      </c>
      <c r="M451" t="s">
        <v>80</v>
      </c>
      <c r="N451" t="s">
        <v>5688</v>
      </c>
      <c r="O451" t="s">
        <v>74</v>
      </c>
      <c r="P451" t="s">
        <v>74</v>
      </c>
      <c r="Q451" t="s">
        <v>74</v>
      </c>
      <c r="R451" t="s">
        <v>74</v>
      </c>
      <c r="S451" t="s">
        <v>74</v>
      </c>
      <c r="T451" t="s">
        <v>74</v>
      </c>
      <c r="U451" t="s">
        <v>74</v>
      </c>
      <c r="V451" t="s">
        <v>74</v>
      </c>
      <c r="W451" t="s">
        <v>9126</v>
      </c>
      <c r="X451" t="s">
        <v>9127</v>
      </c>
      <c r="Y451" t="s">
        <v>9128</v>
      </c>
      <c r="Z451" t="s">
        <v>9129</v>
      </c>
      <c r="AA451" t="s">
        <v>74</v>
      </c>
      <c r="AB451" t="s">
        <v>74</v>
      </c>
      <c r="AC451" t="s">
        <v>74</v>
      </c>
      <c r="AD451" t="s">
        <v>74</v>
      </c>
      <c r="AE451" t="s">
        <v>74</v>
      </c>
      <c r="AF451" t="s">
        <v>74</v>
      </c>
      <c r="AG451">
        <v>1</v>
      </c>
      <c r="AH451">
        <v>0</v>
      </c>
      <c r="AI451">
        <v>0</v>
      </c>
      <c r="AJ451">
        <v>0</v>
      </c>
      <c r="AK451">
        <v>3</v>
      </c>
      <c r="AL451" t="s">
        <v>605</v>
      </c>
      <c r="AM451" t="s">
        <v>1965</v>
      </c>
      <c r="AN451" t="s">
        <v>4578</v>
      </c>
      <c r="AO451" t="s">
        <v>9054</v>
      </c>
      <c r="AP451" t="s">
        <v>9055</v>
      </c>
      <c r="AQ451" t="s">
        <v>74</v>
      </c>
      <c r="AR451" t="s">
        <v>9056</v>
      </c>
      <c r="AS451" t="s">
        <v>9057</v>
      </c>
      <c r="AT451" t="s">
        <v>3457</v>
      </c>
      <c r="AU451">
        <v>2019</v>
      </c>
      <c r="AV451">
        <v>55</v>
      </c>
      <c r="AW451">
        <v>6</v>
      </c>
      <c r="AX451" t="s">
        <v>74</v>
      </c>
      <c r="AY451" t="s">
        <v>74</v>
      </c>
      <c r="AZ451" t="s">
        <v>74</v>
      </c>
      <c r="BA451" t="s">
        <v>74</v>
      </c>
      <c r="BB451">
        <v>522</v>
      </c>
      <c r="BC451">
        <v>523</v>
      </c>
      <c r="BD451" t="s">
        <v>74</v>
      </c>
      <c r="BE451" t="s">
        <v>9130</v>
      </c>
      <c r="BF451" t="str">
        <f>HYPERLINK("http://dx.doi.org/10.1017/S0032247419000561","http://dx.doi.org/10.1017/S0032247419000561")</f>
        <v>http://dx.doi.org/10.1017/S0032247419000561</v>
      </c>
      <c r="BG451" t="s">
        <v>74</v>
      </c>
      <c r="BH451" t="s">
        <v>74</v>
      </c>
      <c r="BI451">
        <v>2</v>
      </c>
      <c r="BJ451" t="s">
        <v>9060</v>
      </c>
      <c r="BK451" t="s">
        <v>294</v>
      </c>
      <c r="BL451" t="s">
        <v>388</v>
      </c>
      <c r="BM451" t="s">
        <v>9061</v>
      </c>
      <c r="BN451" t="s">
        <v>74</v>
      </c>
      <c r="BO451" t="s">
        <v>588</v>
      </c>
      <c r="BP451" t="s">
        <v>74</v>
      </c>
      <c r="BQ451" t="s">
        <v>74</v>
      </c>
      <c r="BR451" t="s">
        <v>108</v>
      </c>
      <c r="BS451" t="s">
        <v>9131</v>
      </c>
      <c r="BT451" t="str">
        <f>HYPERLINK("https%3A%2F%2Fwww.webofscience.com%2Fwos%2Fwoscc%2Ffull-record%2FWOS:000568317400015","View Full Record in Web of Science")</f>
        <v>View Full Record in Web of Science</v>
      </c>
    </row>
    <row r="452" spans="1:72" x14ac:dyDescent="0.15">
      <c r="A452" t="s">
        <v>133</v>
      </c>
      <c r="B452" t="s">
        <v>9132</v>
      </c>
      <c r="C452" t="s">
        <v>74</v>
      </c>
      <c r="D452" t="s">
        <v>74</v>
      </c>
      <c r="E452" t="s">
        <v>74</v>
      </c>
      <c r="F452" t="s">
        <v>9133</v>
      </c>
      <c r="G452" t="s">
        <v>74</v>
      </c>
      <c r="H452" t="s">
        <v>74</v>
      </c>
      <c r="I452" t="s">
        <v>9134</v>
      </c>
      <c r="J452" t="s">
        <v>9135</v>
      </c>
      <c r="K452" t="s">
        <v>74</v>
      </c>
      <c r="L452" t="s">
        <v>74</v>
      </c>
      <c r="M452" t="s">
        <v>80</v>
      </c>
      <c r="N452" t="s">
        <v>138</v>
      </c>
      <c r="O452" t="s">
        <v>74</v>
      </c>
      <c r="P452" t="s">
        <v>74</v>
      </c>
      <c r="Q452" t="s">
        <v>74</v>
      </c>
      <c r="R452" t="s">
        <v>74</v>
      </c>
      <c r="S452" t="s">
        <v>74</v>
      </c>
      <c r="T452" t="s">
        <v>9136</v>
      </c>
      <c r="U452" t="s">
        <v>9137</v>
      </c>
      <c r="V452" t="s">
        <v>9138</v>
      </c>
      <c r="W452" t="s">
        <v>9139</v>
      </c>
      <c r="X452" t="s">
        <v>9140</v>
      </c>
      <c r="Y452" t="s">
        <v>9141</v>
      </c>
      <c r="Z452" t="s">
        <v>9142</v>
      </c>
      <c r="AA452" t="s">
        <v>74</v>
      </c>
      <c r="AB452" t="s">
        <v>74</v>
      </c>
      <c r="AC452" t="s">
        <v>9143</v>
      </c>
      <c r="AD452" t="s">
        <v>9144</v>
      </c>
      <c r="AE452" t="s">
        <v>9145</v>
      </c>
      <c r="AF452" t="s">
        <v>74</v>
      </c>
      <c r="AG452">
        <v>92</v>
      </c>
      <c r="AH452">
        <v>2</v>
      </c>
      <c r="AI452">
        <v>2</v>
      </c>
      <c r="AJ452">
        <v>1</v>
      </c>
      <c r="AK452">
        <v>17</v>
      </c>
      <c r="AL452" t="s">
        <v>605</v>
      </c>
      <c r="AM452" t="s">
        <v>1965</v>
      </c>
      <c r="AN452" t="s">
        <v>4578</v>
      </c>
      <c r="AO452" t="s">
        <v>9146</v>
      </c>
      <c r="AP452" t="s">
        <v>9147</v>
      </c>
      <c r="AQ452" t="s">
        <v>74</v>
      </c>
      <c r="AR452" t="s">
        <v>9148</v>
      </c>
      <c r="AS452" t="s">
        <v>9149</v>
      </c>
      <c r="AT452" t="s">
        <v>3457</v>
      </c>
      <c r="AU452">
        <v>2019</v>
      </c>
      <c r="AV452">
        <v>92</v>
      </c>
      <c r="AW452">
        <v>3</v>
      </c>
      <c r="AX452" t="s">
        <v>74</v>
      </c>
      <c r="AY452" t="s">
        <v>74</v>
      </c>
      <c r="AZ452" t="s">
        <v>74</v>
      </c>
      <c r="BA452" t="s">
        <v>74</v>
      </c>
      <c r="BB452">
        <v>738</v>
      </c>
      <c r="BC452">
        <v>753</v>
      </c>
      <c r="BD452" t="s">
        <v>9150</v>
      </c>
      <c r="BE452" t="s">
        <v>9151</v>
      </c>
      <c r="BF452" t="str">
        <f>HYPERLINK("http://dx.doi.org/10.1017/qua.2019.36","http://dx.doi.org/10.1017/qua.2019.36")</f>
        <v>http://dx.doi.org/10.1017/qua.2019.36</v>
      </c>
      <c r="BG452" t="s">
        <v>74</v>
      </c>
      <c r="BH452" t="s">
        <v>74</v>
      </c>
      <c r="BI452">
        <v>16</v>
      </c>
      <c r="BJ452" t="s">
        <v>462</v>
      </c>
      <c r="BK452" t="s">
        <v>294</v>
      </c>
      <c r="BL452" t="s">
        <v>463</v>
      </c>
      <c r="BM452" t="s">
        <v>9152</v>
      </c>
      <c r="BN452" t="s">
        <v>74</v>
      </c>
      <c r="BO452" t="s">
        <v>74</v>
      </c>
      <c r="BP452" t="s">
        <v>74</v>
      </c>
      <c r="BQ452" t="s">
        <v>74</v>
      </c>
      <c r="BR452" t="s">
        <v>108</v>
      </c>
      <c r="BS452" t="s">
        <v>9153</v>
      </c>
      <c r="BT452" t="str">
        <f>HYPERLINK("https%3A%2F%2Fwww.webofscience.com%2Fwos%2Fwoscc%2Ffull-record%2FWOS:000538101100008","View Full Record in Web of Science")</f>
        <v>View Full Record in Web of Science</v>
      </c>
    </row>
    <row r="453" spans="1:72" x14ac:dyDescent="0.15">
      <c r="A453" t="s">
        <v>133</v>
      </c>
      <c r="B453" t="s">
        <v>9154</v>
      </c>
      <c r="C453" t="s">
        <v>74</v>
      </c>
      <c r="D453" t="s">
        <v>74</v>
      </c>
      <c r="E453" t="s">
        <v>74</v>
      </c>
      <c r="F453" t="s">
        <v>9155</v>
      </c>
      <c r="G453" t="s">
        <v>74</v>
      </c>
      <c r="H453" t="s">
        <v>74</v>
      </c>
      <c r="I453" t="s">
        <v>9156</v>
      </c>
      <c r="J453" t="s">
        <v>1438</v>
      </c>
      <c r="K453" t="s">
        <v>74</v>
      </c>
      <c r="L453" t="s">
        <v>74</v>
      </c>
      <c r="M453" t="s">
        <v>80</v>
      </c>
      <c r="N453" t="s">
        <v>138</v>
      </c>
      <c r="O453" t="s">
        <v>74</v>
      </c>
      <c r="P453" t="s">
        <v>74</v>
      </c>
      <c r="Q453" t="s">
        <v>74</v>
      </c>
      <c r="R453" t="s">
        <v>74</v>
      </c>
      <c r="S453" t="s">
        <v>74</v>
      </c>
      <c r="T453" t="s">
        <v>74</v>
      </c>
      <c r="U453" t="s">
        <v>9157</v>
      </c>
      <c r="V453" t="s">
        <v>9158</v>
      </c>
      <c r="W453" t="s">
        <v>9159</v>
      </c>
      <c r="X453" t="s">
        <v>9160</v>
      </c>
      <c r="Y453" t="s">
        <v>9161</v>
      </c>
      <c r="Z453" t="s">
        <v>9162</v>
      </c>
      <c r="AA453" t="s">
        <v>9163</v>
      </c>
      <c r="AB453" t="s">
        <v>9164</v>
      </c>
      <c r="AC453" t="s">
        <v>9165</v>
      </c>
      <c r="AD453" t="s">
        <v>9166</v>
      </c>
      <c r="AE453" t="s">
        <v>9167</v>
      </c>
      <c r="AF453" t="s">
        <v>74</v>
      </c>
      <c r="AG453">
        <v>84</v>
      </c>
      <c r="AH453">
        <v>5</v>
      </c>
      <c r="AI453">
        <v>6</v>
      </c>
      <c r="AJ453">
        <v>1</v>
      </c>
      <c r="AK453">
        <v>11</v>
      </c>
      <c r="AL453" t="s">
        <v>1264</v>
      </c>
      <c r="AM453" t="s">
        <v>1265</v>
      </c>
      <c r="AN453" t="s">
        <v>1266</v>
      </c>
      <c r="AO453" t="s">
        <v>1450</v>
      </c>
      <c r="AP453" t="s">
        <v>1451</v>
      </c>
      <c r="AQ453" t="s">
        <v>74</v>
      </c>
      <c r="AR453" t="s">
        <v>1452</v>
      </c>
      <c r="AS453" t="s">
        <v>1453</v>
      </c>
      <c r="AT453" t="s">
        <v>3457</v>
      </c>
      <c r="AU453">
        <v>2019</v>
      </c>
      <c r="AV453">
        <v>34</v>
      </c>
      <c r="AW453">
        <v>11</v>
      </c>
      <c r="AX453" t="s">
        <v>74</v>
      </c>
      <c r="AY453" t="s">
        <v>74</v>
      </c>
      <c r="AZ453" t="s">
        <v>74</v>
      </c>
      <c r="BA453" t="s">
        <v>74</v>
      </c>
      <c r="BB453">
        <v>1816</v>
      </c>
      <c r="BC453">
        <v>1832</v>
      </c>
      <c r="BD453" t="s">
        <v>74</v>
      </c>
      <c r="BE453" t="s">
        <v>9168</v>
      </c>
      <c r="BF453" t="str">
        <f>HYPERLINK("http://dx.doi.org/10.1029/2019PA003649","http://dx.doi.org/10.1029/2019PA003649")</f>
        <v>http://dx.doi.org/10.1029/2019PA003649</v>
      </c>
      <c r="BG453" t="s">
        <v>74</v>
      </c>
      <c r="BH453" t="s">
        <v>74</v>
      </c>
      <c r="BI453">
        <v>17</v>
      </c>
      <c r="BJ453" t="s">
        <v>1455</v>
      </c>
      <c r="BK453" t="s">
        <v>294</v>
      </c>
      <c r="BL453" t="s">
        <v>1456</v>
      </c>
      <c r="BM453" t="s">
        <v>6533</v>
      </c>
      <c r="BN453" t="s">
        <v>74</v>
      </c>
      <c r="BO453" t="s">
        <v>588</v>
      </c>
      <c r="BP453" t="s">
        <v>74</v>
      </c>
      <c r="BQ453" t="s">
        <v>74</v>
      </c>
      <c r="BR453" t="s">
        <v>108</v>
      </c>
      <c r="BS453" t="s">
        <v>9169</v>
      </c>
      <c r="BT453" t="str">
        <f>HYPERLINK("https%3A%2F%2Fwww.webofscience.com%2Fwos%2Fwoscc%2Ffull-record%2FWOS:000522106900009","View Full Record in Web of Science")</f>
        <v>View Full Record in Web of Science</v>
      </c>
    </row>
    <row r="454" spans="1:72" x14ac:dyDescent="0.15">
      <c r="A454" t="s">
        <v>133</v>
      </c>
      <c r="B454" t="s">
        <v>9170</v>
      </c>
      <c r="C454" t="s">
        <v>74</v>
      </c>
      <c r="D454" t="s">
        <v>74</v>
      </c>
      <c r="E454" t="s">
        <v>74</v>
      </c>
      <c r="F454" t="s">
        <v>9171</v>
      </c>
      <c r="G454" t="s">
        <v>74</v>
      </c>
      <c r="H454" t="s">
        <v>74</v>
      </c>
      <c r="I454" t="s">
        <v>9172</v>
      </c>
      <c r="J454" t="s">
        <v>9173</v>
      </c>
      <c r="K454" t="s">
        <v>74</v>
      </c>
      <c r="L454" t="s">
        <v>74</v>
      </c>
      <c r="M454" t="s">
        <v>80</v>
      </c>
      <c r="N454" t="s">
        <v>138</v>
      </c>
      <c r="O454" t="s">
        <v>74</v>
      </c>
      <c r="P454" t="s">
        <v>74</v>
      </c>
      <c r="Q454" t="s">
        <v>74</v>
      </c>
      <c r="R454" t="s">
        <v>74</v>
      </c>
      <c r="S454" t="s">
        <v>74</v>
      </c>
      <c r="T454" t="s">
        <v>74</v>
      </c>
      <c r="U454" t="s">
        <v>9174</v>
      </c>
      <c r="V454" t="s">
        <v>9175</v>
      </c>
      <c r="W454" t="s">
        <v>9176</v>
      </c>
      <c r="X454" t="s">
        <v>9177</v>
      </c>
      <c r="Y454" t="s">
        <v>9178</v>
      </c>
      <c r="Z454" t="s">
        <v>9179</v>
      </c>
      <c r="AA454" t="s">
        <v>9180</v>
      </c>
      <c r="AB454" t="s">
        <v>9181</v>
      </c>
      <c r="AC454" t="s">
        <v>9182</v>
      </c>
      <c r="AD454" t="s">
        <v>9183</v>
      </c>
      <c r="AE454" t="s">
        <v>9184</v>
      </c>
      <c r="AF454" t="s">
        <v>74</v>
      </c>
      <c r="AG454">
        <v>29</v>
      </c>
      <c r="AH454">
        <v>6</v>
      </c>
      <c r="AI454">
        <v>6</v>
      </c>
      <c r="AJ454">
        <v>0</v>
      </c>
      <c r="AK454">
        <v>5</v>
      </c>
      <c r="AL454" t="s">
        <v>3581</v>
      </c>
      <c r="AM454" t="s">
        <v>1965</v>
      </c>
      <c r="AN454" t="s">
        <v>3582</v>
      </c>
      <c r="AO454" t="s">
        <v>9185</v>
      </c>
      <c r="AP454" t="s">
        <v>9186</v>
      </c>
      <c r="AQ454" t="s">
        <v>74</v>
      </c>
      <c r="AR454" t="s">
        <v>9187</v>
      </c>
      <c r="AS454" t="s">
        <v>9188</v>
      </c>
      <c r="AT454" t="s">
        <v>3457</v>
      </c>
      <c r="AU454">
        <v>2019</v>
      </c>
      <c r="AV454">
        <v>59</v>
      </c>
      <c r="AW454">
        <v>6</v>
      </c>
      <c r="AX454" t="s">
        <v>74</v>
      </c>
      <c r="AY454" t="s">
        <v>74</v>
      </c>
      <c r="AZ454" t="s">
        <v>74</v>
      </c>
      <c r="BA454" t="s">
        <v>74</v>
      </c>
      <c r="BB454">
        <v>713</v>
      </c>
      <c r="BC454">
        <v>725</v>
      </c>
      <c r="BD454" t="s">
        <v>74</v>
      </c>
      <c r="BE454" t="s">
        <v>9189</v>
      </c>
      <c r="BF454" t="str">
        <f>HYPERLINK("http://dx.doi.org/10.1134/S0016793219060045","http://dx.doi.org/10.1134/S0016793219060045")</f>
        <v>http://dx.doi.org/10.1134/S0016793219060045</v>
      </c>
      <c r="BG454" t="s">
        <v>74</v>
      </c>
      <c r="BH454" t="s">
        <v>74</v>
      </c>
      <c r="BI454">
        <v>13</v>
      </c>
      <c r="BJ454" t="s">
        <v>1067</v>
      </c>
      <c r="BK454" t="s">
        <v>294</v>
      </c>
      <c r="BL454" t="s">
        <v>1067</v>
      </c>
      <c r="BM454" t="s">
        <v>9190</v>
      </c>
      <c r="BN454" t="s">
        <v>74</v>
      </c>
      <c r="BO454" t="s">
        <v>74</v>
      </c>
      <c r="BP454" t="s">
        <v>74</v>
      </c>
      <c r="BQ454" t="s">
        <v>74</v>
      </c>
      <c r="BR454" t="s">
        <v>108</v>
      </c>
      <c r="BS454" t="s">
        <v>9191</v>
      </c>
      <c r="BT454" t="str">
        <f>HYPERLINK("https%3A%2F%2Fwww.webofscience.com%2Fwos%2Fwoscc%2Ffull-record%2FWOS:000519777900008","View Full Record in Web of Science")</f>
        <v>View Full Record in Web of Science</v>
      </c>
    </row>
    <row r="455" spans="1:72" x14ac:dyDescent="0.15">
      <c r="A455" t="s">
        <v>133</v>
      </c>
      <c r="B455" t="s">
        <v>9192</v>
      </c>
      <c r="C455" t="s">
        <v>74</v>
      </c>
      <c r="D455" t="s">
        <v>74</v>
      </c>
      <c r="E455" t="s">
        <v>74</v>
      </c>
      <c r="F455" t="s">
        <v>9193</v>
      </c>
      <c r="G455" t="s">
        <v>74</v>
      </c>
      <c r="H455" t="s">
        <v>74</v>
      </c>
      <c r="I455" t="s">
        <v>9194</v>
      </c>
      <c r="J455" t="s">
        <v>9195</v>
      </c>
      <c r="K455" t="s">
        <v>74</v>
      </c>
      <c r="L455" t="s">
        <v>74</v>
      </c>
      <c r="M455" t="s">
        <v>80</v>
      </c>
      <c r="N455" t="s">
        <v>138</v>
      </c>
      <c r="O455" t="s">
        <v>74</v>
      </c>
      <c r="P455" t="s">
        <v>74</v>
      </c>
      <c r="Q455" t="s">
        <v>74</v>
      </c>
      <c r="R455" t="s">
        <v>74</v>
      </c>
      <c r="S455" t="s">
        <v>74</v>
      </c>
      <c r="T455" t="s">
        <v>9196</v>
      </c>
      <c r="U455" t="s">
        <v>74</v>
      </c>
      <c r="V455" t="s">
        <v>9197</v>
      </c>
      <c r="W455" t="s">
        <v>9198</v>
      </c>
      <c r="X455" t="s">
        <v>9199</v>
      </c>
      <c r="Y455" t="s">
        <v>9200</v>
      </c>
      <c r="Z455" t="s">
        <v>9201</v>
      </c>
      <c r="AA455" t="s">
        <v>9202</v>
      </c>
      <c r="AB455" t="s">
        <v>74</v>
      </c>
      <c r="AC455" t="s">
        <v>9203</v>
      </c>
      <c r="AD455" t="s">
        <v>9204</v>
      </c>
      <c r="AE455" t="s">
        <v>9205</v>
      </c>
      <c r="AF455" t="s">
        <v>74</v>
      </c>
      <c r="AG455">
        <v>21</v>
      </c>
      <c r="AH455">
        <v>2</v>
      </c>
      <c r="AI455">
        <v>5</v>
      </c>
      <c r="AJ455">
        <v>0</v>
      </c>
      <c r="AK455">
        <v>3</v>
      </c>
      <c r="AL455" t="s">
        <v>3717</v>
      </c>
      <c r="AM455" t="s">
        <v>3718</v>
      </c>
      <c r="AN455" t="s">
        <v>3719</v>
      </c>
      <c r="AO455" t="s">
        <v>9206</v>
      </c>
      <c r="AP455" t="s">
        <v>9207</v>
      </c>
      <c r="AQ455" t="s">
        <v>74</v>
      </c>
      <c r="AR455" t="s">
        <v>9208</v>
      </c>
      <c r="AS455" t="s">
        <v>9209</v>
      </c>
      <c r="AT455" t="s">
        <v>3457</v>
      </c>
      <c r="AU455">
        <v>2019</v>
      </c>
      <c r="AV455">
        <v>59</v>
      </c>
      <c r="AW455">
        <v>6</v>
      </c>
      <c r="AX455" t="s">
        <v>74</v>
      </c>
      <c r="AY455" t="s">
        <v>74</v>
      </c>
      <c r="AZ455" t="s">
        <v>74</v>
      </c>
      <c r="BA455" t="s">
        <v>74</v>
      </c>
      <c r="BB455">
        <v>834</v>
      </c>
      <c r="BC455">
        <v>842</v>
      </c>
      <c r="BD455" t="s">
        <v>74</v>
      </c>
      <c r="BE455" t="s">
        <v>9210</v>
      </c>
      <c r="BF455" t="str">
        <f>HYPERLINK("http://dx.doi.org/10.1134/S0032945219060079","http://dx.doi.org/10.1134/S0032945219060079")</f>
        <v>http://dx.doi.org/10.1134/S0032945219060079</v>
      </c>
      <c r="BG455" t="s">
        <v>74</v>
      </c>
      <c r="BH455" t="s">
        <v>74</v>
      </c>
      <c r="BI455">
        <v>9</v>
      </c>
      <c r="BJ455" t="s">
        <v>9211</v>
      </c>
      <c r="BK455" t="s">
        <v>294</v>
      </c>
      <c r="BL455" t="s">
        <v>9211</v>
      </c>
      <c r="BM455" t="s">
        <v>9212</v>
      </c>
      <c r="BN455" t="s">
        <v>74</v>
      </c>
      <c r="BO455" t="s">
        <v>74</v>
      </c>
      <c r="BP455" t="s">
        <v>74</v>
      </c>
      <c r="BQ455" t="s">
        <v>74</v>
      </c>
      <c r="BR455" t="s">
        <v>108</v>
      </c>
      <c r="BS455" t="s">
        <v>9213</v>
      </c>
      <c r="BT455" t="str">
        <f>HYPERLINK("https%3A%2F%2Fwww.webofscience.com%2Fwos%2Fwoscc%2Ffull-record%2FWOS:000519250800002","View Full Record in Web of Science")</f>
        <v>View Full Record in Web of Science</v>
      </c>
    </row>
    <row r="456" spans="1:72" x14ac:dyDescent="0.15">
      <c r="A456" t="s">
        <v>133</v>
      </c>
      <c r="B456" t="s">
        <v>9214</v>
      </c>
      <c r="C456" t="s">
        <v>74</v>
      </c>
      <c r="D456" t="s">
        <v>74</v>
      </c>
      <c r="E456" t="s">
        <v>74</v>
      </c>
      <c r="F456" t="s">
        <v>9215</v>
      </c>
      <c r="G456" t="s">
        <v>74</v>
      </c>
      <c r="H456" t="s">
        <v>74</v>
      </c>
      <c r="I456" t="s">
        <v>9216</v>
      </c>
      <c r="J456" t="s">
        <v>9217</v>
      </c>
      <c r="K456" t="s">
        <v>74</v>
      </c>
      <c r="L456" t="s">
        <v>74</v>
      </c>
      <c r="M456" t="s">
        <v>80</v>
      </c>
      <c r="N456" t="s">
        <v>1891</v>
      </c>
      <c r="O456" t="s">
        <v>74</v>
      </c>
      <c r="P456" t="s">
        <v>74</v>
      </c>
      <c r="Q456" t="s">
        <v>74</v>
      </c>
      <c r="R456" t="s">
        <v>74</v>
      </c>
      <c r="S456" t="s">
        <v>74</v>
      </c>
      <c r="T456" t="s">
        <v>9218</v>
      </c>
      <c r="U456" t="s">
        <v>74</v>
      </c>
      <c r="V456" t="s">
        <v>9219</v>
      </c>
      <c r="W456" t="s">
        <v>9220</v>
      </c>
      <c r="X456" t="s">
        <v>1120</v>
      </c>
      <c r="Y456" t="s">
        <v>9221</v>
      </c>
      <c r="Z456" t="s">
        <v>9222</v>
      </c>
      <c r="AA456" t="s">
        <v>9223</v>
      </c>
      <c r="AB456" t="s">
        <v>9224</v>
      </c>
      <c r="AC456" t="s">
        <v>74</v>
      </c>
      <c r="AD456" t="s">
        <v>74</v>
      </c>
      <c r="AE456" t="s">
        <v>74</v>
      </c>
      <c r="AF456" t="s">
        <v>74</v>
      </c>
      <c r="AG456">
        <v>0</v>
      </c>
      <c r="AH456">
        <v>8</v>
      </c>
      <c r="AI456">
        <v>8</v>
      </c>
      <c r="AJ456">
        <v>1</v>
      </c>
      <c r="AK456">
        <v>3</v>
      </c>
      <c r="AL456" t="s">
        <v>3581</v>
      </c>
      <c r="AM456" t="s">
        <v>1965</v>
      </c>
      <c r="AN456" t="s">
        <v>3582</v>
      </c>
      <c r="AO456" t="s">
        <v>9225</v>
      </c>
      <c r="AP456" t="s">
        <v>9226</v>
      </c>
      <c r="AQ456" t="s">
        <v>74</v>
      </c>
      <c r="AR456" t="s">
        <v>9227</v>
      </c>
      <c r="AS456" t="s">
        <v>9228</v>
      </c>
      <c r="AT456" t="s">
        <v>3457</v>
      </c>
      <c r="AU456">
        <v>2019</v>
      </c>
      <c r="AV456">
        <v>59</v>
      </c>
      <c r="AW456">
        <v>6</v>
      </c>
      <c r="AX456" t="s">
        <v>74</v>
      </c>
      <c r="AY456" t="s">
        <v>74</v>
      </c>
      <c r="AZ456" t="s">
        <v>74</v>
      </c>
      <c r="BA456" t="s">
        <v>74</v>
      </c>
      <c r="BB456">
        <v>989</v>
      </c>
      <c r="BC456">
        <v>991</v>
      </c>
      <c r="BD456" t="s">
        <v>74</v>
      </c>
      <c r="BE456" t="s">
        <v>9229</v>
      </c>
      <c r="BF456" t="str">
        <f>HYPERLINK("http://dx.doi.org/10.1134/S0001437019060134","http://dx.doi.org/10.1134/S0001437019060134")</f>
        <v>http://dx.doi.org/10.1134/S0001437019060134</v>
      </c>
      <c r="BG456" t="s">
        <v>74</v>
      </c>
      <c r="BH456" t="s">
        <v>74</v>
      </c>
      <c r="BI456">
        <v>3</v>
      </c>
      <c r="BJ456" t="s">
        <v>1945</v>
      </c>
      <c r="BK456" t="s">
        <v>294</v>
      </c>
      <c r="BL456" t="s">
        <v>1945</v>
      </c>
      <c r="BM456" t="s">
        <v>9230</v>
      </c>
      <c r="BN456" t="s">
        <v>74</v>
      </c>
      <c r="BO456" t="s">
        <v>74</v>
      </c>
      <c r="BP456" t="s">
        <v>74</v>
      </c>
      <c r="BQ456" t="s">
        <v>74</v>
      </c>
      <c r="BR456" t="s">
        <v>108</v>
      </c>
      <c r="BS456" t="s">
        <v>9231</v>
      </c>
      <c r="BT456" t="str">
        <f>HYPERLINK("https%3A%2F%2Fwww.webofscience.com%2Fwos%2Fwoscc%2Ffull-record%2FWOS:000517282800020","View Full Record in Web of Science")</f>
        <v>View Full Record in Web of Science</v>
      </c>
    </row>
    <row r="457" spans="1:72" x14ac:dyDescent="0.15">
      <c r="A457" t="s">
        <v>133</v>
      </c>
      <c r="B457" t="s">
        <v>9232</v>
      </c>
      <c r="C457" t="s">
        <v>74</v>
      </c>
      <c r="D457" t="s">
        <v>74</v>
      </c>
      <c r="E457" t="s">
        <v>74</v>
      </c>
      <c r="F457" t="s">
        <v>9233</v>
      </c>
      <c r="G457" t="s">
        <v>74</v>
      </c>
      <c r="H457" t="s">
        <v>74</v>
      </c>
      <c r="I457" t="s">
        <v>9234</v>
      </c>
      <c r="J457" t="s">
        <v>9235</v>
      </c>
      <c r="K457" t="s">
        <v>74</v>
      </c>
      <c r="L457" t="s">
        <v>74</v>
      </c>
      <c r="M457" t="s">
        <v>80</v>
      </c>
      <c r="N457" t="s">
        <v>138</v>
      </c>
      <c r="O457" t="s">
        <v>74</v>
      </c>
      <c r="P457" t="s">
        <v>74</v>
      </c>
      <c r="Q457" t="s">
        <v>74</v>
      </c>
      <c r="R457" t="s">
        <v>74</v>
      </c>
      <c r="S457" t="s">
        <v>74</v>
      </c>
      <c r="T457" t="s">
        <v>74</v>
      </c>
      <c r="U457" t="s">
        <v>9236</v>
      </c>
      <c r="V457" t="s">
        <v>9237</v>
      </c>
      <c r="W457" t="s">
        <v>9238</v>
      </c>
      <c r="X457" t="s">
        <v>9239</v>
      </c>
      <c r="Y457" t="s">
        <v>9240</v>
      </c>
      <c r="Z457" t="s">
        <v>4884</v>
      </c>
      <c r="AA457" t="s">
        <v>9241</v>
      </c>
      <c r="AB457" t="s">
        <v>9242</v>
      </c>
      <c r="AC457" t="s">
        <v>9243</v>
      </c>
      <c r="AD457" t="s">
        <v>9244</v>
      </c>
      <c r="AE457" t="s">
        <v>9245</v>
      </c>
      <c r="AF457" t="s">
        <v>74</v>
      </c>
      <c r="AG457">
        <v>74</v>
      </c>
      <c r="AH457">
        <v>13</v>
      </c>
      <c r="AI457">
        <v>14</v>
      </c>
      <c r="AJ457">
        <v>0</v>
      </c>
      <c r="AK457">
        <v>6</v>
      </c>
      <c r="AL457" t="s">
        <v>578</v>
      </c>
      <c r="AM457" t="s">
        <v>380</v>
      </c>
      <c r="AN457" t="s">
        <v>579</v>
      </c>
      <c r="AO457" t="s">
        <v>9246</v>
      </c>
      <c r="AP457" t="s">
        <v>9247</v>
      </c>
      <c r="AQ457" t="s">
        <v>74</v>
      </c>
      <c r="AR457" t="s">
        <v>9248</v>
      </c>
      <c r="AS457" t="s">
        <v>9249</v>
      </c>
      <c r="AT457" t="s">
        <v>3457</v>
      </c>
      <c r="AU457">
        <v>2019</v>
      </c>
      <c r="AV457">
        <v>85</v>
      </c>
      <c r="AW457" t="s">
        <v>74</v>
      </c>
      <c r="AX457">
        <v>4</v>
      </c>
      <c r="AY457" t="s">
        <v>74</v>
      </c>
      <c r="AZ457" t="s">
        <v>74</v>
      </c>
      <c r="BA457" t="s">
        <v>74</v>
      </c>
      <c r="BB457">
        <v>425</v>
      </c>
      <c r="BC457">
        <v>438</v>
      </c>
      <c r="BD457" t="s">
        <v>74</v>
      </c>
      <c r="BE457" t="s">
        <v>9250</v>
      </c>
      <c r="BF457" t="str">
        <f>HYPERLINK("http://dx.doi.org/10.1093/mollus/eyz024","http://dx.doi.org/10.1093/mollus/eyz024")</f>
        <v>http://dx.doi.org/10.1093/mollus/eyz024</v>
      </c>
      <c r="BG457" t="s">
        <v>74</v>
      </c>
      <c r="BH457" t="s">
        <v>74</v>
      </c>
      <c r="BI457">
        <v>14</v>
      </c>
      <c r="BJ457" t="s">
        <v>2180</v>
      </c>
      <c r="BK457" t="s">
        <v>294</v>
      </c>
      <c r="BL457" t="s">
        <v>2180</v>
      </c>
      <c r="BM457" t="s">
        <v>9251</v>
      </c>
      <c r="BN457" t="s">
        <v>74</v>
      </c>
      <c r="BO457" t="s">
        <v>439</v>
      </c>
      <c r="BP457" t="s">
        <v>74</v>
      </c>
      <c r="BQ457" t="s">
        <v>74</v>
      </c>
      <c r="BR457" t="s">
        <v>108</v>
      </c>
      <c r="BS457" t="s">
        <v>9252</v>
      </c>
      <c r="BT457" t="str">
        <f>HYPERLINK("https%3A%2F%2Fwww.webofscience.com%2Fwos%2Fwoscc%2Ffull-record%2FWOS:000515118500006","View Full Record in Web of Science")</f>
        <v>View Full Record in Web of Science</v>
      </c>
    </row>
    <row r="458" spans="1:72" x14ac:dyDescent="0.15">
      <c r="A458" t="s">
        <v>133</v>
      </c>
      <c r="B458" t="s">
        <v>9253</v>
      </c>
      <c r="C458" t="s">
        <v>74</v>
      </c>
      <c r="D458" t="s">
        <v>74</v>
      </c>
      <c r="E458" t="s">
        <v>74</v>
      </c>
      <c r="F458" t="s">
        <v>9254</v>
      </c>
      <c r="G458" t="s">
        <v>74</v>
      </c>
      <c r="H458" t="s">
        <v>74</v>
      </c>
      <c r="I458" t="s">
        <v>9255</v>
      </c>
      <c r="J458" t="s">
        <v>9256</v>
      </c>
      <c r="K458" t="s">
        <v>74</v>
      </c>
      <c r="L458" t="s">
        <v>74</v>
      </c>
      <c r="M458" t="s">
        <v>80</v>
      </c>
      <c r="N458" t="s">
        <v>138</v>
      </c>
      <c r="O458" t="s">
        <v>74</v>
      </c>
      <c r="P458" t="s">
        <v>74</v>
      </c>
      <c r="Q458" t="s">
        <v>74</v>
      </c>
      <c r="R458" t="s">
        <v>74</v>
      </c>
      <c r="S458" t="s">
        <v>74</v>
      </c>
      <c r="T458" t="s">
        <v>74</v>
      </c>
      <c r="U458" t="s">
        <v>9257</v>
      </c>
      <c r="V458" t="s">
        <v>9258</v>
      </c>
      <c r="W458" t="s">
        <v>9259</v>
      </c>
      <c r="X458" t="s">
        <v>9260</v>
      </c>
      <c r="Y458" t="s">
        <v>9261</v>
      </c>
      <c r="Z458" t="s">
        <v>9262</v>
      </c>
      <c r="AA458" t="s">
        <v>74</v>
      </c>
      <c r="AB458" t="s">
        <v>9263</v>
      </c>
      <c r="AC458" t="s">
        <v>9264</v>
      </c>
      <c r="AD458" t="s">
        <v>9265</v>
      </c>
      <c r="AE458" t="s">
        <v>9266</v>
      </c>
      <c r="AF458" t="s">
        <v>74</v>
      </c>
      <c r="AG458">
        <v>49</v>
      </c>
      <c r="AH458">
        <v>3</v>
      </c>
      <c r="AI458">
        <v>3</v>
      </c>
      <c r="AJ458">
        <v>0</v>
      </c>
      <c r="AK458">
        <v>1</v>
      </c>
      <c r="AL458" t="s">
        <v>605</v>
      </c>
      <c r="AM458" t="s">
        <v>1965</v>
      </c>
      <c r="AN458" t="s">
        <v>4578</v>
      </c>
      <c r="AO458" t="s">
        <v>9267</v>
      </c>
      <c r="AP458" t="s">
        <v>9268</v>
      </c>
      <c r="AQ458" t="s">
        <v>74</v>
      </c>
      <c r="AR458" t="s">
        <v>9269</v>
      </c>
      <c r="AS458" t="s">
        <v>9270</v>
      </c>
      <c r="AT458" t="s">
        <v>3457</v>
      </c>
      <c r="AU458">
        <v>2019</v>
      </c>
      <c r="AV458">
        <v>93</v>
      </c>
      <c r="AW458">
        <v>6</v>
      </c>
      <c r="AX458" t="s">
        <v>74</v>
      </c>
      <c r="AY458" t="s">
        <v>74</v>
      </c>
      <c r="AZ458" t="s">
        <v>74</v>
      </c>
      <c r="BA458" t="s">
        <v>74</v>
      </c>
      <c r="BB458">
        <v>1088</v>
      </c>
      <c r="BC458">
        <v>1104</v>
      </c>
      <c r="BD458" t="s">
        <v>74</v>
      </c>
      <c r="BE458" t="s">
        <v>9271</v>
      </c>
      <c r="BF458" t="str">
        <f>HYPERLINK("http://dx.doi.org/10.1017/jpa.2019.50","http://dx.doi.org/10.1017/jpa.2019.50")</f>
        <v>http://dx.doi.org/10.1017/jpa.2019.50</v>
      </c>
      <c r="BG458" t="s">
        <v>74</v>
      </c>
      <c r="BH458" t="s">
        <v>74</v>
      </c>
      <c r="BI458">
        <v>17</v>
      </c>
      <c r="BJ458" t="s">
        <v>3501</v>
      </c>
      <c r="BK458" t="s">
        <v>294</v>
      </c>
      <c r="BL458" t="s">
        <v>3501</v>
      </c>
      <c r="BM458" t="s">
        <v>9272</v>
      </c>
      <c r="BN458" t="s">
        <v>74</v>
      </c>
      <c r="BO458" t="s">
        <v>74</v>
      </c>
      <c r="BP458" t="s">
        <v>74</v>
      </c>
      <c r="BQ458" t="s">
        <v>74</v>
      </c>
      <c r="BR458" t="s">
        <v>108</v>
      </c>
      <c r="BS458" t="s">
        <v>9273</v>
      </c>
      <c r="BT458" t="str">
        <f>HYPERLINK("https%3A%2F%2Fwww.webofscience.com%2Fwos%2Fwoscc%2Ffull-record%2FWOS:000511137400004","View Full Record in Web of Science")</f>
        <v>View Full Record in Web of Science</v>
      </c>
    </row>
    <row r="459" spans="1:72" x14ac:dyDescent="0.15">
      <c r="A459" t="s">
        <v>133</v>
      </c>
      <c r="B459" t="s">
        <v>9274</v>
      </c>
      <c r="C459" t="s">
        <v>74</v>
      </c>
      <c r="D459" t="s">
        <v>74</v>
      </c>
      <c r="E459" t="s">
        <v>74</v>
      </c>
      <c r="F459" t="s">
        <v>9275</v>
      </c>
      <c r="G459" t="s">
        <v>74</v>
      </c>
      <c r="H459" t="s">
        <v>74</v>
      </c>
      <c r="I459" t="s">
        <v>9276</v>
      </c>
      <c r="J459" t="s">
        <v>9277</v>
      </c>
      <c r="K459" t="s">
        <v>74</v>
      </c>
      <c r="L459" t="s">
        <v>74</v>
      </c>
      <c r="M459" t="s">
        <v>80</v>
      </c>
      <c r="N459" t="s">
        <v>138</v>
      </c>
      <c r="O459" t="s">
        <v>74</v>
      </c>
      <c r="P459" t="s">
        <v>74</v>
      </c>
      <c r="Q459" t="s">
        <v>74</v>
      </c>
      <c r="R459" t="s">
        <v>74</v>
      </c>
      <c r="S459" t="s">
        <v>74</v>
      </c>
      <c r="T459" t="s">
        <v>9278</v>
      </c>
      <c r="U459" t="s">
        <v>9279</v>
      </c>
      <c r="V459" t="s">
        <v>9280</v>
      </c>
      <c r="W459" t="s">
        <v>9281</v>
      </c>
      <c r="X459" t="s">
        <v>9282</v>
      </c>
      <c r="Y459" t="s">
        <v>9283</v>
      </c>
      <c r="Z459" t="s">
        <v>9284</v>
      </c>
      <c r="AA459" t="s">
        <v>9285</v>
      </c>
      <c r="AB459" t="s">
        <v>74</v>
      </c>
      <c r="AC459" t="s">
        <v>9286</v>
      </c>
      <c r="AD459" t="s">
        <v>149</v>
      </c>
      <c r="AE459" t="s">
        <v>9287</v>
      </c>
      <c r="AF459" t="s">
        <v>74</v>
      </c>
      <c r="AG459">
        <v>26</v>
      </c>
      <c r="AH459">
        <v>6</v>
      </c>
      <c r="AI459">
        <v>6</v>
      </c>
      <c r="AJ459">
        <v>2</v>
      </c>
      <c r="AK459">
        <v>24</v>
      </c>
      <c r="AL459" t="s">
        <v>3581</v>
      </c>
      <c r="AM459" t="s">
        <v>1965</v>
      </c>
      <c r="AN459" t="s">
        <v>3582</v>
      </c>
      <c r="AO459" t="s">
        <v>9288</v>
      </c>
      <c r="AP459" t="s">
        <v>9289</v>
      </c>
      <c r="AQ459" t="s">
        <v>74</v>
      </c>
      <c r="AR459" t="s">
        <v>9290</v>
      </c>
      <c r="AS459" t="s">
        <v>1713</v>
      </c>
      <c r="AT459" t="s">
        <v>3457</v>
      </c>
      <c r="AU459">
        <v>2019</v>
      </c>
      <c r="AV459">
        <v>88</v>
      </c>
      <c r="AW459">
        <v>6</v>
      </c>
      <c r="AX459" t="s">
        <v>74</v>
      </c>
      <c r="AY459" t="s">
        <v>74</v>
      </c>
      <c r="AZ459" t="s">
        <v>74</v>
      </c>
      <c r="BA459" t="s">
        <v>74</v>
      </c>
      <c r="BB459">
        <v>739</v>
      </c>
      <c r="BC459">
        <v>746</v>
      </c>
      <c r="BD459" t="s">
        <v>74</v>
      </c>
      <c r="BE459" t="s">
        <v>9291</v>
      </c>
      <c r="BF459" t="str">
        <f>HYPERLINK("http://dx.doi.org/10.1134/S0026261719050084","http://dx.doi.org/10.1134/S0026261719050084")</f>
        <v>http://dx.doi.org/10.1134/S0026261719050084</v>
      </c>
      <c r="BG459" t="s">
        <v>74</v>
      </c>
      <c r="BH459" t="s">
        <v>74</v>
      </c>
      <c r="BI459">
        <v>8</v>
      </c>
      <c r="BJ459" t="s">
        <v>1713</v>
      </c>
      <c r="BK459" t="s">
        <v>294</v>
      </c>
      <c r="BL459" t="s">
        <v>1713</v>
      </c>
      <c r="BM459" t="s">
        <v>9292</v>
      </c>
      <c r="BN459" t="s">
        <v>74</v>
      </c>
      <c r="BO459" t="s">
        <v>74</v>
      </c>
      <c r="BP459" t="s">
        <v>74</v>
      </c>
      <c r="BQ459" t="s">
        <v>74</v>
      </c>
      <c r="BR459" t="s">
        <v>108</v>
      </c>
      <c r="BS459" t="s">
        <v>9293</v>
      </c>
      <c r="BT459" t="str">
        <f>HYPERLINK("https%3A%2F%2Fwww.webofscience.com%2Fwos%2Fwoscc%2Ffull-record%2FWOS:000512067800010","View Full Record in Web of Science")</f>
        <v>View Full Record in Web of Science</v>
      </c>
    </row>
    <row r="460" spans="1:72" x14ac:dyDescent="0.15">
      <c r="A460" t="s">
        <v>133</v>
      </c>
      <c r="B460" t="s">
        <v>9294</v>
      </c>
      <c r="C460" t="s">
        <v>74</v>
      </c>
      <c r="D460" t="s">
        <v>74</v>
      </c>
      <c r="E460" t="s">
        <v>74</v>
      </c>
      <c r="F460" t="s">
        <v>9295</v>
      </c>
      <c r="G460" t="s">
        <v>74</v>
      </c>
      <c r="H460" t="s">
        <v>74</v>
      </c>
      <c r="I460" t="s">
        <v>9296</v>
      </c>
      <c r="J460" t="s">
        <v>9297</v>
      </c>
      <c r="K460" t="s">
        <v>74</v>
      </c>
      <c r="L460" t="s">
        <v>74</v>
      </c>
      <c r="M460" t="s">
        <v>80</v>
      </c>
      <c r="N460" t="s">
        <v>138</v>
      </c>
      <c r="O460" t="s">
        <v>74</v>
      </c>
      <c r="P460" t="s">
        <v>74</v>
      </c>
      <c r="Q460" t="s">
        <v>74</v>
      </c>
      <c r="R460" t="s">
        <v>74</v>
      </c>
      <c r="S460" t="s">
        <v>74</v>
      </c>
      <c r="T460" t="s">
        <v>9298</v>
      </c>
      <c r="U460" t="s">
        <v>9299</v>
      </c>
      <c r="V460" t="s">
        <v>9300</v>
      </c>
      <c r="W460" t="s">
        <v>9301</v>
      </c>
      <c r="X460" t="s">
        <v>9302</v>
      </c>
      <c r="Y460" t="s">
        <v>9303</v>
      </c>
      <c r="Z460" t="s">
        <v>9304</v>
      </c>
      <c r="AA460" t="s">
        <v>9305</v>
      </c>
      <c r="AB460" t="s">
        <v>9306</v>
      </c>
      <c r="AC460" t="s">
        <v>9307</v>
      </c>
      <c r="AD460" t="s">
        <v>9308</v>
      </c>
      <c r="AE460" t="s">
        <v>9309</v>
      </c>
      <c r="AF460" t="s">
        <v>74</v>
      </c>
      <c r="AG460">
        <v>48</v>
      </c>
      <c r="AH460">
        <v>3</v>
      </c>
      <c r="AI460">
        <v>4</v>
      </c>
      <c r="AJ460">
        <v>0</v>
      </c>
      <c r="AK460">
        <v>3</v>
      </c>
      <c r="AL460" t="s">
        <v>3581</v>
      </c>
      <c r="AM460" t="s">
        <v>1965</v>
      </c>
      <c r="AN460" t="s">
        <v>3582</v>
      </c>
      <c r="AO460" t="s">
        <v>9310</v>
      </c>
      <c r="AP460" t="s">
        <v>9311</v>
      </c>
      <c r="AQ460" t="s">
        <v>74</v>
      </c>
      <c r="AR460" t="s">
        <v>9312</v>
      </c>
      <c r="AS460" t="s">
        <v>9313</v>
      </c>
      <c r="AT460" t="s">
        <v>3457</v>
      </c>
      <c r="AU460">
        <v>2019</v>
      </c>
      <c r="AV460">
        <v>45</v>
      </c>
      <c r="AW460">
        <v>6</v>
      </c>
      <c r="AX460" t="s">
        <v>74</v>
      </c>
      <c r="AY460" t="s">
        <v>74</v>
      </c>
      <c r="AZ460" t="s">
        <v>74</v>
      </c>
      <c r="BA460" t="s">
        <v>74</v>
      </c>
      <c r="BB460">
        <v>481</v>
      </c>
      <c r="BC460">
        <v>485</v>
      </c>
      <c r="BD460" t="s">
        <v>74</v>
      </c>
      <c r="BE460" t="s">
        <v>9314</v>
      </c>
      <c r="BF460" t="str">
        <f>HYPERLINK("http://dx.doi.org/10.1134/S1063074019060038","http://dx.doi.org/10.1134/S1063074019060038")</f>
        <v>http://dx.doi.org/10.1134/S1063074019060038</v>
      </c>
      <c r="BG460" t="s">
        <v>74</v>
      </c>
      <c r="BH460" t="s">
        <v>74</v>
      </c>
      <c r="BI460">
        <v>5</v>
      </c>
      <c r="BJ460" t="s">
        <v>557</v>
      </c>
      <c r="BK460" t="s">
        <v>294</v>
      </c>
      <c r="BL460" t="s">
        <v>557</v>
      </c>
      <c r="BM460" t="s">
        <v>9315</v>
      </c>
      <c r="BN460" t="s">
        <v>74</v>
      </c>
      <c r="BO460" t="s">
        <v>74</v>
      </c>
      <c r="BP460" t="s">
        <v>74</v>
      </c>
      <c r="BQ460" t="s">
        <v>74</v>
      </c>
      <c r="BR460" t="s">
        <v>108</v>
      </c>
      <c r="BS460" t="s">
        <v>9316</v>
      </c>
      <c r="BT460" t="str">
        <f>HYPERLINK("https%3A%2F%2Fwww.webofscience.com%2Fwos%2Fwoscc%2Ffull-record%2FWOS:000512773200010","View Full Record in Web of Science")</f>
        <v>View Full Record in Web of Science</v>
      </c>
    </row>
    <row r="461" spans="1:72" x14ac:dyDescent="0.15">
      <c r="A461" t="s">
        <v>133</v>
      </c>
      <c r="B461" t="s">
        <v>9317</v>
      </c>
      <c r="C461" t="s">
        <v>74</v>
      </c>
      <c r="D461" t="s">
        <v>74</v>
      </c>
      <c r="E461" t="s">
        <v>74</v>
      </c>
      <c r="F461" t="s">
        <v>9318</v>
      </c>
      <c r="G461" t="s">
        <v>74</v>
      </c>
      <c r="H461" t="s">
        <v>74</v>
      </c>
      <c r="I461" t="s">
        <v>9319</v>
      </c>
      <c r="J461" t="s">
        <v>9320</v>
      </c>
      <c r="K461" t="s">
        <v>74</v>
      </c>
      <c r="L461" t="s">
        <v>74</v>
      </c>
      <c r="M461" t="s">
        <v>80</v>
      </c>
      <c r="N461" t="s">
        <v>138</v>
      </c>
      <c r="O461" t="s">
        <v>74</v>
      </c>
      <c r="P461" t="s">
        <v>74</v>
      </c>
      <c r="Q461" t="s">
        <v>74</v>
      </c>
      <c r="R461" t="s">
        <v>74</v>
      </c>
      <c r="S461" t="s">
        <v>74</v>
      </c>
      <c r="T461" t="s">
        <v>74</v>
      </c>
      <c r="U461" t="s">
        <v>74</v>
      </c>
      <c r="V461" t="s">
        <v>9321</v>
      </c>
      <c r="W461" t="s">
        <v>9322</v>
      </c>
      <c r="X461" t="s">
        <v>9323</v>
      </c>
      <c r="Y461" t="s">
        <v>9324</v>
      </c>
      <c r="Z461" t="s">
        <v>9325</v>
      </c>
      <c r="AA461" t="s">
        <v>9326</v>
      </c>
      <c r="AB461" t="s">
        <v>9327</v>
      </c>
      <c r="AC461" t="s">
        <v>9328</v>
      </c>
      <c r="AD461" t="s">
        <v>74</v>
      </c>
      <c r="AE461" t="s">
        <v>9329</v>
      </c>
      <c r="AF461" t="s">
        <v>74</v>
      </c>
      <c r="AG461">
        <v>11</v>
      </c>
      <c r="AH461">
        <v>1</v>
      </c>
      <c r="AI461">
        <v>1</v>
      </c>
      <c r="AJ461">
        <v>0</v>
      </c>
      <c r="AK461">
        <v>0</v>
      </c>
      <c r="AL461" t="s">
        <v>3581</v>
      </c>
      <c r="AM461" t="s">
        <v>1965</v>
      </c>
      <c r="AN461" t="s">
        <v>3582</v>
      </c>
      <c r="AO461" t="s">
        <v>9330</v>
      </c>
      <c r="AP461" t="s">
        <v>9331</v>
      </c>
      <c r="AQ461" t="s">
        <v>74</v>
      </c>
      <c r="AR461" t="s">
        <v>9332</v>
      </c>
      <c r="AS461" t="s">
        <v>9333</v>
      </c>
      <c r="AT461" t="s">
        <v>3457</v>
      </c>
      <c r="AU461">
        <v>2019</v>
      </c>
      <c r="AV461">
        <v>489</v>
      </c>
      <c r="AW461">
        <v>1</v>
      </c>
      <c r="AX461" t="s">
        <v>74</v>
      </c>
      <c r="AY461" t="s">
        <v>74</v>
      </c>
      <c r="AZ461" t="s">
        <v>74</v>
      </c>
      <c r="BA461" t="s">
        <v>74</v>
      </c>
      <c r="BB461">
        <v>1372</v>
      </c>
      <c r="BC461">
        <v>1375</v>
      </c>
      <c r="BD461" t="s">
        <v>74</v>
      </c>
      <c r="BE461" t="s">
        <v>9334</v>
      </c>
      <c r="BF461" t="str">
        <f>HYPERLINK("http://dx.doi.org/10.1134/S1028334X19110217","http://dx.doi.org/10.1134/S1028334X19110217")</f>
        <v>http://dx.doi.org/10.1134/S1028334X19110217</v>
      </c>
      <c r="BG461" t="s">
        <v>74</v>
      </c>
      <c r="BH461" t="s">
        <v>74</v>
      </c>
      <c r="BI461">
        <v>4</v>
      </c>
      <c r="BJ461" t="s">
        <v>849</v>
      </c>
      <c r="BK461" t="s">
        <v>294</v>
      </c>
      <c r="BL461" t="s">
        <v>850</v>
      </c>
      <c r="BM461" t="s">
        <v>9335</v>
      </c>
      <c r="BN461" t="s">
        <v>74</v>
      </c>
      <c r="BO461" t="s">
        <v>74</v>
      </c>
      <c r="BP461" t="s">
        <v>74</v>
      </c>
      <c r="BQ461" t="s">
        <v>74</v>
      </c>
      <c r="BR461" t="s">
        <v>108</v>
      </c>
      <c r="BS461" t="s">
        <v>9336</v>
      </c>
      <c r="BT461" t="str">
        <f>HYPERLINK("https%3A%2F%2Fwww.webofscience.com%2Fwos%2Fwoscc%2Ffull-record%2FWOS:000511725500025","View Full Record in Web of Science")</f>
        <v>View Full Record in Web of Science</v>
      </c>
    </row>
    <row r="462" spans="1:72" x14ac:dyDescent="0.15">
      <c r="A462" t="s">
        <v>133</v>
      </c>
      <c r="B462" t="s">
        <v>9337</v>
      </c>
      <c r="C462" t="s">
        <v>74</v>
      </c>
      <c r="D462" t="s">
        <v>74</v>
      </c>
      <c r="E462" t="s">
        <v>74</v>
      </c>
      <c r="F462" t="s">
        <v>9338</v>
      </c>
      <c r="G462" t="s">
        <v>74</v>
      </c>
      <c r="H462" t="s">
        <v>74</v>
      </c>
      <c r="I462" t="s">
        <v>9339</v>
      </c>
      <c r="J462" t="s">
        <v>9340</v>
      </c>
      <c r="K462" t="s">
        <v>74</v>
      </c>
      <c r="L462" t="s">
        <v>74</v>
      </c>
      <c r="M462" t="s">
        <v>80</v>
      </c>
      <c r="N462" t="s">
        <v>138</v>
      </c>
      <c r="O462" t="s">
        <v>74</v>
      </c>
      <c r="P462" t="s">
        <v>74</v>
      </c>
      <c r="Q462" t="s">
        <v>74</v>
      </c>
      <c r="R462" t="s">
        <v>74</v>
      </c>
      <c r="S462" t="s">
        <v>74</v>
      </c>
      <c r="T462" t="s">
        <v>74</v>
      </c>
      <c r="U462" t="s">
        <v>9341</v>
      </c>
      <c r="V462" t="s">
        <v>9342</v>
      </c>
      <c r="W462" t="s">
        <v>9343</v>
      </c>
      <c r="X462" t="s">
        <v>9344</v>
      </c>
      <c r="Y462" t="s">
        <v>9345</v>
      </c>
      <c r="Z462" t="s">
        <v>9346</v>
      </c>
      <c r="AA462" t="s">
        <v>74</v>
      </c>
      <c r="AB462" t="s">
        <v>74</v>
      </c>
      <c r="AC462" t="s">
        <v>9347</v>
      </c>
      <c r="AD462" t="s">
        <v>9348</v>
      </c>
      <c r="AE462" t="s">
        <v>9349</v>
      </c>
      <c r="AF462" t="s">
        <v>74</v>
      </c>
      <c r="AG462">
        <v>32</v>
      </c>
      <c r="AH462">
        <v>12</v>
      </c>
      <c r="AI462">
        <v>15</v>
      </c>
      <c r="AJ462">
        <v>0</v>
      </c>
      <c r="AK462">
        <v>1</v>
      </c>
      <c r="AL462" t="s">
        <v>9350</v>
      </c>
      <c r="AM462" t="s">
        <v>9351</v>
      </c>
      <c r="AN462" t="s">
        <v>9352</v>
      </c>
      <c r="AO462" t="s">
        <v>9353</v>
      </c>
      <c r="AP462" t="s">
        <v>9354</v>
      </c>
      <c r="AQ462" t="s">
        <v>74</v>
      </c>
      <c r="AR462" t="s">
        <v>9355</v>
      </c>
      <c r="AS462" t="s">
        <v>9356</v>
      </c>
      <c r="AT462" t="s">
        <v>3457</v>
      </c>
      <c r="AU462">
        <v>2019</v>
      </c>
      <c r="AV462">
        <v>146</v>
      </c>
      <c r="AW462">
        <v>5</v>
      </c>
      <c r="AX462" t="s">
        <v>74</v>
      </c>
      <c r="AY462" t="s">
        <v>74</v>
      </c>
      <c r="AZ462" t="s">
        <v>74</v>
      </c>
      <c r="BA462" t="s">
        <v>74</v>
      </c>
      <c r="BB462">
        <v>3327</v>
      </c>
      <c r="BC462">
        <v>3332</v>
      </c>
      <c r="BD462" t="s">
        <v>74</v>
      </c>
      <c r="BE462" t="s">
        <v>9357</v>
      </c>
      <c r="BF462" t="str">
        <f>HYPERLINK("http://dx.doi.org/10.1121/1.5130709","http://dx.doi.org/10.1121/1.5130709")</f>
        <v>http://dx.doi.org/10.1121/1.5130709</v>
      </c>
      <c r="BG462" t="s">
        <v>74</v>
      </c>
      <c r="BH462" t="s">
        <v>74</v>
      </c>
      <c r="BI462">
        <v>6</v>
      </c>
      <c r="BJ462" t="s">
        <v>9358</v>
      </c>
      <c r="BK462" t="s">
        <v>360</v>
      </c>
      <c r="BL462" t="s">
        <v>9358</v>
      </c>
      <c r="BM462" t="s">
        <v>9359</v>
      </c>
      <c r="BN462">
        <v>31795649</v>
      </c>
      <c r="BO462" t="s">
        <v>588</v>
      </c>
      <c r="BP462" t="s">
        <v>74</v>
      </c>
      <c r="BQ462" t="s">
        <v>74</v>
      </c>
      <c r="BR462" t="s">
        <v>108</v>
      </c>
      <c r="BS462" t="s">
        <v>9360</v>
      </c>
      <c r="BT462" t="str">
        <f>HYPERLINK("https%3A%2F%2Fwww.webofscience.com%2Fwos%2Fwoscc%2Ffull-record%2FWOS:000510232400026","View Full Record in Web of Science")</f>
        <v>View Full Record in Web of Science</v>
      </c>
    </row>
    <row r="463" spans="1:72" x14ac:dyDescent="0.15">
      <c r="A463" t="s">
        <v>133</v>
      </c>
      <c r="B463" t="s">
        <v>9361</v>
      </c>
      <c r="C463" t="s">
        <v>74</v>
      </c>
      <c r="D463" t="s">
        <v>74</v>
      </c>
      <c r="E463" t="s">
        <v>74</v>
      </c>
      <c r="F463" t="s">
        <v>9362</v>
      </c>
      <c r="G463" t="s">
        <v>74</v>
      </c>
      <c r="H463" t="s">
        <v>74</v>
      </c>
      <c r="I463" t="s">
        <v>9363</v>
      </c>
      <c r="J463" t="s">
        <v>9364</v>
      </c>
      <c r="K463" t="s">
        <v>74</v>
      </c>
      <c r="L463" t="s">
        <v>74</v>
      </c>
      <c r="M463" t="s">
        <v>80</v>
      </c>
      <c r="N463" t="s">
        <v>138</v>
      </c>
      <c r="O463" t="s">
        <v>74</v>
      </c>
      <c r="P463" t="s">
        <v>74</v>
      </c>
      <c r="Q463" t="s">
        <v>74</v>
      </c>
      <c r="R463" t="s">
        <v>74</v>
      </c>
      <c r="S463" t="s">
        <v>74</v>
      </c>
      <c r="T463" t="s">
        <v>9365</v>
      </c>
      <c r="U463" t="s">
        <v>9366</v>
      </c>
      <c r="V463" t="s">
        <v>9367</v>
      </c>
      <c r="W463" t="s">
        <v>9368</v>
      </c>
      <c r="X463" t="s">
        <v>9369</v>
      </c>
      <c r="Y463" t="s">
        <v>9370</v>
      </c>
      <c r="Z463" t="s">
        <v>9371</v>
      </c>
      <c r="AA463" t="s">
        <v>74</v>
      </c>
      <c r="AB463" t="s">
        <v>74</v>
      </c>
      <c r="AC463" t="s">
        <v>9372</v>
      </c>
      <c r="AD463" t="s">
        <v>9373</v>
      </c>
      <c r="AE463" t="s">
        <v>9374</v>
      </c>
      <c r="AF463" t="s">
        <v>74</v>
      </c>
      <c r="AG463">
        <v>28</v>
      </c>
      <c r="AH463">
        <v>1</v>
      </c>
      <c r="AI463">
        <v>1</v>
      </c>
      <c r="AJ463">
        <v>0</v>
      </c>
      <c r="AK463">
        <v>2</v>
      </c>
      <c r="AL463" t="s">
        <v>3717</v>
      </c>
      <c r="AM463" t="s">
        <v>3718</v>
      </c>
      <c r="AN463" t="s">
        <v>3719</v>
      </c>
      <c r="AO463" t="s">
        <v>9375</v>
      </c>
      <c r="AP463" t="s">
        <v>9376</v>
      </c>
      <c r="AQ463" t="s">
        <v>74</v>
      </c>
      <c r="AR463" t="s">
        <v>9377</v>
      </c>
      <c r="AS463" t="s">
        <v>9378</v>
      </c>
      <c r="AT463" t="s">
        <v>3457</v>
      </c>
      <c r="AU463">
        <v>2019</v>
      </c>
      <c r="AV463">
        <v>53</v>
      </c>
      <c r="AW463">
        <v>6</v>
      </c>
      <c r="AX463" t="s">
        <v>74</v>
      </c>
      <c r="AY463" t="s">
        <v>74</v>
      </c>
      <c r="AZ463" t="s">
        <v>74</v>
      </c>
      <c r="BA463" t="s">
        <v>74</v>
      </c>
      <c r="BB463">
        <v>726</v>
      </c>
      <c r="BC463">
        <v>737</v>
      </c>
      <c r="BD463" t="s">
        <v>74</v>
      </c>
      <c r="BE463" t="s">
        <v>9379</v>
      </c>
      <c r="BF463" t="str">
        <f>HYPERLINK("http://dx.doi.org/10.1134/S0016852119060074","http://dx.doi.org/10.1134/S0016852119060074")</f>
        <v>http://dx.doi.org/10.1134/S0016852119060074</v>
      </c>
      <c r="BG463" t="s">
        <v>74</v>
      </c>
      <c r="BH463" t="s">
        <v>74</v>
      </c>
      <c r="BI463">
        <v>12</v>
      </c>
      <c r="BJ463" t="s">
        <v>1067</v>
      </c>
      <c r="BK463" t="s">
        <v>294</v>
      </c>
      <c r="BL463" t="s">
        <v>1067</v>
      </c>
      <c r="BM463" t="s">
        <v>9380</v>
      </c>
      <c r="BN463" t="s">
        <v>74</v>
      </c>
      <c r="BO463" t="s">
        <v>74</v>
      </c>
      <c r="BP463" t="s">
        <v>74</v>
      </c>
      <c r="BQ463" t="s">
        <v>74</v>
      </c>
      <c r="BR463" t="s">
        <v>108</v>
      </c>
      <c r="BS463" t="s">
        <v>9381</v>
      </c>
      <c r="BT463" t="str">
        <f>HYPERLINK("https%3A%2F%2Fwww.webofscience.com%2Fwos%2Fwoscc%2Ffull-record%2FWOS:000511540100006","View Full Record in Web of Science")</f>
        <v>View Full Record in Web of Science</v>
      </c>
    </row>
    <row r="464" spans="1:72" x14ac:dyDescent="0.15">
      <c r="A464" t="s">
        <v>133</v>
      </c>
      <c r="B464" t="s">
        <v>9382</v>
      </c>
      <c r="C464" t="s">
        <v>74</v>
      </c>
      <c r="D464" t="s">
        <v>74</v>
      </c>
      <c r="E464" t="s">
        <v>74</v>
      </c>
      <c r="F464" t="s">
        <v>9383</v>
      </c>
      <c r="G464" t="s">
        <v>74</v>
      </c>
      <c r="H464" t="s">
        <v>74</v>
      </c>
      <c r="I464" t="s">
        <v>9384</v>
      </c>
      <c r="J464" t="s">
        <v>3031</v>
      </c>
      <c r="K464" t="s">
        <v>74</v>
      </c>
      <c r="L464" t="s">
        <v>74</v>
      </c>
      <c r="M464" t="s">
        <v>80</v>
      </c>
      <c r="N464" t="s">
        <v>138</v>
      </c>
      <c r="O464" t="s">
        <v>74</v>
      </c>
      <c r="P464" t="s">
        <v>74</v>
      </c>
      <c r="Q464" t="s">
        <v>74</v>
      </c>
      <c r="R464" t="s">
        <v>74</v>
      </c>
      <c r="S464" t="s">
        <v>74</v>
      </c>
      <c r="T464" t="s">
        <v>74</v>
      </c>
      <c r="U464" t="s">
        <v>9385</v>
      </c>
      <c r="V464" t="s">
        <v>9386</v>
      </c>
      <c r="W464" t="s">
        <v>9387</v>
      </c>
      <c r="X464" t="s">
        <v>9388</v>
      </c>
      <c r="Y464" t="s">
        <v>9389</v>
      </c>
      <c r="Z464" t="s">
        <v>9390</v>
      </c>
      <c r="AA464" t="s">
        <v>9391</v>
      </c>
      <c r="AB464" t="s">
        <v>9392</v>
      </c>
      <c r="AC464" t="s">
        <v>9393</v>
      </c>
      <c r="AD464" t="s">
        <v>9394</v>
      </c>
      <c r="AE464" t="s">
        <v>9395</v>
      </c>
      <c r="AF464" t="s">
        <v>74</v>
      </c>
      <c r="AG464">
        <v>119</v>
      </c>
      <c r="AH464">
        <v>17</v>
      </c>
      <c r="AI464">
        <v>19</v>
      </c>
      <c r="AJ464">
        <v>0</v>
      </c>
      <c r="AK464">
        <v>7</v>
      </c>
      <c r="AL464" t="s">
        <v>1264</v>
      </c>
      <c r="AM464" t="s">
        <v>1265</v>
      </c>
      <c r="AN464" t="s">
        <v>1266</v>
      </c>
      <c r="AO464" t="s">
        <v>74</v>
      </c>
      <c r="AP464" t="s">
        <v>3043</v>
      </c>
      <c r="AQ464" t="s">
        <v>74</v>
      </c>
      <c r="AR464" t="s">
        <v>3044</v>
      </c>
      <c r="AS464" t="s">
        <v>3045</v>
      </c>
      <c r="AT464" t="s">
        <v>3457</v>
      </c>
      <c r="AU464">
        <v>2019</v>
      </c>
      <c r="AV464">
        <v>20</v>
      </c>
      <c r="AW464">
        <v>11</v>
      </c>
      <c r="AX464" t="s">
        <v>74</v>
      </c>
      <c r="AY464" t="s">
        <v>74</v>
      </c>
      <c r="AZ464" t="s">
        <v>74</v>
      </c>
      <c r="BA464" t="s">
        <v>74</v>
      </c>
      <c r="BB464">
        <v>5352</v>
      </c>
      <c r="BC464">
        <v>5370</v>
      </c>
      <c r="BD464" t="s">
        <v>74</v>
      </c>
      <c r="BE464" t="s">
        <v>9396</v>
      </c>
      <c r="BF464" t="str">
        <f>HYPERLINK("http://dx.doi.org/10.1029/2019GC008418","http://dx.doi.org/10.1029/2019GC008418")</f>
        <v>http://dx.doi.org/10.1029/2019GC008418</v>
      </c>
      <c r="BG464" t="s">
        <v>74</v>
      </c>
      <c r="BH464" t="s">
        <v>74</v>
      </c>
      <c r="BI464">
        <v>19</v>
      </c>
      <c r="BJ464" t="s">
        <v>1067</v>
      </c>
      <c r="BK464" t="s">
        <v>294</v>
      </c>
      <c r="BL464" t="s">
        <v>1067</v>
      </c>
      <c r="BM464" t="s">
        <v>8107</v>
      </c>
      <c r="BN464" t="s">
        <v>74</v>
      </c>
      <c r="BO464" t="s">
        <v>439</v>
      </c>
      <c r="BP464" t="s">
        <v>74</v>
      </c>
      <c r="BQ464" t="s">
        <v>74</v>
      </c>
      <c r="BR464" t="s">
        <v>108</v>
      </c>
      <c r="BS464" t="s">
        <v>9397</v>
      </c>
      <c r="BT464" t="str">
        <f>HYPERLINK("https%3A%2F%2Fwww.webofscience.com%2Fwos%2Fwoscc%2Ffull-record%2FWOS:000505405400040","View Full Record in Web of Science")</f>
        <v>View Full Record in Web of Science</v>
      </c>
    </row>
    <row r="465" spans="1:72" x14ac:dyDescent="0.15">
      <c r="A465" t="s">
        <v>133</v>
      </c>
      <c r="B465" t="s">
        <v>9398</v>
      </c>
      <c r="C465" t="s">
        <v>74</v>
      </c>
      <c r="D465" t="s">
        <v>74</v>
      </c>
      <c r="E465" t="s">
        <v>74</v>
      </c>
      <c r="F465" t="s">
        <v>9399</v>
      </c>
      <c r="G465" t="s">
        <v>74</v>
      </c>
      <c r="H465" t="s">
        <v>74</v>
      </c>
      <c r="I465" t="s">
        <v>9400</v>
      </c>
      <c r="J465" t="s">
        <v>1928</v>
      </c>
      <c r="K465" t="s">
        <v>74</v>
      </c>
      <c r="L465" t="s">
        <v>74</v>
      </c>
      <c r="M465" t="s">
        <v>80</v>
      </c>
      <c r="N465" t="s">
        <v>138</v>
      </c>
      <c r="O465" t="s">
        <v>74</v>
      </c>
      <c r="P465" t="s">
        <v>74</v>
      </c>
      <c r="Q465" t="s">
        <v>74</v>
      </c>
      <c r="R465" t="s">
        <v>74</v>
      </c>
      <c r="S465" t="s">
        <v>74</v>
      </c>
      <c r="T465" t="s">
        <v>74</v>
      </c>
      <c r="U465" t="s">
        <v>9401</v>
      </c>
      <c r="V465" t="s">
        <v>9402</v>
      </c>
      <c r="W465" t="s">
        <v>9403</v>
      </c>
      <c r="X465" t="s">
        <v>9404</v>
      </c>
      <c r="Y465" t="s">
        <v>9405</v>
      </c>
      <c r="Z465" t="s">
        <v>9406</v>
      </c>
      <c r="AA465" t="s">
        <v>9407</v>
      </c>
      <c r="AB465" t="s">
        <v>9408</v>
      </c>
      <c r="AC465" t="s">
        <v>9409</v>
      </c>
      <c r="AD465" t="s">
        <v>9410</v>
      </c>
      <c r="AE465" t="s">
        <v>9411</v>
      </c>
      <c r="AF465" t="s">
        <v>74</v>
      </c>
      <c r="AG465">
        <v>77</v>
      </c>
      <c r="AH465">
        <v>8</v>
      </c>
      <c r="AI465">
        <v>8</v>
      </c>
      <c r="AJ465">
        <v>0</v>
      </c>
      <c r="AK465">
        <v>7</v>
      </c>
      <c r="AL465" t="s">
        <v>1264</v>
      </c>
      <c r="AM465" t="s">
        <v>1265</v>
      </c>
      <c r="AN465" t="s">
        <v>1266</v>
      </c>
      <c r="AO465" t="s">
        <v>1940</v>
      </c>
      <c r="AP465" t="s">
        <v>1941</v>
      </c>
      <c r="AQ465" t="s">
        <v>74</v>
      </c>
      <c r="AR465" t="s">
        <v>1942</v>
      </c>
      <c r="AS465" t="s">
        <v>1943</v>
      </c>
      <c r="AT465" t="s">
        <v>3457</v>
      </c>
      <c r="AU465">
        <v>2019</v>
      </c>
      <c r="AV465">
        <v>124</v>
      </c>
      <c r="AW465">
        <v>11</v>
      </c>
      <c r="AX465" t="s">
        <v>74</v>
      </c>
      <c r="AY465" t="s">
        <v>74</v>
      </c>
      <c r="AZ465" t="s">
        <v>74</v>
      </c>
      <c r="BA465" t="s">
        <v>74</v>
      </c>
      <c r="BB465">
        <v>7837</v>
      </c>
      <c r="BC465">
        <v>7853</v>
      </c>
      <c r="BD465" t="s">
        <v>74</v>
      </c>
      <c r="BE465" t="s">
        <v>9412</v>
      </c>
      <c r="BF465" t="str">
        <f>HYPERLINK("http://dx.doi.org/10.1029/2018JC014458","http://dx.doi.org/10.1029/2018JC014458")</f>
        <v>http://dx.doi.org/10.1029/2018JC014458</v>
      </c>
      <c r="BG465" t="s">
        <v>74</v>
      </c>
      <c r="BH465" t="s">
        <v>74</v>
      </c>
      <c r="BI465">
        <v>17</v>
      </c>
      <c r="BJ465" t="s">
        <v>1945</v>
      </c>
      <c r="BK465" t="s">
        <v>294</v>
      </c>
      <c r="BL465" t="s">
        <v>1945</v>
      </c>
      <c r="BM465" t="s">
        <v>6369</v>
      </c>
      <c r="BN465" t="s">
        <v>74</v>
      </c>
      <c r="BO465" t="s">
        <v>1482</v>
      </c>
      <c r="BP465" t="s">
        <v>74</v>
      </c>
      <c r="BQ465" t="s">
        <v>74</v>
      </c>
      <c r="BR465" t="s">
        <v>108</v>
      </c>
      <c r="BS465" t="s">
        <v>9413</v>
      </c>
      <c r="BT465" t="str">
        <f>HYPERLINK("https%3A%2F%2Fwww.webofscience.com%2Fwos%2Fwoscc%2Ffull-record%2FWOS:000505404600033","View Full Record in Web of Science")</f>
        <v>View Full Record in Web of Science</v>
      </c>
    </row>
    <row r="466" spans="1:72" x14ac:dyDescent="0.15">
      <c r="A466" t="s">
        <v>133</v>
      </c>
      <c r="B466" t="s">
        <v>9414</v>
      </c>
      <c r="C466" t="s">
        <v>74</v>
      </c>
      <c r="D466" t="s">
        <v>74</v>
      </c>
      <c r="E466" t="s">
        <v>74</v>
      </c>
      <c r="F466" t="s">
        <v>9415</v>
      </c>
      <c r="G466" t="s">
        <v>74</v>
      </c>
      <c r="H466" t="s">
        <v>74</v>
      </c>
      <c r="I466" t="s">
        <v>9416</v>
      </c>
      <c r="J466" t="s">
        <v>1553</v>
      </c>
      <c r="K466" t="s">
        <v>74</v>
      </c>
      <c r="L466" t="s">
        <v>74</v>
      </c>
      <c r="M466" t="s">
        <v>80</v>
      </c>
      <c r="N466" t="s">
        <v>138</v>
      </c>
      <c r="O466" t="s">
        <v>74</v>
      </c>
      <c r="P466" t="s">
        <v>74</v>
      </c>
      <c r="Q466" t="s">
        <v>74</v>
      </c>
      <c r="R466" t="s">
        <v>74</v>
      </c>
      <c r="S466" t="s">
        <v>74</v>
      </c>
      <c r="T466" t="s">
        <v>74</v>
      </c>
      <c r="U466" t="s">
        <v>9417</v>
      </c>
      <c r="V466" t="s">
        <v>9418</v>
      </c>
      <c r="W466" t="s">
        <v>9419</v>
      </c>
      <c r="X466" t="s">
        <v>9420</v>
      </c>
      <c r="Y466" t="s">
        <v>9421</v>
      </c>
      <c r="Z466" t="s">
        <v>9422</v>
      </c>
      <c r="AA466" t="s">
        <v>9423</v>
      </c>
      <c r="AB466" t="s">
        <v>9424</v>
      </c>
      <c r="AC466" t="s">
        <v>9425</v>
      </c>
      <c r="AD466" t="s">
        <v>9426</v>
      </c>
      <c r="AE466" t="s">
        <v>9427</v>
      </c>
      <c r="AF466" t="s">
        <v>74</v>
      </c>
      <c r="AG466">
        <v>84</v>
      </c>
      <c r="AH466">
        <v>12</v>
      </c>
      <c r="AI466">
        <v>12</v>
      </c>
      <c r="AJ466">
        <v>0</v>
      </c>
      <c r="AK466">
        <v>15</v>
      </c>
      <c r="AL466" t="s">
        <v>1264</v>
      </c>
      <c r="AM466" t="s">
        <v>1265</v>
      </c>
      <c r="AN466" t="s">
        <v>1266</v>
      </c>
      <c r="AO466" t="s">
        <v>1566</v>
      </c>
      <c r="AP466" t="s">
        <v>1567</v>
      </c>
      <c r="AQ466" t="s">
        <v>74</v>
      </c>
      <c r="AR466" t="s">
        <v>1568</v>
      </c>
      <c r="AS466" t="s">
        <v>1569</v>
      </c>
      <c r="AT466" t="s">
        <v>3457</v>
      </c>
      <c r="AU466">
        <v>2019</v>
      </c>
      <c r="AV466">
        <v>124</v>
      </c>
      <c r="AW466">
        <v>11</v>
      </c>
      <c r="AX466" t="s">
        <v>74</v>
      </c>
      <c r="AY466" t="s">
        <v>74</v>
      </c>
      <c r="AZ466" t="s">
        <v>74</v>
      </c>
      <c r="BA466" t="s">
        <v>74</v>
      </c>
      <c r="BB466">
        <v>8893</v>
      </c>
      <c r="BC466">
        <v>8912</v>
      </c>
      <c r="BD466" t="s">
        <v>74</v>
      </c>
      <c r="BE466" t="s">
        <v>9428</v>
      </c>
      <c r="BF466" t="str">
        <f>HYPERLINK("http://dx.doi.org/10.1029/2019JA027088","http://dx.doi.org/10.1029/2019JA027088")</f>
        <v>http://dx.doi.org/10.1029/2019JA027088</v>
      </c>
      <c r="BG466" t="s">
        <v>74</v>
      </c>
      <c r="BH466" t="s">
        <v>74</v>
      </c>
      <c r="BI466">
        <v>20</v>
      </c>
      <c r="BJ466" t="s">
        <v>1571</v>
      </c>
      <c r="BK466" t="s">
        <v>294</v>
      </c>
      <c r="BL466" t="s">
        <v>1571</v>
      </c>
      <c r="BM466" t="s">
        <v>6850</v>
      </c>
      <c r="BN466" t="s">
        <v>74</v>
      </c>
      <c r="BO466" t="s">
        <v>638</v>
      </c>
      <c r="BP466" t="s">
        <v>74</v>
      </c>
      <c r="BQ466" t="s">
        <v>74</v>
      </c>
      <c r="BR466" t="s">
        <v>108</v>
      </c>
      <c r="BS466" t="s">
        <v>9429</v>
      </c>
      <c r="BT466" t="str">
        <f>HYPERLINK("https%3A%2F%2Fwww.webofscience.com%2Fwos%2Fwoscc%2Ffull-record%2FWOS:000505404700042","View Full Record in Web of Science")</f>
        <v>View Full Record in Web of Science</v>
      </c>
    </row>
    <row r="467" spans="1:72" x14ac:dyDescent="0.15">
      <c r="A467" t="s">
        <v>133</v>
      </c>
      <c r="B467" t="s">
        <v>9430</v>
      </c>
      <c r="C467" t="s">
        <v>74</v>
      </c>
      <c r="D467" t="s">
        <v>74</v>
      </c>
      <c r="E467" t="s">
        <v>74</v>
      </c>
      <c r="F467" t="s">
        <v>9431</v>
      </c>
      <c r="G467" t="s">
        <v>74</v>
      </c>
      <c r="H467" t="s">
        <v>74</v>
      </c>
      <c r="I467" t="s">
        <v>9432</v>
      </c>
      <c r="J467" t="s">
        <v>9433</v>
      </c>
      <c r="K467" t="s">
        <v>74</v>
      </c>
      <c r="L467" t="s">
        <v>74</v>
      </c>
      <c r="M467" t="s">
        <v>80</v>
      </c>
      <c r="N467" t="s">
        <v>138</v>
      </c>
      <c r="O467" t="s">
        <v>74</v>
      </c>
      <c r="P467" t="s">
        <v>74</v>
      </c>
      <c r="Q467" t="s">
        <v>74</v>
      </c>
      <c r="R467" t="s">
        <v>74</v>
      </c>
      <c r="S467" t="s">
        <v>74</v>
      </c>
      <c r="T467" t="s">
        <v>9434</v>
      </c>
      <c r="U467" t="s">
        <v>9435</v>
      </c>
      <c r="V467" t="s">
        <v>9436</v>
      </c>
      <c r="W467" t="s">
        <v>9437</v>
      </c>
      <c r="X467" t="s">
        <v>9438</v>
      </c>
      <c r="Y467" t="s">
        <v>9439</v>
      </c>
      <c r="Z467" t="s">
        <v>9440</v>
      </c>
      <c r="AA467" t="s">
        <v>74</v>
      </c>
      <c r="AB467" t="s">
        <v>9441</v>
      </c>
      <c r="AC467" t="s">
        <v>9442</v>
      </c>
      <c r="AD467" t="s">
        <v>9443</v>
      </c>
      <c r="AE467" t="s">
        <v>9444</v>
      </c>
      <c r="AF467" t="s">
        <v>74</v>
      </c>
      <c r="AG467">
        <v>44</v>
      </c>
      <c r="AH467">
        <v>3</v>
      </c>
      <c r="AI467">
        <v>3</v>
      </c>
      <c r="AJ467">
        <v>0</v>
      </c>
      <c r="AK467">
        <v>0</v>
      </c>
      <c r="AL467" t="s">
        <v>4680</v>
      </c>
      <c r="AM467" t="s">
        <v>1730</v>
      </c>
      <c r="AN467" t="s">
        <v>4681</v>
      </c>
      <c r="AO467" t="s">
        <v>9445</v>
      </c>
      <c r="AP467" t="s">
        <v>74</v>
      </c>
      <c r="AQ467" t="s">
        <v>74</v>
      </c>
      <c r="AR467" t="s">
        <v>9446</v>
      </c>
      <c r="AS467" t="s">
        <v>9447</v>
      </c>
      <c r="AT467" t="s">
        <v>3457</v>
      </c>
      <c r="AU467">
        <v>2019</v>
      </c>
      <c r="AV467">
        <v>91</v>
      </c>
      <c r="AW467" t="s">
        <v>74</v>
      </c>
      <c r="AX467" t="s">
        <v>74</v>
      </c>
      <c r="AY467" t="s">
        <v>74</v>
      </c>
      <c r="AZ467" t="s">
        <v>74</v>
      </c>
      <c r="BA467" t="s">
        <v>74</v>
      </c>
      <c r="BB467" t="s">
        <v>74</v>
      </c>
      <c r="BC467" t="s">
        <v>74</v>
      </c>
      <c r="BD467">
        <v>102741</v>
      </c>
      <c r="BE467" t="s">
        <v>9448</v>
      </c>
      <c r="BF467" t="str">
        <f>HYPERLINK("http://dx.doi.org/10.1016/j.jfluidstructs.2019.102741","http://dx.doi.org/10.1016/j.jfluidstructs.2019.102741")</f>
        <v>http://dx.doi.org/10.1016/j.jfluidstructs.2019.102741</v>
      </c>
      <c r="BG467" t="s">
        <v>74</v>
      </c>
      <c r="BH467" t="s">
        <v>74</v>
      </c>
      <c r="BI467">
        <v>23</v>
      </c>
      <c r="BJ467" t="s">
        <v>9449</v>
      </c>
      <c r="BK467" t="s">
        <v>294</v>
      </c>
      <c r="BL467" t="s">
        <v>9450</v>
      </c>
      <c r="BM467" t="s">
        <v>9451</v>
      </c>
      <c r="BN467" t="s">
        <v>74</v>
      </c>
      <c r="BO467" t="s">
        <v>4773</v>
      </c>
      <c r="BP467" t="s">
        <v>74</v>
      </c>
      <c r="BQ467" t="s">
        <v>74</v>
      </c>
      <c r="BR467" t="s">
        <v>108</v>
      </c>
      <c r="BS467" t="s">
        <v>9452</v>
      </c>
      <c r="BT467" t="str">
        <f>HYPERLINK("https%3A%2F%2Fwww.webofscience.com%2Fwos%2Fwoscc%2Ffull-record%2FWOS:000506721100042","View Full Record in Web of Science")</f>
        <v>View Full Record in Web of Science</v>
      </c>
    </row>
    <row r="468" spans="1:72" x14ac:dyDescent="0.15">
      <c r="A468" t="s">
        <v>133</v>
      </c>
      <c r="B468" t="s">
        <v>9453</v>
      </c>
      <c r="C468" t="s">
        <v>74</v>
      </c>
      <c r="D468" t="s">
        <v>74</v>
      </c>
      <c r="E468" t="s">
        <v>74</v>
      </c>
      <c r="F468" t="s">
        <v>9454</v>
      </c>
      <c r="G468" t="s">
        <v>74</v>
      </c>
      <c r="H468" t="s">
        <v>74</v>
      </c>
      <c r="I468" t="s">
        <v>9455</v>
      </c>
      <c r="J468" t="s">
        <v>9456</v>
      </c>
      <c r="K468" t="s">
        <v>74</v>
      </c>
      <c r="L468" t="s">
        <v>74</v>
      </c>
      <c r="M468" t="s">
        <v>80</v>
      </c>
      <c r="N468" t="s">
        <v>138</v>
      </c>
      <c r="O468" t="s">
        <v>74</v>
      </c>
      <c r="P468" t="s">
        <v>74</v>
      </c>
      <c r="Q468" t="s">
        <v>74</v>
      </c>
      <c r="R468" t="s">
        <v>74</v>
      </c>
      <c r="S468" t="s">
        <v>74</v>
      </c>
      <c r="T468" t="s">
        <v>9457</v>
      </c>
      <c r="U468" t="s">
        <v>9458</v>
      </c>
      <c r="V468" t="s">
        <v>9459</v>
      </c>
      <c r="W468" t="s">
        <v>9460</v>
      </c>
      <c r="X468" t="s">
        <v>1120</v>
      </c>
      <c r="Y468" t="s">
        <v>9461</v>
      </c>
      <c r="Z468" t="s">
        <v>9462</v>
      </c>
      <c r="AA468" t="s">
        <v>9463</v>
      </c>
      <c r="AB468" t="s">
        <v>9464</v>
      </c>
      <c r="AC468" t="s">
        <v>9465</v>
      </c>
      <c r="AD468" t="s">
        <v>9466</v>
      </c>
      <c r="AE468" t="s">
        <v>9467</v>
      </c>
      <c r="AF468" t="s">
        <v>74</v>
      </c>
      <c r="AG468">
        <v>48</v>
      </c>
      <c r="AH468">
        <v>0</v>
      </c>
      <c r="AI468">
        <v>0</v>
      </c>
      <c r="AJ468">
        <v>0</v>
      </c>
      <c r="AK468">
        <v>2</v>
      </c>
      <c r="AL468" t="s">
        <v>9468</v>
      </c>
      <c r="AM468" t="s">
        <v>3718</v>
      </c>
      <c r="AN468" t="s">
        <v>9469</v>
      </c>
      <c r="AO468" t="s">
        <v>9470</v>
      </c>
      <c r="AP468" t="s">
        <v>74</v>
      </c>
      <c r="AQ468" t="s">
        <v>74</v>
      </c>
      <c r="AR468" t="s">
        <v>9471</v>
      </c>
      <c r="AS468" t="s">
        <v>9472</v>
      </c>
      <c r="AT468" t="s">
        <v>9473</v>
      </c>
      <c r="AU468">
        <v>2019</v>
      </c>
      <c r="AV468">
        <v>19</v>
      </c>
      <c r="AW468">
        <v>6</v>
      </c>
      <c r="AX468" t="s">
        <v>74</v>
      </c>
      <c r="AY468" t="s">
        <v>74</v>
      </c>
      <c r="AZ468" t="s">
        <v>74</v>
      </c>
      <c r="BA468" t="s">
        <v>74</v>
      </c>
      <c r="BB468" t="s">
        <v>74</v>
      </c>
      <c r="BC468" t="s">
        <v>74</v>
      </c>
      <c r="BD468" t="s">
        <v>9474</v>
      </c>
      <c r="BE468" t="s">
        <v>9475</v>
      </c>
      <c r="BF468" t="str">
        <f>HYPERLINK("http://dx.doi.org/10.2205/2019ES000689","http://dx.doi.org/10.2205/2019ES000689")</f>
        <v>http://dx.doi.org/10.2205/2019ES000689</v>
      </c>
      <c r="BG468" t="s">
        <v>74</v>
      </c>
      <c r="BH468" t="s">
        <v>74</v>
      </c>
      <c r="BI468">
        <v>17</v>
      </c>
      <c r="BJ468" t="s">
        <v>849</v>
      </c>
      <c r="BK468" t="s">
        <v>160</v>
      </c>
      <c r="BL468" t="s">
        <v>850</v>
      </c>
      <c r="BM468" t="s">
        <v>9476</v>
      </c>
      <c r="BN468" t="s">
        <v>74</v>
      </c>
      <c r="BO468" t="s">
        <v>74</v>
      </c>
      <c r="BP468" t="s">
        <v>74</v>
      </c>
      <c r="BQ468" t="s">
        <v>74</v>
      </c>
      <c r="BR468" t="s">
        <v>108</v>
      </c>
      <c r="BS468" t="s">
        <v>9477</v>
      </c>
      <c r="BT468" t="str">
        <f>HYPERLINK("https%3A%2F%2Fwww.webofscience.com%2Fwos%2Fwoscc%2Ffull-record%2FWOS:000506028300009","View Full Record in Web of Science")</f>
        <v>View Full Record in Web of Science</v>
      </c>
    </row>
    <row r="469" spans="1:72" x14ac:dyDescent="0.15">
      <c r="A469" t="s">
        <v>133</v>
      </c>
      <c r="B469" t="s">
        <v>9478</v>
      </c>
      <c r="C469" t="s">
        <v>74</v>
      </c>
      <c r="D469" t="s">
        <v>74</v>
      </c>
      <c r="E469" t="s">
        <v>74</v>
      </c>
      <c r="F469" t="s">
        <v>9479</v>
      </c>
      <c r="G469" t="s">
        <v>74</v>
      </c>
      <c r="H469" t="s">
        <v>74</v>
      </c>
      <c r="I469" t="s">
        <v>9480</v>
      </c>
      <c r="J469" t="s">
        <v>9481</v>
      </c>
      <c r="K469" t="s">
        <v>74</v>
      </c>
      <c r="L469" t="s">
        <v>74</v>
      </c>
      <c r="M469" t="s">
        <v>80</v>
      </c>
      <c r="N469" t="s">
        <v>138</v>
      </c>
      <c r="O469" t="s">
        <v>74</v>
      </c>
      <c r="P469" t="s">
        <v>74</v>
      </c>
      <c r="Q469" t="s">
        <v>74</v>
      </c>
      <c r="R469" t="s">
        <v>74</v>
      </c>
      <c r="S469" t="s">
        <v>74</v>
      </c>
      <c r="T469" t="s">
        <v>9482</v>
      </c>
      <c r="U469" t="s">
        <v>9483</v>
      </c>
      <c r="V469" t="s">
        <v>9484</v>
      </c>
      <c r="W469" t="s">
        <v>9485</v>
      </c>
      <c r="X469" t="s">
        <v>9486</v>
      </c>
      <c r="Y469" t="s">
        <v>9487</v>
      </c>
      <c r="Z469" t="s">
        <v>9488</v>
      </c>
      <c r="AA469" t="s">
        <v>9489</v>
      </c>
      <c r="AB469" t="s">
        <v>9490</v>
      </c>
      <c r="AC469" t="s">
        <v>74</v>
      </c>
      <c r="AD469" t="s">
        <v>74</v>
      </c>
      <c r="AE469" t="s">
        <v>74</v>
      </c>
      <c r="AF469" t="s">
        <v>74</v>
      </c>
      <c r="AG469">
        <v>35</v>
      </c>
      <c r="AH469">
        <v>7</v>
      </c>
      <c r="AI469">
        <v>8</v>
      </c>
      <c r="AJ469">
        <v>1</v>
      </c>
      <c r="AK469">
        <v>11</v>
      </c>
      <c r="AL469" t="s">
        <v>429</v>
      </c>
      <c r="AM469" t="s">
        <v>430</v>
      </c>
      <c r="AN469" t="s">
        <v>431</v>
      </c>
      <c r="AO469" t="s">
        <v>9491</v>
      </c>
      <c r="AP469" t="s">
        <v>9492</v>
      </c>
      <c r="AQ469" t="s">
        <v>74</v>
      </c>
      <c r="AR469" t="s">
        <v>9493</v>
      </c>
      <c r="AS469" t="s">
        <v>9494</v>
      </c>
      <c r="AT469" t="s">
        <v>3457</v>
      </c>
      <c r="AU469">
        <v>2019</v>
      </c>
      <c r="AV469">
        <v>34</v>
      </c>
      <c r="AW469">
        <v>8</v>
      </c>
      <c r="AX469" t="s">
        <v>74</v>
      </c>
      <c r="AY469" t="s">
        <v>74</v>
      </c>
      <c r="AZ469" t="s">
        <v>74</v>
      </c>
      <c r="BA469" t="s">
        <v>74</v>
      </c>
      <c r="BB469">
        <v>603</v>
      </c>
      <c r="BC469">
        <v>608</v>
      </c>
      <c r="BD469" t="s">
        <v>74</v>
      </c>
      <c r="BE469" t="s">
        <v>9495</v>
      </c>
      <c r="BF469" t="str">
        <f>HYPERLINK("http://dx.doi.org/10.1002/jqs.3148","http://dx.doi.org/10.1002/jqs.3148")</f>
        <v>http://dx.doi.org/10.1002/jqs.3148</v>
      </c>
      <c r="BG469" t="s">
        <v>74</v>
      </c>
      <c r="BH469" t="s">
        <v>74</v>
      </c>
      <c r="BI469">
        <v>6</v>
      </c>
      <c r="BJ469" t="s">
        <v>462</v>
      </c>
      <c r="BK469" t="s">
        <v>294</v>
      </c>
      <c r="BL469" t="s">
        <v>463</v>
      </c>
      <c r="BM469" t="s">
        <v>9496</v>
      </c>
      <c r="BN469" t="s">
        <v>74</v>
      </c>
      <c r="BO469" t="s">
        <v>74</v>
      </c>
      <c r="BP469" t="s">
        <v>74</v>
      </c>
      <c r="BQ469" t="s">
        <v>74</v>
      </c>
      <c r="BR469" t="s">
        <v>108</v>
      </c>
      <c r="BS469" t="s">
        <v>9497</v>
      </c>
      <c r="BT469" t="str">
        <f>HYPERLINK("https%3A%2F%2Fwww.webofscience.com%2Fwos%2Fwoscc%2Ffull-record%2FWOS:000505489200002","View Full Record in Web of Science")</f>
        <v>View Full Record in Web of Science</v>
      </c>
    </row>
    <row r="470" spans="1:72" x14ac:dyDescent="0.15">
      <c r="A470" t="s">
        <v>133</v>
      </c>
      <c r="B470" t="s">
        <v>9498</v>
      </c>
      <c r="C470" t="s">
        <v>74</v>
      </c>
      <c r="D470" t="s">
        <v>74</v>
      </c>
      <c r="E470" t="s">
        <v>74</v>
      </c>
      <c r="F470" t="s">
        <v>9499</v>
      </c>
      <c r="G470" t="s">
        <v>74</v>
      </c>
      <c r="H470" t="s">
        <v>74</v>
      </c>
      <c r="I470" t="s">
        <v>9500</v>
      </c>
      <c r="J470" t="s">
        <v>9481</v>
      </c>
      <c r="K470" t="s">
        <v>74</v>
      </c>
      <c r="L470" t="s">
        <v>74</v>
      </c>
      <c r="M470" t="s">
        <v>80</v>
      </c>
      <c r="N470" t="s">
        <v>138</v>
      </c>
      <c r="O470" t="s">
        <v>74</v>
      </c>
      <c r="P470" t="s">
        <v>74</v>
      </c>
      <c r="Q470" t="s">
        <v>74</v>
      </c>
      <c r="R470" t="s">
        <v>74</v>
      </c>
      <c r="S470" t="s">
        <v>74</v>
      </c>
      <c r="T470" t="s">
        <v>9501</v>
      </c>
      <c r="U470" t="s">
        <v>9502</v>
      </c>
      <c r="V470" t="s">
        <v>9503</v>
      </c>
      <c r="W470" t="s">
        <v>9504</v>
      </c>
      <c r="X470" t="s">
        <v>9505</v>
      </c>
      <c r="Y470" t="s">
        <v>9506</v>
      </c>
      <c r="Z470" t="s">
        <v>9507</v>
      </c>
      <c r="AA470" t="s">
        <v>9508</v>
      </c>
      <c r="AB470" t="s">
        <v>9509</v>
      </c>
      <c r="AC470" t="s">
        <v>74</v>
      </c>
      <c r="AD470" t="s">
        <v>74</v>
      </c>
      <c r="AE470" t="s">
        <v>74</v>
      </c>
      <c r="AF470" t="s">
        <v>74</v>
      </c>
      <c r="AG470">
        <v>85</v>
      </c>
      <c r="AH470">
        <v>5</v>
      </c>
      <c r="AI470">
        <v>6</v>
      </c>
      <c r="AJ470">
        <v>0</v>
      </c>
      <c r="AK470">
        <v>7</v>
      </c>
      <c r="AL470" t="s">
        <v>429</v>
      </c>
      <c r="AM470" t="s">
        <v>430</v>
      </c>
      <c r="AN470" t="s">
        <v>431</v>
      </c>
      <c r="AO470" t="s">
        <v>9491</v>
      </c>
      <c r="AP470" t="s">
        <v>9492</v>
      </c>
      <c r="AQ470" t="s">
        <v>74</v>
      </c>
      <c r="AR470" t="s">
        <v>9493</v>
      </c>
      <c r="AS470" t="s">
        <v>9494</v>
      </c>
      <c r="AT470" t="s">
        <v>3457</v>
      </c>
      <c r="AU470">
        <v>2019</v>
      </c>
      <c r="AV470">
        <v>34</v>
      </c>
      <c r="AW470">
        <v>8</v>
      </c>
      <c r="AX470" t="s">
        <v>74</v>
      </c>
      <c r="AY470" t="s">
        <v>74</v>
      </c>
      <c r="AZ470" t="s">
        <v>74</v>
      </c>
      <c r="BA470" t="s">
        <v>74</v>
      </c>
      <c r="BB470">
        <v>609</v>
      </c>
      <c r="BC470">
        <v>620</v>
      </c>
      <c r="BD470" t="s">
        <v>74</v>
      </c>
      <c r="BE470" t="s">
        <v>9510</v>
      </c>
      <c r="BF470" t="str">
        <f>HYPERLINK("http://dx.doi.org/10.1002/jqs.3150","http://dx.doi.org/10.1002/jqs.3150")</f>
        <v>http://dx.doi.org/10.1002/jqs.3150</v>
      </c>
      <c r="BG470" t="s">
        <v>74</v>
      </c>
      <c r="BH470" t="s">
        <v>74</v>
      </c>
      <c r="BI470">
        <v>12</v>
      </c>
      <c r="BJ470" t="s">
        <v>462</v>
      </c>
      <c r="BK470" t="s">
        <v>294</v>
      </c>
      <c r="BL470" t="s">
        <v>463</v>
      </c>
      <c r="BM470" t="s">
        <v>9496</v>
      </c>
      <c r="BN470" t="s">
        <v>74</v>
      </c>
      <c r="BO470" t="s">
        <v>9511</v>
      </c>
      <c r="BP470" t="s">
        <v>74</v>
      </c>
      <c r="BQ470" t="s">
        <v>74</v>
      </c>
      <c r="BR470" t="s">
        <v>108</v>
      </c>
      <c r="BS470" t="s">
        <v>9512</v>
      </c>
      <c r="BT470" t="str">
        <f>HYPERLINK("https%3A%2F%2Fwww.webofscience.com%2Fwos%2Fwoscc%2Ffull-record%2FWOS:000505489200003","View Full Record in Web of Science")</f>
        <v>View Full Record in Web of Science</v>
      </c>
    </row>
    <row r="471" spans="1:72" x14ac:dyDescent="0.15">
      <c r="A471" t="s">
        <v>133</v>
      </c>
      <c r="B471" t="s">
        <v>9513</v>
      </c>
      <c r="C471" t="s">
        <v>74</v>
      </c>
      <c r="D471" t="s">
        <v>74</v>
      </c>
      <c r="E471" t="s">
        <v>74</v>
      </c>
      <c r="F471" t="s">
        <v>9514</v>
      </c>
      <c r="G471" t="s">
        <v>74</v>
      </c>
      <c r="H471" t="s">
        <v>74</v>
      </c>
      <c r="I471" t="s">
        <v>9515</v>
      </c>
      <c r="J471" t="s">
        <v>3420</v>
      </c>
      <c r="K471" t="s">
        <v>74</v>
      </c>
      <c r="L471" t="s">
        <v>74</v>
      </c>
      <c r="M471" t="s">
        <v>80</v>
      </c>
      <c r="N471" t="s">
        <v>138</v>
      </c>
      <c r="O471" t="s">
        <v>74</v>
      </c>
      <c r="P471" t="s">
        <v>74</v>
      </c>
      <c r="Q471" t="s">
        <v>74</v>
      </c>
      <c r="R471" t="s">
        <v>74</v>
      </c>
      <c r="S471" t="s">
        <v>74</v>
      </c>
      <c r="T471" t="s">
        <v>9516</v>
      </c>
      <c r="U471" t="s">
        <v>9517</v>
      </c>
      <c r="V471" t="s">
        <v>9518</v>
      </c>
      <c r="W471" t="s">
        <v>9519</v>
      </c>
      <c r="X471" t="s">
        <v>9520</v>
      </c>
      <c r="Y471" t="s">
        <v>9521</v>
      </c>
      <c r="Z471" t="s">
        <v>9522</v>
      </c>
      <c r="AA471" t="s">
        <v>9523</v>
      </c>
      <c r="AB471" t="s">
        <v>9524</v>
      </c>
      <c r="AC471" t="s">
        <v>9525</v>
      </c>
      <c r="AD471" t="s">
        <v>3715</v>
      </c>
      <c r="AE471" t="s">
        <v>9526</v>
      </c>
      <c r="AF471" t="s">
        <v>74</v>
      </c>
      <c r="AG471">
        <v>63</v>
      </c>
      <c r="AH471">
        <v>15</v>
      </c>
      <c r="AI471">
        <v>18</v>
      </c>
      <c r="AJ471">
        <v>2</v>
      </c>
      <c r="AK471">
        <v>10</v>
      </c>
      <c r="AL471" t="s">
        <v>683</v>
      </c>
      <c r="AM471" t="s">
        <v>684</v>
      </c>
      <c r="AN471" t="s">
        <v>685</v>
      </c>
      <c r="AO471" t="s">
        <v>74</v>
      </c>
      <c r="AP471" t="s">
        <v>3432</v>
      </c>
      <c r="AQ471" t="s">
        <v>74</v>
      </c>
      <c r="AR471" t="s">
        <v>3433</v>
      </c>
      <c r="AS471" t="s">
        <v>3434</v>
      </c>
      <c r="AT471" t="s">
        <v>3457</v>
      </c>
      <c r="AU471">
        <v>2019</v>
      </c>
      <c r="AV471">
        <v>11</v>
      </c>
      <c r="AW471">
        <v>21</v>
      </c>
      <c r="AX471" t="s">
        <v>74</v>
      </c>
      <c r="AY471" t="s">
        <v>74</v>
      </c>
      <c r="AZ471" t="s">
        <v>74</v>
      </c>
      <c r="BA471" t="s">
        <v>74</v>
      </c>
      <c r="BB471" t="s">
        <v>74</v>
      </c>
      <c r="BC471" t="s">
        <v>74</v>
      </c>
      <c r="BD471">
        <v>2481</v>
      </c>
      <c r="BE471" t="s">
        <v>9527</v>
      </c>
      <c r="BF471" t="str">
        <f>HYPERLINK("http://dx.doi.org/10.3390/rs11212481","http://dx.doi.org/10.3390/rs11212481")</f>
        <v>http://dx.doi.org/10.3390/rs11212481</v>
      </c>
      <c r="BG471" t="s">
        <v>74</v>
      </c>
      <c r="BH471" t="s">
        <v>74</v>
      </c>
      <c r="BI471">
        <v>31</v>
      </c>
      <c r="BJ471" t="s">
        <v>3436</v>
      </c>
      <c r="BK471" t="s">
        <v>294</v>
      </c>
      <c r="BL471" t="s">
        <v>3437</v>
      </c>
      <c r="BM471" t="s">
        <v>9528</v>
      </c>
      <c r="BN471" t="s">
        <v>74</v>
      </c>
      <c r="BO471" t="s">
        <v>107</v>
      </c>
      <c r="BP471" t="s">
        <v>74</v>
      </c>
      <c r="BQ471" t="s">
        <v>74</v>
      </c>
      <c r="BR471" t="s">
        <v>108</v>
      </c>
      <c r="BS471" t="s">
        <v>9529</v>
      </c>
      <c r="BT471" t="str">
        <f>HYPERLINK("https%3A%2F%2Fwww.webofscience.com%2Fwos%2Fwoscc%2Ffull-record%2FWOS:000504716700022","View Full Record in Web of Science")</f>
        <v>View Full Record in Web of Science</v>
      </c>
    </row>
    <row r="472" spans="1:72" x14ac:dyDescent="0.15">
      <c r="A472" t="s">
        <v>133</v>
      </c>
      <c r="B472" t="s">
        <v>9530</v>
      </c>
      <c r="C472" t="s">
        <v>74</v>
      </c>
      <c r="D472" t="s">
        <v>74</v>
      </c>
      <c r="E472" t="s">
        <v>74</v>
      </c>
      <c r="F472" t="s">
        <v>9531</v>
      </c>
      <c r="G472" t="s">
        <v>74</v>
      </c>
      <c r="H472" t="s">
        <v>74</v>
      </c>
      <c r="I472" t="s">
        <v>9532</v>
      </c>
      <c r="J472" t="s">
        <v>3420</v>
      </c>
      <c r="K472" t="s">
        <v>74</v>
      </c>
      <c r="L472" t="s">
        <v>74</v>
      </c>
      <c r="M472" t="s">
        <v>80</v>
      </c>
      <c r="N472" t="s">
        <v>138</v>
      </c>
      <c r="O472" t="s">
        <v>74</v>
      </c>
      <c r="P472" t="s">
        <v>74</v>
      </c>
      <c r="Q472" t="s">
        <v>74</v>
      </c>
      <c r="R472" t="s">
        <v>74</v>
      </c>
      <c r="S472" t="s">
        <v>74</v>
      </c>
      <c r="T472" t="s">
        <v>9533</v>
      </c>
      <c r="U472" t="s">
        <v>9534</v>
      </c>
      <c r="V472" t="s">
        <v>9535</v>
      </c>
      <c r="W472" t="s">
        <v>9536</v>
      </c>
      <c r="X472" t="s">
        <v>9537</v>
      </c>
      <c r="Y472" t="s">
        <v>9538</v>
      </c>
      <c r="Z472" t="s">
        <v>9539</v>
      </c>
      <c r="AA472" t="s">
        <v>74</v>
      </c>
      <c r="AB472" t="s">
        <v>9540</v>
      </c>
      <c r="AC472" t="s">
        <v>9541</v>
      </c>
      <c r="AD472" t="s">
        <v>9541</v>
      </c>
      <c r="AE472" t="s">
        <v>9542</v>
      </c>
      <c r="AF472" t="s">
        <v>74</v>
      </c>
      <c r="AG472">
        <v>31</v>
      </c>
      <c r="AH472">
        <v>12</v>
      </c>
      <c r="AI472">
        <v>12</v>
      </c>
      <c r="AJ472">
        <v>0</v>
      </c>
      <c r="AK472">
        <v>4</v>
      </c>
      <c r="AL472" t="s">
        <v>683</v>
      </c>
      <c r="AM472" t="s">
        <v>684</v>
      </c>
      <c r="AN472" t="s">
        <v>685</v>
      </c>
      <c r="AO472" t="s">
        <v>74</v>
      </c>
      <c r="AP472" t="s">
        <v>3432</v>
      </c>
      <c r="AQ472" t="s">
        <v>74</v>
      </c>
      <c r="AR472" t="s">
        <v>3433</v>
      </c>
      <c r="AS472" t="s">
        <v>3434</v>
      </c>
      <c r="AT472" t="s">
        <v>3457</v>
      </c>
      <c r="AU472">
        <v>2019</v>
      </c>
      <c r="AV472">
        <v>11</v>
      </c>
      <c r="AW472">
        <v>21</v>
      </c>
      <c r="AX472" t="s">
        <v>74</v>
      </c>
      <c r="AY472" t="s">
        <v>74</v>
      </c>
      <c r="AZ472" t="s">
        <v>74</v>
      </c>
      <c r="BA472" t="s">
        <v>74</v>
      </c>
      <c r="BB472" t="s">
        <v>74</v>
      </c>
      <c r="BC472" t="s">
        <v>74</v>
      </c>
      <c r="BD472">
        <v>2510</v>
      </c>
      <c r="BE472" t="s">
        <v>9543</v>
      </c>
      <c r="BF472" t="str">
        <f>HYPERLINK("http://dx.doi.org/10.3390/rs11212510","http://dx.doi.org/10.3390/rs11212510")</f>
        <v>http://dx.doi.org/10.3390/rs11212510</v>
      </c>
      <c r="BG472" t="s">
        <v>74</v>
      </c>
      <c r="BH472" t="s">
        <v>74</v>
      </c>
      <c r="BI472">
        <v>11</v>
      </c>
      <c r="BJ472" t="s">
        <v>3436</v>
      </c>
      <c r="BK472" t="s">
        <v>294</v>
      </c>
      <c r="BL472" t="s">
        <v>3437</v>
      </c>
      <c r="BM472" t="s">
        <v>9528</v>
      </c>
      <c r="BN472" t="s">
        <v>74</v>
      </c>
      <c r="BO472" t="s">
        <v>107</v>
      </c>
      <c r="BP472" t="s">
        <v>74</v>
      </c>
      <c r="BQ472" t="s">
        <v>74</v>
      </c>
      <c r="BR472" t="s">
        <v>108</v>
      </c>
      <c r="BS472" t="s">
        <v>9544</v>
      </c>
      <c r="BT472" t="str">
        <f>HYPERLINK("https%3A%2F%2Fwww.webofscience.com%2Fwos%2Fwoscc%2Ffull-record%2FWOS:000504716700051","View Full Record in Web of Science")</f>
        <v>View Full Record in Web of Science</v>
      </c>
    </row>
    <row r="473" spans="1:72" x14ac:dyDescent="0.15">
      <c r="A473" t="s">
        <v>133</v>
      </c>
      <c r="B473" t="s">
        <v>9545</v>
      </c>
      <c r="C473" t="s">
        <v>74</v>
      </c>
      <c r="D473" t="s">
        <v>74</v>
      </c>
      <c r="E473" t="s">
        <v>74</v>
      </c>
      <c r="F473" t="s">
        <v>9546</v>
      </c>
      <c r="G473" t="s">
        <v>74</v>
      </c>
      <c r="H473" t="s">
        <v>74</v>
      </c>
      <c r="I473" t="s">
        <v>9547</v>
      </c>
      <c r="J473" t="s">
        <v>3420</v>
      </c>
      <c r="K473" t="s">
        <v>74</v>
      </c>
      <c r="L473" t="s">
        <v>74</v>
      </c>
      <c r="M473" t="s">
        <v>80</v>
      </c>
      <c r="N473" t="s">
        <v>138</v>
      </c>
      <c r="O473" t="s">
        <v>74</v>
      </c>
      <c r="P473" t="s">
        <v>74</v>
      </c>
      <c r="Q473" t="s">
        <v>74</v>
      </c>
      <c r="R473" t="s">
        <v>74</v>
      </c>
      <c r="S473" t="s">
        <v>74</v>
      </c>
      <c r="T473" t="s">
        <v>9548</v>
      </c>
      <c r="U473" t="s">
        <v>9549</v>
      </c>
      <c r="V473" t="s">
        <v>9550</v>
      </c>
      <c r="W473" t="s">
        <v>9551</v>
      </c>
      <c r="X473" t="s">
        <v>9552</v>
      </c>
      <c r="Y473" t="s">
        <v>9553</v>
      </c>
      <c r="Z473" t="s">
        <v>9554</v>
      </c>
      <c r="AA473" t="s">
        <v>9555</v>
      </c>
      <c r="AB473" t="s">
        <v>9556</v>
      </c>
      <c r="AC473" t="s">
        <v>9557</v>
      </c>
      <c r="AD473" t="s">
        <v>9557</v>
      </c>
      <c r="AE473" t="s">
        <v>9558</v>
      </c>
      <c r="AF473" t="s">
        <v>74</v>
      </c>
      <c r="AG473">
        <v>44</v>
      </c>
      <c r="AH473">
        <v>79</v>
      </c>
      <c r="AI473">
        <v>84</v>
      </c>
      <c r="AJ473">
        <v>14</v>
      </c>
      <c r="AK473">
        <v>86</v>
      </c>
      <c r="AL473" t="s">
        <v>683</v>
      </c>
      <c r="AM473" t="s">
        <v>684</v>
      </c>
      <c r="AN473" t="s">
        <v>685</v>
      </c>
      <c r="AO473" t="s">
        <v>74</v>
      </c>
      <c r="AP473" t="s">
        <v>3432</v>
      </c>
      <c r="AQ473" t="s">
        <v>74</v>
      </c>
      <c r="AR473" t="s">
        <v>3433</v>
      </c>
      <c r="AS473" t="s">
        <v>3434</v>
      </c>
      <c r="AT473" t="s">
        <v>3457</v>
      </c>
      <c r="AU473">
        <v>2019</v>
      </c>
      <c r="AV473">
        <v>11</v>
      </c>
      <c r="AW473">
        <v>21</v>
      </c>
      <c r="AX473" t="s">
        <v>74</v>
      </c>
      <c r="AY473" t="s">
        <v>74</v>
      </c>
      <c r="AZ473" t="s">
        <v>74</v>
      </c>
      <c r="BA473" t="s">
        <v>74</v>
      </c>
      <c r="BB473" t="s">
        <v>74</v>
      </c>
      <c r="BC473" t="s">
        <v>74</v>
      </c>
      <c r="BD473">
        <v>2529</v>
      </c>
      <c r="BE473" t="s">
        <v>9559</v>
      </c>
      <c r="BF473" t="str">
        <f>HYPERLINK("http://dx.doi.org/10.3390/rs11212529","http://dx.doi.org/10.3390/rs11212529")</f>
        <v>http://dx.doi.org/10.3390/rs11212529</v>
      </c>
      <c r="BG473" t="s">
        <v>74</v>
      </c>
      <c r="BH473" t="s">
        <v>74</v>
      </c>
      <c r="BI473">
        <v>22</v>
      </c>
      <c r="BJ473" t="s">
        <v>3436</v>
      </c>
      <c r="BK473" t="s">
        <v>294</v>
      </c>
      <c r="BL473" t="s">
        <v>3437</v>
      </c>
      <c r="BM473" t="s">
        <v>9528</v>
      </c>
      <c r="BN473" t="s">
        <v>74</v>
      </c>
      <c r="BO473" t="s">
        <v>1791</v>
      </c>
      <c r="BP473" t="s">
        <v>74</v>
      </c>
      <c r="BQ473" t="s">
        <v>74</v>
      </c>
      <c r="BR473" t="s">
        <v>108</v>
      </c>
      <c r="BS473" t="s">
        <v>9560</v>
      </c>
      <c r="BT473" t="str">
        <f>HYPERLINK("https%3A%2F%2Fwww.webofscience.com%2Fwos%2Fwoscc%2Ffull-record%2FWOS:000504716700070","View Full Record in Web of Science")</f>
        <v>View Full Record in Web of Science</v>
      </c>
    </row>
    <row r="474" spans="1:72" x14ac:dyDescent="0.15">
      <c r="A474" t="s">
        <v>133</v>
      </c>
      <c r="B474" t="s">
        <v>9561</v>
      </c>
      <c r="C474" t="s">
        <v>74</v>
      </c>
      <c r="D474" t="s">
        <v>74</v>
      </c>
      <c r="E474" t="s">
        <v>74</v>
      </c>
      <c r="F474" t="s">
        <v>9562</v>
      </c>
      <c r="G474" t="s">
        <v>74</v>
      </c>
      <c r="H474" t="s">
        <v>74</v>
      </c>
      <c r="I474" t="s">
        <v>9563</v>
      </c>
      <c r="J474" t="s">
        <v>9564</v>
      </c>
      <c r="K474" t="s">
        <v>74</v>
      </c>
      <c r="L474" t="s">
        <v>74</v>
      </c>
      <c r="M474" t="s">
        <v>80</v>
      </c>
      <c r="N474" t="s">
        <v>138</v>
      </c>
      <c r="O474" t="s">
        <v>74</v>
      </c>
      <c r="P474" t="s">
        <v>74</v>
      </c>
      <c r="Q474" t="s">
        <v>74</v>
      </c>
      <c r="R474" t="s">
        <v>74</v>
      </c>
      <c r="S474" t="s">
        <v>74</v>
      </c>
      <c r="T474" t="s">
        <v>9565</v>
      </c>
      <c r="U474" t="s">
        <v>9566</v>
      </c>
      <c r="V474" t="s">
        <v>9567</v>
      </c>
      <c r="W474" t="s">
        <v>9568</v>
      </c>
      <c r="X474" t="s">
        <v>9569</v>
      </c>
      <c r="Y474" t="s">
        <v>9570</v>
      </c>
      <c r="Z474" t="s">
        <v>9571</v>
      </c>
      <c r="AA474" t="s">
        <v>74</v>
      </c>
      <c r="AB474" t="s">
        <v>74</v>
      </c>
      <c r="AC474" t="s">
        <v>9572</v>
      </c>
      <c r="AD474" t="s">
        <v>9573</v>
      </c>
      <c r="AE474" t="s">
        <v>9574</v>
      </c>
      <c r="AF474" t="s">
        <v>74</v>
      </c>
      <c r="AG474">
        <v>41</v>
      </c>
      <c r="AH474">
        <v>14</v>
      </c>
      <c r="AI474">
        <v>14</v>
      </c>
      <c r="AJ474">
        <v>12</v>
      </c>
      <c r="AK474">
        <v>72</v>
      </c>
      <c r="AL474" t="s">
        <v>1729</v>
      </c>
      <c r="AM474" t="s">
        <v>1730</v>
      </c>
      <c r="AN474" t="s">
        <v>1731</v>
      </c>
      <c r="AO474" t="s">
        <v>9575</v>
      </c>
      <c r="AP474" t="s">
        <v>74</v>
      </c>
      <c r="AQ474" t="s">
        <v>74</v>
      </c>
      <c r="AR474" t="s">
        <v>9576</v>
      </c>
      <c r="AS474" t="s">
        <v>9577</v>
      </c>
      <c r="AT474" t="s">
        <v>3457</v>
      </c>
      <c r="AU474">
        <v>2019</v>
      </c>
      <c r="AV474">
        <v>6</v>
      </c>
      <c r="AW474">
        <v>11</v>
      </c>
      <c r="AX474" t="s">
        <v>74</v>
      </c>
      <c r="AY474" t="s">
        <v>74</v>
      </c>
      <c r="AZ474" t="s">
        <v>74</v>
      </c>
      <c r="BA474" t="s">
        <v>74</v>
      </c>
      <c r="BB474" t="s">
        <v>74</v>
      </c>
      <c r="BC474" t="s">
        <v>74</v>
      </c>
      <c r="BD474">
        <v>190967</v>
      </c>
      <c r="BE474" t="s">
        <v>9578</v>
      </c>
      <c r="BF474" t="str">
        <f>HYPERLINK("http://dx.doi.org/10.1098/rsos.190967","http://dx.doi.org/10.1098/rsos.190967")</f>
        <v>http://dx.doi.org/10.1098/rsos.190967</v>
      </c>
      <c r="BG474" t="s">
        <v>74</v>
      </c>
      <c r="BH474" t="s">
        <v>74</v>
      </c>
      <c r="BI474">
        <v>12</v>
      </c>
      <c r="BJ474" t="s">
        <v>1245</v>
      </c>
      <c r="BK474" t="s">
        <v>294</v>
      </c>
      <c r="BL474" t="s">
        <v>1246</v>
      </c>
      <c r="BM474" t="s">
        <v>9579</v>
      </c>
      <c r="BN474">
        <v>31827838</v>
      </c>
      <c r="BO474" t="s">
        <v>693</v>
      </c>
      <c r="BP474" t="s">
        <v>74</v>
      </c>
      <c r="BQ474" t="s">
        <v>74</v>
      </c>
      <c r="BR474" t="s">
        <v>108</v>
      </c>
      <c r="BS474" t="s">
        <v>9580</v>
      </c>
      <c r="BT474" t="str">
        <f>HYPERLINK("https%3A%2F%2Fwww.webofscience.com%2Fwos%2Fwoscc%2Ffull-record%2FWOS:000504006900027","View Full Record in Web of Science")</f>
        <v>View Full Record in Web of Science</v>
      </c>
    </row>
    <row r="475" spans="1:72" x14ac:dyDescent="0.15">
      <c r="A475" t="s">
        <v>133</v>
      </c>
      <c r="B475" t="s">
        <v>9581</v>
      </c>
      <c r="C475" t="s">
        <v>74</v>
      </c>
      <c r="D475" t="s">
        <v>74</v>
      </c>
      <c r="E475" t="s">
        <v>74</v>
      </c>
      <c r="F475" t="s">
        <v>9582</v>
      </c>
      <c r="G475" t="s">
        <v>74</v>
      </c>
      <c r="H475" t="s">
        <v>74</v>
      </c>
      <c r="I475" t="s">
        <v>9583</v>
      </c>
      <c r="J475" t="s">
        <v>9564</v>
      </c>
      <c r="K475" t="s">
        <v>74</v>
      </c>
      <c r="L475" t="s">
        <v>74</v>
      </c>
      <c r="M475" t="s">
        <v>80</v>
      </c>
      <c r="N475" t="s">
        <v>138</v>
      </c>
      <c r="O475" t="s">
        <v>74</v>
      </c>
      <c r="P475" t="s">
        <v>74</v>
      </c>
      <c r="Q475" t="s">
        <v>74</v>
      </c>
      <c r="R475" t="s">
        <v>74</v>
      </c>
      <c r="S475" t="s">
        <v>74</v>
      </c>
      <c r="T475" t="s">
        <v>9584</v>
      </c>
      <c r="U475" t="s">
        <v>9585</v>
      </c>
      <c r="V475" t="s">
        <v>9586</v>
      </c>
      <c r="W475" t="s">
        <v>9587</v>
      </c>
      <c r="X475" t="s">
        <v>9588</v>
      </c>
      <c r="Y475" t="s">
        <v>9589</v>
      </c>
      <c r="Z475" t="s">
        <v>8156</v>
      </c>
      <c r="AA475" t="s">
        <v>9590</v>
      </c>
      <c r="AB475" t="s">
        <v>9591</v>
      </c>
      <c r="AC475" t="s">
        <v>9592</v>
      </c>
      <c r="AD475" t="s">
        <v>9593</v>
      </c>
      <c r="AE475" t="s">
        <v>9594</v>
      </c>
      <c r="AF475" t="s">
        <v>74</v>
      </c>
      <c r="AG475">
        <v>132</v>
      </c>
      <c r="AH475">
        <v>13</v>
      </c>
      <c r="AI475">
        <v>13</v>
      </c>
      <c r="AJ475">
        <v>4</v>
      </c>
      <c r="AK475">
        <v>10</v>
      </c>
      <c r="AL475" t="s">
        <v>1729</v>
      </c>
      <c r="AM475" t="s">
        <v>1730</v>
      </c>
      <c r="AN475" t="s">
        <v>1731</v>
      </c>
      <c r="AO475" t="s">
        <v>9575</v>
      </c>
      <c r="AP475" t="s">
        <v>74</v>
      </c>
      <c r="AQ475" t="s">
        <v>74</v>
      </c>
      <c r="AR475" t="s">
        <v>9576</v>
      </c>
      <c r="AS475" t="s">
        <v>9577</v>
      </c>
      <c r="AT475" t="s">
        <v>3457</v>
      </c>
      <c r="AU475">
        <v>2019</v>
      </c>
      <c r="AV475">
        <v>6</v>
      </c>
      <c r="AW475">
        <v>11</v>
      </c>
      <c r="AX475" t="s">
        <v>74</v>
      </c>
      <c r="AY475" t="s">
        <v>74</v>
      </c>
      <c r="AZ475" t="s">
        <v>74</v>
      </c>
      <c r="BA475" t="s">
        <v>74</v>
      </c>
      <c r="BB475" t="s">
        <v>74</v>
      </c>
      <c r="BC475" t="s">
        <v>74</v>
      </c>
      <c r="BD475">
        <v>191501</v>
      </c>
      <c r="BE475" t="s">
        <v>9595</v>
      </c>
      <c r="BF475" t="str">
        <f>HYPERLINK("http://dx.doi.org/10.1098/rsos.191501","http://dx.doi.org/10.1098/rsos.191501")</f>
        <v>http://dx.doi.org/10.1098/rsos.191501</v>
      </c>
      <c r="BG475" t="s">
        <v>74</v>
      </c>
      <c r="BH475" t="s">
        <v>74</v>
      </c>
      <c r="BI475">
        <v>26</v>
      </c>
      <c r="BJ475" t="s">
        <v>1245</v>
      </c>
      <c r="BK475" t="s">
        <v>294</v>
      </c>
      <c r="BL475" t="s">
        <v>1246</v>
      </c>
      <c r="BM475" t="s">
        <v>9579</v>
      </c>
      <c r="BN475">
        <v>31827872</v>
      </c>
      <c r="BO475" t="s">
        <v>1791</v>
      </c>
      <c r="BP475" t="s">
        <v>74</v>
      </c>
      <c r="BQ475" t="s">
        <v>74</v>
      </c>
      <c r="BR475" t="s">
        <v>108</v>
      </c>
      <c r="BS475" t="s">
        <v>9596</v>
      </c>
      <c r="BT475" t="str">
        <f>HYPERLINK("https%3A%2F%2Fwww.webofscience.com%2Fwos%2Fwoscc%2Ffull-record%2FWOS:000504006900061","View Full Record in Web of Science")</f>
        <v>View Full Record in Web of Science</v>
      </c>
    </row>
    <row r="476" spans="1:72" x14ac:dyDescent="0.15">
      <c r="A476" t="s">
        <v>133</v>
      </c>
      <c r="B476" t="s">
        <v>9597</v>
      </c>
      <c r="C476" t="s">
        <v>74</v>
      </c>
      <c r="D476" t="s">
        <v>74</v>
      </c>
      <c r="E476" t="s">
        <v>74</v>
      </c>
      <c r="F476" t="s">
        <v>9598</v>
      </c>
      <c r="G476" t="s">
        <v>74</v>
      </c>
      <c r="H476" t="s">
        <v>74</v>
      </c>
      <c r="I476" t="s">
        <v>9599</v>
      </c>
      <c r="J476" t="s">
        <v>9600</v>
      </c>
      <c r="K476" t="s">
        <v>74</v>
      </c>
      <c r="L476" t="s">
        <v>74</v>
      </c>
      <c r="M476" t="s">
        <v>80</v>
      </c>
      <c r="N476" t="s">
        <v>138</v>
      </c>
      <c r="O476" t="s">
        <v>74</v>
      </c>
      <c r="P476" t="s">
        <v>74</v>
      </c>
      <c r="Q476" t="s">
        <v>74</v>
      </c>
      <c r="R476" t="s">
        <v>74</v>
      </c>
      <c r="S476" t="s">
        <v>74</v>
      </c>
      <c r="T476" t="s">
        <v>9601</v>
      </c>
      <c r="U476" t="s">
        <v>9602</v>
      </c>
      <c r="V476" t="s">
        <v>9603</v>
      </c>
      <c r="W476" t="s">
        <v>9604</v>
      </c>
      <c r="X476" t="s">
        <v>9605</v>
      </c>
      <c r="Y476" t="s">
        <v>9606</v>
      </c>
      <c r="Z476" t="s">
        <v>8417</v>
      </c>
      <c r="AA476" t="s">
        <v>74</v>
      </c>
      <c r="AB476" t="s">
        <v>74</v>
      </c>
      <c r="AC476" t="s">
        <v>9607</v>
      </c>
      <c r="AD476" t="s">
        <v>9607</v>
      </c>
      <c r="AE476" t="s">
        <v>9608</v>
      </c>
      <c r="AF476" t="s">
        <v>74</v>
      </c>
      <c r="AG476">
        <v>32</v>
      </c>
      <c r="AH476">
        <v>4</v>
      </c>
      <c r="AI476">
        <v>4</v>
      </c>
      <c r="AJ476">
        <v>0</v>
      </c>
      <c r="AK476">
        <v>0</v>
      </c>
      <c r="AL476" t="s">
        <v>9609</v>
      </c>
      <c r="AM476" t="s">
        <v>9610</v>
      </c>
      <c r="AN476" t="s">
        <v>9611</v>
      </c>
      <c r="AO476" t="s">
        <v>9612</v>
      </c>
      <c r="AP476" t="s">
        <v>9613</v>
      </c>
      <c r="AQ476" t="s">
        <v>74</v>
      </c>
      <c r="AR476" t="s">
        <v>9614</v>
      </c>
      <c r="AS476" t="s">
        <v>9615</v>
      </c>
      <c r="AT476" t="s">
        <v>3457</v>
      </c>
      <c r="AU476">
        <v>2019</v>
      </c>
      <c r="AV476">
        <v>152</v>
      </c>
      <c r="AW476">
        <v>3</v>
      </c>
      <c r="AX476" t="s">
        <v>74</v>
      </c>
      <c r="AY476" t="s">
        <v>74</v>
      </c>
      <c r="AZ476" t="s">
        <v>74</v>
      </c>
      <c r="BA476" t="s">
        <v>74</v>
      </c>
      <c r="BB476">
        <v>539</v>
      </c>
      <c r="BC476">
        <v>545</v>
      </c>
      <c r="BD476" t="s">
        <v>74</v>
      </c>
      <c r="BE476" t="s">
        <v>9616</v>
      </c>
      <c r="BF476" t="str">
        <f>HYPERLINK("http://dx.doi.org/10.5091/plecevo.2019.1600","http://dx.doi.org/10.5091/plecevo.2019.1600")</f>
        <v>http://dx.doi.org/10.5091/plecevo.2019.1600</v>
      </c>
      <c r="BG476" t="s">
        <v>74</v>
      </c>
      <c r="BH476" t="s">
        <v>74</v>
      </c>
      <c r="BI476">
        <v>7</v>
      </c>
      <c r="BJ476" t="s">
        <v>6734</v>
      </c>
      <c r="BK476" t="s">
        <v>294</v>
      </c>
      <c r="BL476" t="s">
        <v>6734</v>
      </c>
      <c r="BM476" t="s">
        <v>9617</v>
      </c>
      <c r="BN476" t="s">
        <v>74</v>
      </c>
      <c r="BO476" t="s">
        <v>693</v>
      </c>
      <c r="BP476" t="s">
        <v>74</v>
      </c>
      <c r="BQ476" t="s">
        <v>74</v>
      </c>
      <c r="BR476" t="s">
        <v>108</v>
      </c>
      <c r="BS476" t="s">
        <v>9618</v>
      </c>
      <c r="BT476" t="str">
        <f>HYPERLINK("https%3A%2F%2Fwww.webofscience.com%2Fwos%2Fwoscc%2Ffull-record%2FWOS:000503982300011","View Full Record in Web of Science")</f>
        <v>View Full Record in Web of Science</v>
      </c>
    </row>
    <row r="477" spans="1:72" x14ac:dyDescent="0.15">
      <c r="A477" t="s">
        <v>133</v>
      </c>
      <c r="B477" t="s">
        <v>9619</v>
      </c>
      <c r="C477" t="s">
        <v>74</v>
      </c>
      <c r="D477" t="s">
        <v>74</v>
      </c>
      <c r="E477" t="s">
        <v>74</v>
      </c>
      <c r="F477" t="s">
        <v>9620</v>
      </c>
      <c r="G477" t="s">
        <v>74</v>
      </c>
      <c r="H477" t="s">
        <v>74</v>
      </c>
      <c r="I477" t="s">
        <v>9621</v>
      </c>
      <c r="J477" t="s">
        <v>3755</v>
      </c>
      <c r="K477" t="s">
        <v>74</v>
      </c>
      <c r="L477" t="s">
        <v>74</v>
      </c>
      <c r="M477" t="s">
        <v>80</v>
      </c>
      <c r="N477" t="s">
        <v>138</v>
      </c>
      <c r="O477" t="s">
        <v>74</v>
      </c>
      <c r="P477" t="s">
        <v>74</v>
      </c>
      <c r="Q477" t="s">
        <v>74</v>
      </c>
      <c r="R477" t="s">
        <v>74</v>
      </c>
      <c r="S477" t="s">
        <v>74</v>
      </c>
      <c r="T477" t="s">
        <v>9622</v>
      </c>
      <c r="U477" t="s">
        <v>9623</v>
      </c>
      <c r="V477" t="s">
        <v>9624</v>
      </c>
      <c r="W477" t="s">
        <v>9625</v>
      </c>
      <c r="X477" t="s">
        <v>9626</v>
      </c>
      <c r="Y477" t="s">
        <v>9627</v>
      </c>
      <c r="Z477" t="s">
        <v>9628</v>
      </c>
      <c r="AA477" t="s">
        <v>9629</v>
      </c>
      <c r="AB477" t="s">
        <v>9630</v>
      </c>
      <c r="AC477" t="s">
        <v>9631</v>
      </c>
      <c r="AD477" t="s">
        <v>9632</v>
      </c>
      <c r="AE477" t="s">
        <v>9633</v>
      </c>
      <c r="AF477" t="s">
        <v>74</v>
      </c>
      <c r="AG477">
        <v>31</v>
      </c>
      <c r="AH477">
        <v>33</v>
      </c>
      <c r="AI477">
        <v>33</v>
      </c>
      <c r="AJ477">
        <v>1</v>
      </c>
      <c r="AK477">
        <v>23</v>
      </c>
      <c r="AL477" t="s">
        <v>96</v>
      </c>
      <c r="AM477" t="s">
        <v>97</v>
      </c>
      <c r="AN477" t="s">
        <v>3769</v>
      </c>
      <c r="AO477" t="s">
        <v>3770</v>
      </c>
      <c r="AP477" t="s">
        <v>74</v>
      </c>
      <c r="AQ477" t="s">
        <v>74</v>
      </c>
      <c r="AR477" t="s">
        <v>3771</v>
      </c>
      <c r="AS477" t="s">
        <v>3772</v>
      </c>
      <c r="AT477" t="s">
        <v>3457</v>
      </c>
      <c r="AU477">
        <v>2019</v>
      </c>
      <c r="AV477">
        <v>14</v>
      </c>
      <c r="AW477">
        <v>11</v>
      </c>
      <c r="AX477" t="s">
        <v>74</v>
      </c>
      <c r="AY477" t="s">
        <v>74</v>
      </c>
      <c r="AZ477" t="s">
        <v>74</v>
      </c>
      <c r="BA477" t="s">
        <v>74</v>
      </c>
      <c r="BB477" t="s">
        <v>74</v>
      </c>
      <c r="BC477" t="s">
        <v>74</v>
      </c>
      <c r="BD477">
        <v>115004</v>
      </c>
      <c r="BE477" t="s">
        <v>9634</v>
      </c>
      <c r="BF477" t="str">
        <f>HYPERLINK("http://dx.doi.org/10.1088/1748-9326/ab4034","http://dx.doi.org/10.1088/1748-9326/ab4034")</f>
        <v>http://dx.doi.org/10.1088/1748-9326/ab4034</v>
      </c>
      <c r="BG477" t="s">
        <v>74</v>
      </c>
      <c r="BH477" t="s">
        <v>74</v>
      </c>
      <c r="BI477">
        <v>11</v>
      </c>
      <c r="BJ477" t="s">
        <v>103</v>
      </c>
      <c r="BK477" t="s">
        <v>294</v>
      </c>
      <c r="BL477" t="s">
        <v>105</v>
      </c>
      <c r="BM477" t="s">
        <v>9635</v>
      </c>
      <c r="BN477">
        <v>33343688</v>
      </c>
      <c r="BO477" t="s">
        <v>2934</v>
      </c>
      <c r="BP477" t="s">
        <v>74</v>
      </c>
      <c r="BQ477" t="s">
        <v>74</v>
      </c>
      <c r="BR477" t="s">
        <v>108</v>
      </c>
      <c r="BS477" t="s">
        <v>9636</v>
      </c>
      <c r="BT477" t="str">
        <f>HYPERLINK("https%3A%2F%2Fwww.webofscience.com%2Fwos%2Fwoscc%2Ffull-record%2FWOS:000503843800001","View Full Record in Web of Science")</f>
        <v>View Full Record in Web of Science</v>
      </c>
    </row>
    <row r="478" spans="1:72" x14ac:dyDescent="0.15">
      <c r="A478" t="s">
        <v>133</v>
      </c>
      <c r="B478" t="s">
        <v>9637</v>
      </c>
      <c r="C478" t="s">
        <v>74</v>
      </c>
      <c r="D478" t="s">
        <v>74</v>
      </c>
      <c r="E478" t="s">
        <v>74</v>
      </c>
      <c r="F478" t="s">
        <v>9638</v>
      </c>
      <c r="G478" t="s">
        <v>74</v>
      </c>
      <c r="H478" t="s">
        <v>74</v>
      </c>
      <c r="I478" t="s">
        <v>9639</v>
      </c>
      <c r="J478" t="s">
        <v>4064</v>
      </c>
      <c r="K478" t="s">
        <v>74</v>
      </c>
      <c r="L478" t="s">
        <v>74</v>
      </c>
      <c r="M478" t="s">
        <v>80</v>
      </c>
      <c r="N478" t="s">
        <v>138</v>
      </c>
      <c r="O478" t="s">
        <v>74</v>
      </c>
      <c r="P478" t="s">
        <v>74</v>
      </c>
      <c r="Q478" t="s">
        <v>74</v>
      </c>
      <c r="R478" t="s">
        <v>74</v>
      </c>
      <c r="S478" t="s">
        <v>74</v>
      </c>
      <c r="T478" t="s">
        <v>9640</v>
      </c>
      <c r="U478" t="s">
        <v>9641</v>
      </c>
      <c r="V478" t="s">
        <v>9642</v>
      </c>
      <c r="W478" t="s">
        <v>9643</v>
      </c>
      <c r="X478" t="s">
        <v>9644</v>
      </c>
      <c r="Y478" t="s">
        <v>9645</v>
      </c>
      <c r="Z478" t="s">
        <v>9646</v>
      </c>
      <c r="AA478" t="s">
        <v>9647</v>
      </c>
      <c r="AB478" t="s">
        <v>9648</v>
      </c>
      <c r="AC478" t="s">
        <v>9649</v>
      </c>
      <c r="AD478" t="s">
        <v>9650</v>
      </c>
      <c r="AE478" t="s">
        <v>9651</v>
      </c>
      <c r="AF478" t="s">
        <v>74</v>
      </c>
      <c r="AG478">
        <v>54</v>
      </c>
      <c r="AH478">
        <v>1</v>
      </c>
      <c r="AI478">
        <v>1</v>
      </c>
      <c r="AJ478">
        <v>1</v>
      </c>
      <c r="AK478">
        <v>6</v>
      </c>
      <c r="AL478" t="s">
        <v>683</v>
      </c>
      <c r="AM478" t="s">
        <v>684</v>
      </c>
      <c r="AN478" t="s">
        <v>685</v>
      </c>
      <c r="AO478" t="s">
        <v>74</v>
      </c>
      <c r="AP478" t="s">
        <v>4077</v>
      </c>
      <c r="AQ478" t="s">
        <v>74</v>
      </c>
      <c r="AR478" t="s">
        <v>4078</v>
      </c>
      <c r="AS478" t="s">
        <v>4079</v>
      </c>
      <c r="AT478" t="s">
        <v>3457</v>
      </c>
      <c r="AU478">
        <v>2019</v>
      </c>
      <c r="AV478">
        <v>10</v>
      </c>
      <c r="AW478">
        <v>11</v>
      </c>
      <c r="AX478" t="s">
        <v>74</v>
      </c>
      <c r="AY478" t="s">
        <v>74</v>
      </c>
      <c r="AZ478" t="s">
        <v>74</v>
      </c>
      <c r="BA478" t="s">
        <v>74</v>
      </c>
      <c r="BB478" t="s">
        <v>74</v>
      </c>
      <c r="BC478" t="s">
        <v>74</v>
      </c>
      <c r="BD478">
        <v>721</v>
      </c>
      <c r="BE478" t="s">
        <v>9652</v>
      </c>
      <c r="BF478" t="str">
        <f>HYPERLINK("http://dx.doi.org/10.3390/atmos10110721","http://dx.doi.org/10.3390/atmos10110721")</f>
        <v>http://dx.doi.org/10.3390/atmos10110721</v>
      </c>
      <c r="BG478" t="s">
        <v>74</v>
      </c>
      <c r="BH478" t="s">
        <v>74</v>
      </c>
      <c r="BI478">
        <v>26</v>
      </c>
      <c r="BJ478" t="s">
        <v>103</v>
      </c>
      <c r="BK478" t="s">
        <v>294</v>
      </c>
      <c r="BL478" t="s">
        <v>105</v>
      </c>
      <c r="BM478" t="s">
        <v>9653</v>
      </c>
      <c r="BN478" t="s">
        <v>74</v>
      </c>
      <c r="BO478" t="s">
        <v>107</v>
      </c>
      <c r="BP478" t="s">
        <v>74</v>
      </c>
      <c r="BQ478" t="s">
        <v>74</v>
      </c>
      <c r="BR478" t="s">
        <v>108</v>
      </c>
      <c r="BS478" t="s">
        <v>9654</v>
      </c>
      <c r="BT478" t="str">
        <f>HYPERLINK("https%3A%2F%2Fwww.webofscience.com%2Fwos%2Fwoscc%2Ffull-record%2FWOS:000502272000083","View Full Record in Web of Science")</f>
        <v>View Full Record in Web of Science</v>
      </c>
    </row>
    <row r="479" spans="1:72" x14ac:dyDescent="0.15">
      <c r="A479" t="s">
        <v>133</v>
      </c>
      <c r="B479" t="s">
        <v>9655</v>
      </c>
      <c r="C479" t="s">
        <v>74</v>
      </c>
      <c r="D479" t="s">
        <v>74</v>
      </c>
      <c r="E479" t="s">
        <v>74</v>
      </c>
      <c r="F479" t="s">
        <v>9656</v>
      </c>
      <c r="G479" t="s">
        <v>74</v>
      </c>
      <c r="H479" t="s">
        <v>74</v>
      </c>
      <c r="I479" t="s">
        <v>9657</v>
      </c>
      <c r="J479" t="s">
        <v>5664</v>
      </c>
      <c r="K479" t="s">
        <v>74</v>
      </c>
      <c r="L479" t="s">
        <v>74</v>
      </c>
      <c r="M479" t="s">
        <v>80</v>
      </c>
      <c r="N479" t="s">
        <v>138</v>
      </c>
      <c r="O479" t="s">
        <v>74</v>
      </c>
      <c r="P479" t="s">
        <v>74</v>
      </c>
      <c r="Q479" t="s">
        <v>74</v>
      </c>
      <c r="R479" t="s">
        <v>74</v>
      </c>
      <c r="S479" t="s">
        <v>74</v>
      </c>
      <c r="T479" t="s">
        <v>74</v>
      </c>
      <c r="U479" t="s">
        <v>9658</v>
      </c>
      <c r="V479" t="s">
        <v>9659</v>
      </c>
      <c r="W479" t="s">
        <v>9660</v>
      </c>
      <c r="X479" t="s">
        <v>9661</v>
      </c>
      <c r="Y479" t="s">
        <v>9662</v>
      </c>
      <c r="Z479" t="s">
        <v>9663</v>
      </c>
      <c r="AA479" t="s">
        <v>9664</v>
      </c>
      <c r="AB479" t="s">
        <v>9665</v>
      </c>
      <c r="AC479" t="s">
        <v>9666</v>
      </c>
      <c r="AD479" t="s">
        <v>9667</v>
      </c>
      <c r="AE479" t="s">
        <v>9668</v>
      </c>
      <c r="AF479" t="s">
        <v>74</v>
      </c>
      <c r="AG479">
        <v>110</v>
      </c>
      <c r="AH479">
        <v>69</v>
      </c>
      <c r="AI479">
        <v>73</v>
      </c>
      <c r="AJ479">
        <v>4</v>
      </c>
      <c r="AK479">
        <v>37</v>
      </c>
      <c r="AL479" t="s">
        <v>1016</v>
      </c>
      <c r="AM479" t="s">
        <v>1017</v>
      </c>
      <c r="AN479" t="s">
        <v>4703</v>
      </c>
      <c r="AO479" t="s">
        <v>5676</v>
      </c>
      <c r="AP479" t="s">
        <v>5677</v>
      </c>
      <c r="AQ479" t="s">
        <v>74</v>
      </c>
      <c r="AR479" t="s">
        <v>5678</v>
      </c>
      <c r="AS479" t="s">
        <v>5679</v>
      </c>
      <c r="AT479" t="s">
        <v>3457</v>
      </c>
      <c r="AU479">
        <v>2019</v>
      </c>
      <c r="AV479">
        <v>100</v>
      </c>
      <c r="AW479">
        <v>11</v>
      </c>
      <c r="AX479" t="s">
        <v>74</v>
      </c>
      <c r="AY479" t="s">
        <v>74</v>
      </c>
      <c r="AZ479" t="s">
        <v>74</v>
      </c>
      <c r="BA479" t="s">
        <v>74</v>
      </c>
      <c r="BB479">
        <v>2260</v>
      </c>
      <c r="BC479">
        <v>2283</v>
      </c>
      <c r="BD479" t="s">
        <v>74</v>
      </c>
      <c r="BE479" t="s">
        <v>9669</v>
      </c>
      <c r="BF479" t="str">
        <f>HYPERLINK("http://dx.doi.org/10.1175/BAMS-D-18-0187.1","http://dx.doi.org/10.1175/BAMS-D-18-0187.1")</f>
        <v>http://dx.doi.org/10.1175/BAMS-D-18-0187.1</v>
      </c>
      <c r="BG479" t="s">
        <v>74</v>
      </c>
      <c r="BH479" t="s">
        <v>74</v>
      </c>
      <c r="BI479">
        <v>24</v>
      </c>
      <c r="BJ479" t="s">
        <v>1024</v>
      </c>
      <c r="BK479" t="s">
        <v>294</v>
      </c>
      <c r="BL479" t="s">
        <v>1024</v>
      </c>
      <c r="BM479" t="s">
        <v>9670</v>
      </c>
      <c r="BN479" t="s">
        <v>74</v>
      </c>
      <c r="BO479" t="s">
        <v>2385</v>
      </c>
      <c r="BP479" t="s">
        <v>74</v>
      </c>
      <c r="BQ479" t="s">
        <v>74</v>
      </c>
      <c r="BR479" t="s">
        <v>108</v>
      </c>
      <c r="BS479" t="s">
        <v>9671</v>
      </c>
      <c r="BT479" t="str">
        <f>HYPERLINK("https%3A%2F%2Fwww.webofscience.com%2Fwos%2Fwoscc%2Ffull-record%2FWOS:000501823300009","View Full Record in Web of Science")</f>
        <v>View Full Record in Web of Science</v>
      </c>
    </row>
    <row r="480" spans="1:72" x14ac:dyDescent="0.15">
      <c r="A480" t="s">
        <v>133</v>
      </c>
      <c r="B480" t="s">
        <v>9672</v>
      </c>
      <c r="C480" t="s">
        <v>74</v>
      </c>
      <c r="D480" t="s">
        <v>74</v>
      </c>
      <c r="E480" t="s">
        <v>74</v>
      </c>
      <c r="F480" t="s">
        <v>9673</v>
      </c>
      <c r="G480" t="s">
        <v>74</v>
      </c>
      <c r="H480" t="s">
        <v>74</v>
      </c>
      <c r="I480" t="s">
        <v>9674</v>
      </c>
      <c r="J480" t="s">
        <v>9675</v>
      </c>
      <c r="K480" t="s">
        <v>74</v>
      </c>
      <c r="L480" t="s">
        <v>74</v>
      </c>
      <c r="M480" t="s">
        <v>80</v>
      </c>
      <c r="N480" t="s">
        <v>138</v>
      </c>
      <c r="O480" t="s">
        <v>74</v>
      </c>
      <c r="P480" t="s">
        <v>74</v>
      </c>
      <c r="Q480" t="s">
        <v>74</v>
      </c>
      <c r="R480" t="s">
        <v>74</v>
      </c>
      <c r="S480" t="s">
        <v>74</v>
      </c>
      <c r="T480" t="s">
        <v>9676</v>
      </c>
      <c r="U480" t="s">
        <v>9677</v>
      </c>
      <c r="V480" t="s">
        <v>9678</v>
      </c>
      <c r="W480" t="s">
        <v>9679</v>
      </c>
      <c r="X480" t="s">
        <v>9680</v>
      </c>
      <c r="Y480" t="s">
        <v>9681</v>
      </c>
      <c r="Z480" t="s">
        <v>9682</v>
      </c>
      <c r="AA480" t="s">
        <v>9683</v>
      </c>
      <c r="AB480" t="s">
        <v>9684</v>
      </c>
      <c r="AC480" t="s">
        <v>9685</v>
      </c>
      <c r="AD480" t="s">
        <v>9686</v>
      </c>
      <c r="AE480" t="s">
        <v>9687</v>
      </c>
      <c r="AF480" t="s">
        <v>74</v>
      </c>
      <c r="AG480">
        <v>71</v>
      </c>
      <c r="AH480">
        <v>7</v>
      </c>
      <c r="AI480">
        <v>7</v>
      </c>
      <c r="AJ480">
        <v>1</v>
      </c>
      <c r="AK480">
        <v>8</v>
      </c>
      <c r="AL480" t="s">
        <v>683</v>
      </c>
      <c r="AM480" t="s">
        <v>684</v>
      </c>
      <c r="AN480" t="s">
        <v>685</v>
      </c>
      <c r="AO480" t="s">
        <v>74</v>
      </c>
      <c r="AP480" t="s">
        <v>9688</v>
      </c>
      <c r="AQ480" t="s">
        <v>74</v>
      </c>
      <c r="AR480" t="s">
        <v>9675</v>
      </c>
      <c r="AS480" t="s">
        <v>9689</v>
      </c>
      <c r="AT480" t="s">
        <v>3457</v>
      </c>
      <c r="AU480">
        <v>2019</v>
      </c>
      <c r="AV480">
        <v>10</v>
      </c>
      <c r="AW480">
        <v>11</v>
      </c>
      <c r="AX480" t="s">
        <v>74</v>
      </c>
      <c r="AY480" t="s">
        <v>74</v>
      </c>
      <c r="AZ480" t="s">
        <v>74</v>
      </c>
      <c r="BA480" t="s">
        <v>74</v>
      </c>
      <c r="BB480" t="s">
        <v>74</v>
      </c>
      <c r="BC480" t="s">
        <v>74</v>
      </c>
      <c r="BD480">
        <v>998</v>
      </c>
      <c r="BE480" t="s">
        <v>9690</v>
      </c>
      <c r="BF480" t="str">
        <f>HYPERLINK("http://dx.doi.org/10.3390/f10110998","http://dx.doi.org/10.3390/f10110998")</f>
        <v>http://dx.doi.org/10.3390/f10110998</v>
      </c>
      <c r="BG480" t="s">
        <v>74</v>
      </c>
      <c r="BH480" t="s">
        <v>74</v>
      </c>
      <c r="BI480">
        <v>19</v>
      </c>
      <c r="BJ480" t="s">
        <v>9691</v>
      </c>
      <c r="BK480" t="s">
        <v>294</v>
      </c>
      <c r="BL480" t="s">
        <v>9691</v>
      </c>
      <c r="BM480" t="s">
        <v>9692</v>
      </c>
      <c r="BN480" t="s">
        <v>74</v>
      </c>
      <c r="BO480" t="s">
        <v>107</v>
      </c>
      <c r="BP480" t="s">
        <v>74</v>
      </c>
      <c r="BQ480" t="s">
        <v>74</v>
      </c>
      <c r="BR480" t="s">
        <v>108</v>
      </c>
      <c r="BS480" t="s">
        <v>9693</v>
      </c>
      <c r="BT480" t="str">
        <f>HYPERLINK("https%3A%2F%2Fwww.webofscience.com%2Fwos%2Fwoscc%2Ffull-record%2FWOS:000502262700064","View Full Record in Web of Science")</f>
        <v>View Full Record in Web of Science</v>
      </c>
    </row>
    <row r="481" spans="1:72" x14ac:dyDescent="0.15">
      <c r="A481" t="s">
        <v>133</v>
      </c>
      <c r="B481" t="s">
        <v>9694</v>
      </c>
      <c r="C481" t="s">
        <v>74</v>
      </c>
      <c r="D481" t="s">
        <v>74</v>
      </c>
      <c r="E481" t="s">
        <v>74</v>
      </c>
      <c r="F481" t="s">
        <v>9695</v>
      </c>
      <c r="G481" t="s">
        <v>74</v>
      </c>
      <c r="H481" t="s">
        <v>74</v>
      </c>
      <c r="I481" t="s">
        <v>9696</v>
      </c>
      <c r="J481" t="s">
        <v>9279</v>
      </c>
      <c r="K481" t="s">
        <v>74</v>
      </c>
      <c r="L481" t="s">
        <v>74</v>
      </c>
      <c r="M481" t="s">
        <v>80</v>
      </c>
      <c r="N481" t="s">
        <v>138</v>
      </c>
      <c r="O481" t="s">
        <v>74</v>
      </c>
      <c r="P481" t="s">
        <v>74</v>
      </c>
      <c r="Q481" t="s">
        <v>74</v>
      </c>
      <c r="R481" t="s">
        <v>74</v>
      </c>
      <c r="S481" t="s">
        <v>74</v>
      </c>
      <c r="T481" t="s">
        <v>9697</v>
      </c>
      <c r="U481" t="s">
        <v>9698</v>
      </c>
      <c r="V481" t="s">
        <v>9699</v>
      </c>
      <c r="W481" t="s">
        <v>9700</v>
      </c>
      <c r="X481" t="s">
        <v>9701</v>
      </c>
      <c r="Y481" t="s">
        <v>9702</v>
      </c>
      <c r="Z481" t="s">
        <v>9703</v>
      </c>
      <c r="AA481" t="s">
        <v>9704</v>
      </c>
      <c r="AB481" t="s">
        <v>9705</v>
      </c>
      <c r="AC481" t="s">
        <v>9706</v>
      </c>
      <c r="AD481" t="s">
        <v>9707</v>
      </c>
      <c r="AE481" t="s">
        <v>9708</v>
      </c>
      <c r="AF481" t="s">
        <v>74</v>
      </c>
      <c r="AG481">
        <v>96</v>
      </c>
      <c r="AH481">
        <v>5</v>
      </c>
      <c r="AI481">
        <v>5</v>
      </c>
      <c r="AJ481">
        <v>0</v>
      </c>
      <c r="AK481">
        <v>8</v>
      </c>
      <c r="AL481" t="s">
        <v>683</v>
      </c>
      <c r="AM481" t="s">
        <v>684</v>
      </c>
      <c r="AN481" t="s">
        <v>685</v>
      </c>
      <c r="AO481" t="s">
        <v>74</v>
      </c>
      <c r="AP481" t="s">
        <v>9709</v>
      </c>
      <c r="AQ481" t="s">
        <v>74</v>
      </c>
      <c r="AR481" t="s">
        <v>9710</v>
      </c>
      <c r="AS481" t="s">
        <v>9711</v>
      </c>
      <c r="AT481" t="s">
        <v>3457</v>
      </c>
      <c r="AU481">
        <v>2019</v>
      </c>
      <c r="AV481">
        <v>10</v>
      </c>
      <c r="AW481">
        <v>11</v>
      </c>
      <c r="AX481" t="s">
        <v>74</v>
      </c>
      <c r="AY481" t="s">
        <v>74</v>
      </c>
      <c r="AZ481" t="s">
        <v>74</v>
      </c>
      <c r="BA481" t="s">
        <v>74</v>
      </c>
      <c r="BB481" t="s">
        <v>74</v>
      </c>
      <c r="BC481" t="s">
        <v>74</v>
      </c>
      <c r="BD481">
        <v>850</v>
      </c>
      <c r="BE481" t="s">
        <v>9712</v>
      </c>
      <c r="BF481" t="str">
        <f>HYPERLINK("http://dx.doi.org/10.3390/genes10110850","http://dx.doi.org/10.3390/genes10110850")</f>
        <v>http://dx.doi.org/10.3390/genes10110850</v>
      </c>
      <c r="BG481" t="s">
        <v>74</v>
      </c>
      <c r="BH481" t="s">
        <v>74</v>
      </c>
      <c r="BI481">
        <v>22</v>
      </c>
      <c r="BJ481" t="s">
        <v>9713</v>
      </c>
      <c r="BK481" t="s">
        <v>294</v>
      </c>
      <c r="BL481" t="s">
        <v>9713</v>
      </c>
      <c r="BM481" t="s">
        <v>9714</v>
      </c>
      <c r="BN481">
        <v>31661808</v>
      </c>
      <c r="BO481" t="s">
        <v>2934</v>
      </c>
      <c r="BP481" t="s">
        <v>74</v>
      </c>
      <c r="BQ481" t="s">
        <v>74</v>
      </c>
      <c r="BR481" t="s">
        <v>108</v>
      </c>
      <c r="BS481" t="s">
        <v>9715</v>
      </c>
      <c r="BT481" t="str">
        <f>HYPERLINK("https%3A%2F%2Fwww.webofscience.com%2Fwos%2Fwoscc%2Ffull-record%2FWOS:000502296000016","View Full Record in Web of Science")</f>
        <v>View Full Record in Web of Science</v>
      </c>
    </row>
    <row r="482" spans="1:72" x14ac:dyDescent="0.15">
      <c r="A482" t="s">
        <v>133</v>
      </c>
      <c r="B482" t="s">
        <v>9716</v>
      </c>
      <c r="C482" t="s">
        <v>74</v>
      </c>
      <c r="D482" t="s">
        <v>74</v>
      </c>
      <c r="E482" t="s">
        <v>74</v>
      </c>
      <c r="F482" t="s">
        <v>9717</v>
      </c>
      <c r="G482" t="s">
        <v>74</v>
      </c>
      <c r="H482" t="s">
        <v>74</v>
      </c>
      <c r="I482" t="s">
        <v>9718</v>
      </c>
      <c r="J482" t="s">
        <v>9719</v>
      </c>
      <c r="K482" t="s">
        <v>74</v>
      </c>
      <c r="L482" t="s">
        <v>74</v>
      </c>
      <c r="M482" t="s">
        <v>80</v>
      </c>
      <c r="N482" t="s">
        <v>138</v>
      </c>
      <c r="O482" t="s">
        <v>74</v>
      </c>
      <c r="P482" t="s">
        <v>74</v>
      </c>
      <c r="Q482" t="s">
        <v>74</v>
      </c>
      <c r="R482" t="s">
        <v>74</v>
      </c>
      <c r="S482" t="s">
        <v>74</v>
      </c>
      <c r="T482" t="s">
        <v>9720</v>
      </c>
      <c r="U482" t="s">
        <v>9721</v>
      </c>
      <c r="V482" t="s">
        <v>9722</v>
      </c>
      <c r="W482" t="s">
        <v>9723</v>
      </c>
      <c r="X482" t="s">
        <v>1983</v>
      </c>
      <c r="Y482" t="s">
        <v>9724</v>
      </c>
      <c r="Z482" t="s">
        <v>9725</v>
      </c>
      <c r="AA482" t="s">
        <v>9726</v>
      </c>
      <c r="AB482" t="s">
        <v>9727</v>
      </c>
      <c r="AC482" t="s">
        <v>9728</v>
      </c>
      <c r="AD482" t="s">
        <v>1882</v>
      </c>
      <c r="AE482" t="s">
        <v>9729</v>
      </c>
      <c r="AF482" t="s">
        <v>74</v>
      </c>
      <c r="AG482">
        <v>51</v>
      </c>
      <c r="AH482">
        <v>21</v>
      </c>
      <c r="AI482">
        <v>23</v>
      </c>
      <c r="AJ482">
        <v>2</v>
      </c>
      <c r="AK482">
        <v>29</v>
      </c>
      <c r="AL482" t="s">
        <v>683</v>
      </c>
      <c r="AM482" t="s">
        <v>684</v>
      </c>
      <c r="AN482" t="s">
        <v>685</v>
      </c>
      <c r="AO482" t="s">
        <v>74</v>
      </c>
      <c r="AP482" t="s">
        <v>9730</v>
      </c>
      <c r="AQ482" t="s">
        <v>74</v>
      </c>
      <c r="AR482" t="s">
        <v>9731</v>
      </c>
      <c r="AS482" t="s">
        <v>9732</v>
      </c>
      <c r="AT482" t="s">
        <v>3457</v>
      </c>
      <c r="AU482">
        <v>2019</v>
      </c>
      <c r="AV482">
        <v>16</v>
      </c>
      <c r="AW482">
        <v>22</v>
      </c>
      <c r="AX482" t="s">
        <v>74</v>
      </c>
      <c r="AY482" t="s">
        <v>74</v>
      </c>
      <c r="AZ482" t="s">
        <v>74</v>
      </c>
      <c r="BA482" t="s">
        <v>74</v>
      </c>
      <c r="BB482" t="s">
        <v>74</v>
      </c>
      <c r="BC482" t="s">
        <v>74</v>
      </c>
      <c r="BD482">
        <v>4422</v>
      </c>
      <c r="BE482" t="s">
        <v>9733</v>
      </c>
      <c r="BF482" t="str">
        <f>HYPERLINK("http://dx.doi.org/10.3390/ijerph16224422","http://dx.doi.org/10.3390/ijerph16224422")</f>
        <v>http://dx.doi.org/10.3390/ijerph16224422</v>
      </c>
      <c r="BG482" t="s">
        <v>74</v>
      </c>
      <c r="BH482" t="s">
        <v>74</v>
      </c>
      <c r="BI482">
        <v>12</v>
      </c>
      <c r="BJ482" t="s">
        <v>9734</v>
      </c>
      <c r="BK482" t="s">
        <v>360</v>
      </c>
      <c r="BL482" t="s">
        <v>9735</v>
      </c>
      <c r="BM482" t="s">
        <v>9736</v>
      </c>
      <c r="BN482">
        <v>31718102</v>
      </c>
      <c r="BO482" t="s">
        <v>2934</v>
      </c>
      <c r="BP482" t="s">
        <v>74</v>
      </c>
      <c r="BQ482" t="s">
        <v>74</v>
      </c>
      <c r="BR482" t="s">
        <v>108</v>
      </c>
      <c r="BS482" t="s">
        <v>9737</v>
      </c>
      <c r="BT482" t="str">
        <f>HYPERLINK("https%3A%2F%2Fwww.webofscience.com%2Fwos%2Fwoscc%2Ffull-record%2FWOS:000502057400119","View Full Record in Web of Science")</f>
        <v>View Full Record in Web of Science</v>
      </c>
    </row>
    <row r="483" spans="1:72" x14ac:dyDescent="0.15">
      <c r="A483" t="s">
        <v>133</v>
      </c>
      <c r="B483" t="s">
        <v>9738</v>
      </c>
      <c r="C483" t="s">
        <v>74</v>
      </c>
      <c r="D483" t="s">
        <v>74</v>
      </c>
      <c r="E483" t="s">
        <v>74</v>
      </c>
      <c r="F483" t="s">
        <v>9739</v>
      </c>
      <c r="G483" t="s">
        <v>74</v>
      </c>
      <c r="H483" t="s">
        <v>74</v>
      </c>
      <c r="I483" t="s">
        <v>9740</v>
      </c>
      <c r="J483" t="s">
        <v>671</v>
      </c>
      <c r="K483" t="s">
        <v>74</v>
      </c>
      <c r="L483" t="s">
        <v>74</v>
      </c>
      <c r="M483" t="s">
        <v>80</v>
      </c>
      <c r="N483" t="s">
        <v>138</v>
      </c>
      <c r="O483" t="s">
        <v>74</v>
      </c>
      <c r="P483" t="s">
        <v>74</v>
      </c>
      <c r="Q483" t="s">
        <v>74</v>
      </c>
      <c r="R483" t="s">
        <v>74</v>
      </c>
      <c r="S483" t="s">
        <v>74</v>
      </c>
      <c r="T483" t="s">
        <v>9741</v>
      </c>
      <c r="U483" t="s">
        <v>9742</v>
      </c>
      <c r="V483" t="s">
        <v>9743</v>
      </c>
      <c r="W483" t="s">
        <v>9744</v>
      </c>
      <c r="X483" t="s">
        <v>9745</v>
      </c>
      <c r="Y483" t="s">
        <v>9746</v>
      </c>
      <c r="Z483" t="s">
        <v>9747</v>
      </c>
      <c r="AA483" t="s">
        <v>74</v>
      </c>
      <c r="AB483" t="s">
        <v>74</v>
      </c>
      <c r="AC483" t="s">
        <v>9748</v>
      </c>
      <c r="AD483" t="s">
        <v>9749</v>
      </c>
      <c r="AE483" t="s">
        <v>9750</v>
      </c>
      <c r="AF483" t="s">
        <v>74</v>
      </c>
      <c r="AG483">
        <v>47</v>
      </c>
      <c r="AH483">
        <v>19</v>
      </c>
      <c r="AI483">
        <v>20</v>
      </c>
      <c r="AJ483">
        <v>0</v>
      </c>
      <c r="AK483">
        <v>20</v>
      </c>
      <c r="AL483" t="s">
        <v>683</v>
      </c>
      <c r="AM483" t="s">
        <v>684</v>
      </c>
      <c r="AN483" t="s">
        <v>685</v>
      </c>
      <c r="AO483" t="s">
        <v>74</v>
      </c>
      <c r="AP483" t="s">
        <v>686</v>
      </c>
      <c r="AQ483" t="s">
        <v>74</v>
      </c>
      <c r="AR483" t="s">
        <v>687</v>
      </c>
      <c r="AS483" t="s">
        <v>688</v>
      </c>
      <c r="AT483" t="s">
        <v>3457</v>
      </c>
      <c r="AU483">
        <v>2019</v>
      </c>
      <c r="AV483">
        <v>17</v>
      </c>
      <c r="AW483">
        <v>11</v>
      </c>
      <c r="AX483" t="s">
        <v>74</v>
      </c>
      <c r="AY483" t="s">
        <v>74</v>
      </c>
      <c r="AZ483" t="s">
        <v>74</v>
      </c>
      <c r="BA483" t="s">
        <v>74</v>
      </c>
      <c r="BB483" t="s">
        <v>74</v>
      </c>
      <c r="BC483" t="s">
        <v>74</v>
      </c>
      <c r="BD483">
        <v>599</v>
      </c>
      <c r="BE483" t="s">
        <v>9751</v>
      </c>
      <c r="BF483" t="str">
        <f>HYPERLINK("http://dx.doi.org/10.3390/md17110599","http://dx.doi.org/10.3390/md17110599")</f>
        <v>http://dx.doi.org/10.3390/md17110599</v>
      </c>
      <c r="BG483" t="s">
        <v>74</v>
      </c>
      <c r="BH483" t="s">
        <v>74</v>
      </c>
      <c r="BI483">
        <v>15</v>
      </c>
      <c r="BJ483" t="s">
        <v>690</v>
      </c>
      <c r="BK483" t="s">
        <v>294</v>
      </c>
      <c r="BL483" t="s">
        <v>691</v>
      </c>
      <c r="BM483" t="s">
        <v>9752</v>
      </c>
      <c r="BN483">
        <v>31652852</v>
      </c>
      <c r="BO483" t="s">
        <v>693</v>
      </c>
      <c r="BP483" t="s">
        <v>74</v>
      </c>
      <c r="BQ483" t="s">
        <v>74</v>
      </c>
      <c r="BR483" t="s">
        <v>108</v>
      </c>
      <c r="BS483" t="s">
        <v>9753</v>
      </c>
      <c r="BT483" t="str">
        <f>HYPERLINK("https%3A%2F%2Fwww.webofscience.com%2Fwos%2Fwoscc%2Ffull-record%2FWOS:000502262200026","View Full Record in Web of Science")</f>
        <v>View Full Record in Web of Science</v>
      </c>
    </row>
    <row r="484" spans="1:72" x14ac:dyDescent="0.15">
      <c r="A484" t="s">
        <v>133</v>
      </c>
      <c r="B484" t="s">
        <v>9754</v>
      </c>
      <c r="C484" t="s">
        <v>74</v>
      </c>
      <c r="D484" t="s">
        <v>74</v>
      </c>
      <c r="E484" t="s">
        <v>74</v>
      </c>
      <c r="F484" t="s">
        <v>9755</v>
      </c>
      <c r="G484" t="s">
        <v>74</v>
      </c>
      <c r="H484" t="s">
        <v>74</v>
      </c>
      <c r="I484" t="s">
        <v>9756</v>
      </c>
      <c r="J484" t="s">
        <v>4148</v>
      </c>
      <c r="K484" t="s">
        <v>74</v>
      </c>
      <c r="L484" t="s">
        <v>74</v>
      </c>
      <c r="M484" t="s">
        <v>80</v>
      </c>
      <c r="N484" t="s">
        <v>138</v>
      </c>
      <c r="O484" t="s">
        <v>74</v>
      </c>
      <c r="P484" t="s">
        <v>74</v>
      </c>
      <c r="Q484" t="s">
        <v>74</v>
      </c>
      <c r="R484" t="s">
        <v>74</v>
      </c>
      <c r="S484" t="s">
        <v>74</v>
      </c>
      <c r="T484" t="s">
        <v>9757</v>
      </c>
      <c r="U484" t="s">
        <v>9758</v>
      </c>
      <c r="V484" t="s">
        <v>9759</v>
      </c>
      <c r="W484" t="s">
        <v>9760</v>
      </c>
      <c r="X484" t="s">
        <v>9761</v>
      </c>
      <c r="Y484" t="s">
        <v>9762</v>
      </c>
      <c r="Z484" t="s">
        <v>9763</v>
      </c>
      <c r="AA484" t="s">
        <v>9764</v>
      </c>
      <c r="AB484" t="s">
        <v>9765</v>
      </c>
      <c r="AC484" t="s">
        <v>9766</v>
      </c>
      <c r="AD484" t="s">
        <v>9767</v>
      </c>
      <c r="AE484" t="s">
        <v>9768</v>
      </c>
      <c r="AF484" t="s">
        <v>74</v>
      </c>
      <c r="AG484">
        <v>97</v>
      </c>
      <c r="AH484">
        <v>27</v>
      </c>
      <c r="AI484">
        <v>29</v>
      </c>
      <c r="AJ484">
        <v>3</v>
      </c>
      <c r="AK484">
        <v>26</v>
      </c>
      <c r="AL484" t="s">
        <v>683</v>
      </c>
      <c r="AM484" t="s">
        <v>684</v>
      </c>
      <c r="AN484" t="s">
        <v>685</v>
      </c>
      <c r="AO484" t="s">
        <v>74</v>
      </c>
      <c r="AP484" t="s">
        <v>4161</v>
      </c>
      <c r="AQ484" t="s">
        <v>74</v>
      </c>
      <c r="AR484" t="s">
        <v>4148</v>
      </c>
      <c r="AS484" t="s">
        <v>4162</v>
      </c>
      <c r="AT484" t="s">
        <v>3457</v>
      </c>
      <c r="AU484">
        <v>2019</v>
      </c>
      <c r="AV484">
        <v>11</v>
      </c>
      <c r="AW484">
        <v>11</v>
      </c>
      <c r="AX484" t="s">
        <v>74</v>
      </c>
      <c r="AY484" t="s">
        <v>74</v>
      </c>
      <c r="AZ484" t="s">
        <v>74</v>
      </c>
      <c r="BA484" t="s">
        <v>74</v>
      </c>
      <c r="BB484" t="s">
        <v>74</v>
      </c>
      <c r="BC484" t="s">
        <v>74</v>
      </c>
      <c r="BD484">
        <v>1022</v>
      </c>
      <c r="BE484" t="s">
        <v>9769</v>
      </c>
      <c r="BF484" t="str">
        <f>HYPERLINK("http://dx.doi.org/10.3390/v11111022","http://dx.doi.org/10.3390/v11111022")</f>
        <v>http://dx.doi.org/10.3390/v11111022</v>
      </c>
      <c r="BG484" t="s">
        <v>74</v>
      </c>
      <c r="BH484" t="s">
        <v>74</v>
      </c>
      <c r="BI484">
        <v>19</v>
      </c>
      <c r="BJ484" t="s">
        <v>4164</v>
      </c>
      <c r="BK484" t="s">
        <v>294</v>
      </c>
      <c r="BL484" t="s">
        <v>4164</v>
      </c>
      <c r="BM484" t="s">
        <v>9770</v>
      </c>
      <c r="BN484">
        <v>31689942</v>
      </c>
      <c r="BO484" t="s">
        <v>2934</v>
      </c>
      <c r="BP484" t="s">
        <v>74</v>
      </c>
      <c r="BQ484" t="s">
        <v>74</v>
      </c>
      <c r="BR484" t="s">
        <v>108</v>
      </c>
      <c r="BS484" t="s">
        <v>9771</v>
      </c>
      <c r="BT484" t="str">
        <f>HYPERLINK("https%3A%2F%2Fwww.webofscience.com%2Fwos%2Fwoscc%2Ffull-record%2FWOS:000502292300050","View Full Record in Web of Science")</f>
        <v>View Full Record in Web of Science</v>
      </c>
    </row>
    <row r="485" spans="1:72" x14ac:dyDescent="0.15">
      <c r="A485" t="s">
        <v>133</v>
      </c>
      <c r="B485" t="s">
        <v>9772</v>
      </c>
      <c r="C485" t="s">
        <v>74</v>
      </c>
      <c r="D485" t="s">
        <v>74</v>
      </c>
      <c r="E485" t="s">
        <v>74</v>
      </c>
      <c r="F485" t="s">
        <v>9773</v>
      </c>
      <c r="G485" t="s">
        <v>74</v>
      </c>
      <c r="H485" t="s">
        <v>74</v>
      </c>
      <c r="I485" t="s">
        <v>9774</v>
      </c>
      <c r="J485" t="s">
        <v>956</v>
      </c>
      <c r="K485" t="s">
        <v>74</v>
      </c>
      <c r="L485" t="s">
        <v>74</v>
      </c>
      <c r="M485" t="s">
        <v>80</v>
      </c>
      <c r="N485" t="s">
        <v>138</v>
      </c>
      <c r="O485" t="s">
        <v>74</v>
      </c>
      <c r="P485" t="s">
        <v>74</v>
      </c>
      <c r="Q485" t="s">
        <v>74</v>
      </c>
      <c r="R485" t="s">
        <v>74</v>
      </c>
      <c r="S485" t="s">
        <v>74</v>
      </c>
      <c r="T485" t="s">
        <v>9775</v>
      </c>
      <c r="U485" t="s">
        <v>9776</v>
      </c>
      <c r="V485" t="s">
        <v>9777</v>
      </c>
      <c r="W485" t="s">
        <v>9778</v>
      </c>
      <c r="X485" t="s">
        <v>9779</v>
      </c>
      <c r="Y485" t="s">
        <v>9780</v>
      </c>
      <c r="Z485" t="s">
        <v>9781</v>
      </c>
      <c r="AA485" t="s">
        <v>9782</v>
      </c>
      <c r="AB485" t="s">
        <v>9783</v>
      </c>
      <c r="AC485" t="s">
        <v>9784</v>
      </c>
      <c r="AD485" t="s">
        <v>4944</v>
      </c>
      <c r="AE485" t="s">
        <v>9785</v>
      </c>
      <c r="AF485" t="s">
        <v>74</v>
      </c>
      <c r="AG485">
        <v>69</v>
      </c>
      <c r="AH485">
        <v>18</v>
      </c>
      <c r="AI485">
        <v>18</v>
      </c>
      <c r="AJ485">
        <v>1</v>
      </c>
      <c r="AK485">
        <v>11</v>
      </c>
      <c r="AL485" t="s">
        <v>683</v>
      </c>
      <c r="AM485" t="s">
        <v>684</v>
      </c>
      <c r="AN485" t="s">
        <v>685</v>
      </c>
      <c r="AO485" t="s">
        <v>74</v>
      </c>
      <c r="AP485" t="s">
        <v>969</v>
      </c>
      <c r="AQ485" t="s">
        <v>74</v>
      </c>
      <c r="AR485" t="s">
        <v>970</v>
      </c>
      <c r="AS485" t="s">
        <v>971</v>
      </c>
      <c r="AT485" t="s">
        <v>3457</v>
      </c>
      <c r="AU485">
        <v>2019</v>
      </c>
      <c r="AV485">
        <v>11</v>
      </c>
      <c r="AW485">
        <v>11</v>
      </c>
      <c r="AX485" t="s">
        <v>74</v>
      </c>
      <c r="AY485" t="s">
        <v>74</v>
      </c>
      <c r="AZ485" t="s">
        <v>74</v>
      </c>
      <c r="BA485" t="s">
        <v>74</v>
      </c>
      <c r="BB485" t="s">
        <v>74</v>
      </c>
      <c r="BC485" t="s">
        <v>74</v>
      </c>
      <c r="BD485">
        <v>2405</v>
      </c>
      <c r="BE485" t="s">
        <v>9786</v>
      </c>
      <c r="BF485" t="str">
        <f>HYPERLINK("http://dx.doi.org/10.3390/w11112405","http://dx.doi.org/10.3390/w11112405")</f>
        <v>http://dx.doi.org/10.3390/w11112405</v>
      </c>
      <c r="BG485" t="s">
        <v>74</v>
      </c>
      <c r="BH485" t="s">
        <v>74</v>
      </c>
      <c r="BI485">
        <v>21</v>
      </c>
      <c r="BJ485" t="s">
        <v>973</v>
      </c>
      <c r="BK485" t="s">
        <v>294</v>
      </c>
      <c r="BL485" t="s">
        <v>974</v>
      </c>
      <c r="BM485" t="s">
        <v>9787</v>
      </c>
      <c r="BN485" t="s">
        <v>74</v>
      </c>
      <c r="BO485" t="s">
        <v>361</v>
      </c>
      <c r="BP485" t="s">
        <v>74</v>
      </c>
      <c r="BQ485" t="s">
        <v>74</v>
      </c>
      <c r="BR485" t="s">
        <v>108</v>
      </c>
      <c r="BS485" t="s">
        <v>9788</v>
      </c>
      <c r="BT485" t="str">
        <f>HYPERLINK("https%3A%2F%2Fwww.webofscience.com%2Fwos%2Fwoscc%2Ffull-record%2FWOS:000502264500207","View Full Record in Web of Science")</f>
        <v>View Full Record in Web of Science</v>
      </c>
    </row>
    <row r="486" spans="1:72" x14ac:dyDescent="0.15">
      <c r="A486" t="s">
        <v>133</v>
      </c>
      <c r="B486" t="s">
        <v>9789</v>
      </c>
      <c r="C486" t="s">
        <v>74</v>
      </c>
      <c r="D486" t="s">
        <v>74</v>
      </c>
      <c r="E486" t="s">
        <v>74</v>
      </c>
      <c r="F486" t="s">
        <v>9790</v>
      </c>
      <c r="G486" t="s">
        <v>74</v>
      </c>
      <c r="H486" t="s">
        <v>74</v>
      </c>
      <c r="I486" t="s">
        <v>9791</v>
      </c>
      <c r="J486" t="s">
        <v>566</v>
      </c>
      <c r="K486" t="s">
        <v>74</v>
      </c>
      <c r="L486" t="s">
        <v>74</v>
      </c>
      <c r="M486" t="s">
        <v>80</v>
      </c>
      <c r="N486" t="s">
        <v>138</v>
      </c>
      <c r="O486" t="s">
        <v>74</v>
      </c>
      <c r="P486" t="s">
        <v>74</v>
      </c>
      <c r="Q486" t="s">
        <v>74</v>
      </c>
      <c r="R486" t="s">
        <v>74</v>
      </c>
      <c r="S486" t="s">
        <v>74</v>
      </c>
      <c r="T486" t="s">
        <v>9792</v>
      </c>
      <c r="U486" t="s">
        <v>9793</v>
      </c>
      <c r="V486" t="s">
        <v>9794</v>
      </c>
      <c r="W486" t="s">
        <v>9795</v>
      </c>
      <c r="X486" t="s">
        <v>9796</v>
      </c>
      <c r="Y486" t="s">
        <v>9797</v>
      </c>
      <c r="Z486" t="s">
        <v>9798</v>
      </c>
      <c r="AA486" t="s">
        <v>9799</v>
      </c>
      <c r="AB486" t="s">
        <v>9800</v>
      </c>
      <c r="AC486" t="s">
        <v>9801</v>
      </c>
      <c r="AD486" t="s">
        <v>9802</v>
      </c>
      <c r="AE486" t="s">
        <v>9803</v>
      </c>
      <c r="AF486" t="s">
        <v>74</v>
      </c>
      <c r="AG486">
        <v>115</v>
      </c>
      <c r="AH486">
        <v>5</v>
      </c>
      <c r="AI486">
        <v>5</v>
      </c>
      <c r="AJ486">
        <v>4</v>
      </c>
      <c r="AK486">
        <v>28</v>
      </c>
      <c r="AL486" t="s">
        <v>578</v>
      </c>
      <c r="AM486" t="s">
        <v>380</v>
      </c>
      <c r="AN486" t="s">
        <v>579</v>
      </c>
      <c r="AO486" t="s">
        <v>580</v>
      </c>
      <c r="AP486" t="s">
        <v>581</v>
      </c>
      <c r="AQ486" t="s">
        <v>74</v>
      </c>
      <c r="AR486" t="s">
        <v>582</v>
      </c>
      <c r="AS486" t="s">
        <v>583</v>
      </c>
      <c r="AT486" t="s">
        <v>9473</v>
      </c>
      <c r="AU486">
        <v>2019</v>
      </c>
      <c r="AV486">
        <v>76</v>
      </c>
      <c r="AW486">
        <v>6</v>
      </c>
      <c r="AX486" t="s">
        <v>74</v>
      </c>
      <c r="AY486" t="s">
        <v>74</v>
      </c>
      <c r="AZ486" t="s">
        <v>74</v>
      </c>
      <c r="BA486" t="s">
        <v>74</v>
      </c>
      <c r="BB486">
        <v>1736</v>
      </c>
      <c r="BC486">
        <v>1747</v>
      </c>
      <c r="BD486" t="s">
        <v>74</v>
      </c>
      <c r="BE486" t="s">
        <v>9804</v>
      </c>
      <c r="BF486" t="str">
        <f>HYPERLINK("http://dx.doi.org/10.1093/icesjms/fsz058","http://dx.doi.org/10.1093/icesjms/fsz058")</f>
        <v>http://dx.doi.org/10.1093/icesjms/fsz058</v>
      </c>
      <c r="BG486" t="s">
        <v>74</v>
      </c>
      <c r="BH486" t="s">
        <v>74</v>
      </c>
      <c r="BI486">
        <v>12</v>
      </c>
      <c r="BJ486" t="s">
        <v>586</v>
      </c>
      <c r="BK486" t="s">
        <v>360</v>
      </c>
      <c r="BL486" t="s">
        <v>586</v>
      </c>
      <c r="BM486" t="s">
        <v>9805</v>
      </c>
      <c r="BN486" t="s">
        <v>74</v>
      </c>
      <c r="BO486" t="s">
        <v>74</v>
      </c>
      <c r="BP486" t="s">
        <v>74</v>
      </c>
      <c r="BQ486" t="s">
        <v>74</v>
      </c>
      <c r="BR486" t="s">
        <v>108</v>
      </c>
      <c r="BS486" t="s">
        <v>9806</v>
      </c>
      <c r="BT486" t="str">
        <f>HYPERLINK("https%3A%2F%2Fwww.webofscience.com%2Fwos%2Fwoscc%2Ffull-record%2FWOS:000501732500031","View Full Record in Web of Science")</f>
        <v>View Full Record in Web of Science</v>
      </c>
    </row>
    <row r="487" spans="1:72" x14ac:dyDescent="0.15">
      <c r="A487" t="s">
        <v>133</v>
      </c>
      <c r="B487" t="s">
        <v>9807</v>
      </c>
      <c r="C487" t="s">
        <v>74</v>
      </c>
      <c r="D487" t="s">
        <v>74</v>
      </c>
      <c r="E487" t="s">
        <v>74</v>
      </c>
      <c r="F487" t="s">
        <v>9808</v>
      </c>
      <c r="G487" t="s">
        <v>74</v>
      </c>
      <c r="H487" t="s">
        <v>74</v>
      </c>
      <c r="I487" t="s">
        <v>9809</v>
      </c>
      <c r="J487" t="s">
        <v>566</v>
      </c>
      <c r="K487" t="s">
        <v>74</v>
      </c>
      <c r="L487" t="s">
        <v>74</v>
      </c>
      <c r="M487" t="s">
        <v>80</v>
      </c>
      <c r="N487" t="s">
        <v>138</v>
      </c>
      <c r="O487" t="s">
        <v>74</v>
      </c>
      <c r="P487" t="s">
        <v>74</v>
      </c>
      <c r="Q487" t="s">
        <v>74</v>
      </c>
      <c r="R487" t="s">
        <v>74</v>
      </c>
      <c r="S487" t="s">
        <v>74</v>
      </c>
      <c r="T487" t="s">
        <v>9810</v>
      </c>
      <c r="U487" t="s">
        <v>9811</v>
      </c>
      <c r="V487" t="s">
        <v>9812</v>
      </c>
      <c r="W487" t="s">
        <v>9813</v>
      </c>
      <c r="X487" t="s">
        <v>9814</v>
      </c>
      <c r="Y487" t="s">
        <v>9815</v>
      </c>
      <c r="Z487" t="s">
        <v>9816</v>
      </c>
      <c r="AA487" t="s">
        <v>74</v>
      </c>
      <c r="AB487" t="s">
        <v>9817</v>
      </c>
      <c r="AC487" t="s">
        <v>9818</v>
      </c>
      <c r="AD487" t="s">
        <v>9818</v>
      </c>
      <c r="AE487" t="s">
        <v>9819</v>
      </c>
      <c r="AF487" t="s">
        <v>74</v>
      </c>
      <c r="AG487">
        <v>71</v>
      </c>
      <c r="AH487">
        <v>2</v>
      </c>
      <c r="AI487">
        <v>2</v>
      </c>
      <c r="AJ487">
        <v>3</v>
      </c>
      <c r="AK487">
        <v>21</v>
      </c>
      <c r="AL487" t="s">
        <v>578</v>
      </c>
      <c r="AM487" t="s">
        <v>380</v>
      </c>
      <c r="AN487" t="s">
        <v>579</v>
      </c>
      <c r="AO487" t="s">
        <v>580</v>
      </c>
      <c r="AP487" t="s">
        <v>581</v>
      </c>
      <c r="AQ487" t="s">
        <v>74</v>
      </c>
      <c r="AR487" t="s">
        <v>582</v>
      </c>
      <c r="AS487" t="s">
        <v>583</v>
      </c>
      <c r="AT487" t="s">
        <v>9473</v>
      </c>
      <c r="AU487">
        <v>2019</v>
      </c>
      <c r="AV487">
        <v>76</v>
      </c>
      <c r="AW487">
        <v>6</v>
      </c>
      <c r="AX487" t="s">
        <v>74</v>
      </c>
      <c r="AY487" t="s">
        <v>74</v>
      </c>
      <c r="AZ487" t="s">
        <v>74</v>
      </c>
      <c r="BA487" t="s">
        <v>74</v>
      </c>
      <c r="BB487">
        <v>1794</v>
      </c>
      <c r="BC487">
        <v>1806</v>
      </c>
      <c r="BD487" t="s">
        <v>74</v>
      </c>
      <c r="BE487" t="s">
        <v>9820</v>
      </c>
      <c r="BF487" t="str">
        <f>HYPERLINK("http://dx.doi.org/10.1093/icesjms/fsz039","http://dx.doi.org/10.1093/icesjms/fsz039")</f>
        <v>http://dx.doi.org/10.1093/icesjms/fsz039</v>
      </c>
      <c r="BG487" t="s">
        <v>74</v>
      </c>
      <c r="BH487" t="s">
        <v>74</v>
      </c>
      <c r="BI487">
        <v>13</v>
      </c>
      <c r="BJ487" t="s">
        <v>586</v>
      </c>
      <c r="BK487" t="s">
        <v>294</v>
      </c>
      <c r="BL487" t="s">
        <v>586</v>
      </c>
      <c r="BM487" t="s">
        <v>9805</v>
      </c>
      <c r="BN487" t="s">
        <v>74</v>
      </c>
      <c r="BO487" t="s">
        <v>74</v>
      </c>
      <c r="BP487" t="s">
        <v>74</v>
      </c>
      <c r="BQ487" t="s">
        <v>74</v>
      </c>
      <c r="BR487" t="s">
        <v>108</v>
      </c>
      <c r="BS487" t="s">
        <v>9821</v>
      </c>
      <c r="BT487" t="str">
        <f>HYPERLINK("https%3A%2F%2Fwww.webofscience.com%2Fwos%2Fwoscc%2Ffull-record%2FWOS:000501732500036","View Full Record in Web of Science")</f>
        <v>View Full Record in Web of Science</v>
      </c>
    </row>
    <row r="488" spans="1:72" x14ac:dyDescent="0.15">
      <c r="A488" t="s">
        <v>133</v>
      </c>
      <c r="B488" t="s">
        <v>9822</v>
      </c>
      <c r="C488" t="s">
        <v>74</v>
      </c>
      <c r="D488" t="s">
        <v>74</v>
      </c>
      <c r="E488" t="s">
        <v>74</v>
      </c>
      <c r="F488" t="s">
        <v>9823</v>
      </c>
      <c r="G488" t="s">
        <v>74</v>
      </c>
      <c r="H488" t="s">
        <v>74</v>
      </c>
      <c r="I488" t="s">
        <v>9824</v>
      </c>
      <c r="J488" t="s">
        <v>566</v>
      </c>
      <c r="K488" t="s">
        <v>74</v>
      </c>
      <c r="L488" t="s">
        <v>74</v>
      </c>
      <c r="M488" t="s">
        <v>80</v>
      </c>
      <c r="N488" t="s">
        <v>138</v>
      </c>
      <c r="O488" t="s">
        <v>74</v>
      </c>
      <c r="P488" t="s">
        <v>74</v>
      </c>
      <c r="Q488" t="s">
        <v>74</v>
      </c>
      <c r="R488" t="s">
        <v>74</v>
      </c>
      <c r="S488" t="s">
        <v>74</v>
      </c>
      <c r="T488" t="s">
        <v>9825</v>
      </c>
      <c r="U488" t="s">
        <v>9826</v>
      </c>
      <c r="V488" t="s">
        <v>9827</v>
      </c>
      <c r="W488" t="s">
        <v>9828</v>
      </c>
      <c r="X488" t="s">
        <v>9829</v>
      </c>
      <c r="Y488" t="s">
        <v>9830</v>
      </c>
      <c r="Z488" t="s">
        <v>9831</v>
      </c>
      <c r="AA488" t="s">
        <v>9832</v>
      </c>
      <c r="AB488" t="s">
        <v>9833</v>
      </c>
      <c r="AC488" t="s">
        <v>9834</v>
      </c>
      <c r="AD488" t="s">
        <v>9834</v>
      </c>
      <c r="AE488" t="s">
        <v>9835</v>
      </c>
      <c r="AF488" t="s">
        <v>74</v>
      </c>
      <c r="AG488">
        <v>62</v>
      </c>
      <c r="AH488">
        <v>23</v>
      </c>
      <c r="AI488">
        <v>24</v>
      </c>
      <c r="AJ488">
        <v>2</v>
      </c>
      <c r="AK488">
        <v>36</v>
      </c>
      <c r="AL488" t="s">
        <v>578</v>
      </c>
      <c r="AM488" t="s">
        <v>380</v>
      </c>
      <c r="AN488" t="s">
        <v>579</v>
      </c>
      <c r="AO488" t="s">
        <v>580</v>
      </c>
      <c r="AP488" t="s">
        <v>581</v>
      </c>
      <c r="AQ488" t="s">
        <v>74</v>
      </c>
      <c r="AR488" t="s">
        <v>582</v>
      </c>
      <c r="AS488" t="s">
        <v>583</v>
      </c>
      <c r="AT488" t="s">
        <v>9473</v>
      </c>
      <c r="AU488">
        <v>2019</v>
      </c>
      <c r="AV488">
        <v>76</v>
      </c>
      <c r="AW488">
        <v>6</v>
      </c>
      <c r="AX488" t="s">
        <v>74</v>
      </c>
      <c r="AY488" t="s">
        <v>74</v>
      </c>
      <c r="AZ488" t="s">
        <v>74</v>
      </c>
      <c r="BA488" t="s">
        <v>74</v>
      </c>
      <c r="BB488">
        <v>1860</v>
      </c>
      <c r="BC488">
        <v>1870</v>
      </c>
      <c r="BD488" t="s">
        <v>74</v>
      </c>
      <c r="BE488" t="s">
        <v>9836</v>
      </c>
      <c r="BF488" t="str">
        <f>HYPERLINK("http://dx.doi.org/10.1093/icesjms/fsz070","http://dx.doi.org/10.1093/icesjms/fsz070")</f>
        <v>http://dx.doi.org/10.1093/icesjms/fsz070</v>
      </c>
      <c r="BG488" t="s">
        <v>74</v>
      </c>
      <c r="BH488" t="s">
        <v>74</v>
      </c>
      <c r="BI488">
        <v>11</v>
      </c>
      <c r="BJ488" t="s">
        <v>586</v>
      </c>
      <c r="BK488" t="s">
        <v>294</v>
      </c>
      <c r="BL488" t="s">
        <v>586</v>
      </c>
      <c r="BM488" t="s">
        <v>9805</v>
      </c>
      <c r="BN488" t="s">
        <v>74</v>
      </c>
      <c r="BO488" t="s">
        <v>74</v>
      </c>
      <c r="BP488" t="s">
        <v>74</v>
      </c>
      <c r="BQ488" t="s">
        <v>74</v>
      </c>
      <c r="BR488" t="s">
        <v>108</v>
      </c>
      <c r="BS488" t="s">
        <v>9837</v>
      </c>
      <c r="BT488" t="str">
        <f>HYPERLINK("https%3A%2F%2Fwww.webofscience.com%2Fwos%2Fwoscc%2Ffull-record%2FWOS:000501732500042","View Full Record in Web of Science")</f>
        <v>View Full Record in Web of Science</v>
      </c>
    </row>
    <row r="489" spans="1:72" x14ac:dyDescent="0.15">
      <c r="A489" t="s">
        <v>133</v>
      </c>
      <c r="B489" t="s">
        <v>9838</v>
      </c>
      <c r="C489" t="s">
        <v>74</v>
      </c>
      <c r="D489" t="s">
        <v>74</v>
      </c>
      <c r="E489" t="s">
        <v>74</v>
      </c>
      <c r="F489" t="s">
        <v>9839</v>
      </c>
      <c r="G489" t="s">
        <v>74</v>
      </c>
      <c r="H489" t="s">
        <v>74</v>
      </c>
      <c r="I489" t="s">
        <v>9840</v>
      </c>
      <c r="J489" t="s">
        <v>9841</v>
      </c>
      <c r="K489" t="s">
        <v>74</v>
      </c>
      <c r="L489" t="s">
        <v>74</v>
      </c>
      <c r="M489" t="s">
        <v>80</v>
      </c>
      <c r="N489" t="s">
        <v>138</v>
      </c>
      <c r="O489" t="s">
        <v>74</v>
      </c>
      <c r="P489" t="s">
        <v>74</v>
      </c>
      <c r="Q489" t="s">
        <v>74</v>
      </c>
      <c r="R489" t="s">
        <v>74</v>
      </c>
      <c r="S489" t="s">
        <v>74</v>
      </c>
      <c r="T489" t="s">
        <v>9842</v>
      </c>
      <c r="U489" t="s">
        <v>9843</v>
      </c>
      <c r="V489" t="s">
        <v>9844</v>
      </c>
      <c r="W489" t="s">
        <v>9845</v>
      </c>
      <c r="X489" t="s">
        <v>9846</v>
      </c>
      <c r="Y489" t="s">
        <v>9847</v>
      </c>
      <c r="Z489" t="s">
        <v>9848</v>
      </c>
      <c r="AA489" t="s">
        <v>9849</v>
      </c>
      <c r="AB489" t="s">
        <v>9850</v>
      </c>
      <c r="AC489" t="s">
        <v>9851</v>
      </c>
      <c r="AD489" t="s">
        <v>9852</v>
      </c>
      <c r="AE489" t="s">
        <v>9853</v>
      </c>
      <c r="AF489" t="s">
        <v>74</v>
      </c>
      <c r="AG489">
        <v>39</v>
      </c>
      <c r="AH489">
        <v>0</v>
      </c>
      <c r="AI489">
        <v>0</v>
      </c>
      <c r="AJ489">
        <v>0</v>
      </c>
      <c r="AK489">
        <v>1</v>
      </c>
      <c r="AL489" t="s">
        <v>3717</v>
      </c>
      <c r="AM489" t="s">
        <v>3718</v>
      </c>
      <c r="AN489" t="s">
        <v>3719</v>
      </c>
      <c r="AO489" t="s">
        <v>9854</v>
      </c>
      <c r="AP489" t="s">
        <v>9855</v>
      </c>
      <c r="AQ489" t="s">
        <v>74</v>
      </c>
      <c r="AR489" t="s">
        <v>9856</v>
      </c>
      <c r="AS489" t="s">
        <v>9857</v>
      </c>
      <c r="AT489" t="s">
        <v>3457</v>
      </c>
      <c r="AU489">
        <v>2019</v>
      </c>
      <c r="AV489">
        <v>44</v>
      </c>
      <c r="AW489">
        <v>11</v>
      </c>
      <c r="AX489" t="s">
        <v>74</v>
      </c>
      <c r="AY489" t="s">
        <v>74</v>
      </c>
      <c r="AZ489" t="s">
        <v>74</v>
      </c>
      <c r="BA489" t="s">
        <v>74</v>
      </c>
      <c r="BB489">
        <v>746</v>
      </c>
      <c r="BC489">
        <v>755</v>
      </c>
      <c r="BD489" t="s">
        <v>74</v>
      </c>
      <c r="BE489" t="s">
        <v>9858</v>
      </c>
      <c r="BF489" t="str">
        <f>HYPERLINK("http://dx.doi.org/10.3103/S1068373919110049","http://dx.doi.org/10.3103/S1068373919110049")</f>
        <v>http://dx.doi.org/10.3103/S1068373919110049</v>
      </c>
      <c r="BG489" t="s">
        <v>74</v>
      </c>
      <c r="BH489" t="s">
        <v>74</v>
      </c>
      <c r="BI489">
        <v>10</v>
      </c>
      <c r="BJ489" t="s">
        <v>1024</v>
      </c>
      <c r="BK489" t="s">
        <v>294</v>
      </c>
      <c r="BL489" t="s">
        <v>1024</v>
      </c>
      <c r="BM489" t="s">
        <v>9859</v>
      </c>
      <c r="BN489" t="s">
        <v>74</v>
      </c>
      <c r="BO489" t="s">
        <v>74</v>
      </c>
      <c r="BP489" t="s">
        <v>74</v>
      </c>
      <c r="BQ489" t="s">
        <v>74</v>
      </c>
      <c r="BR489" t="s">
        <v>108</v>
      </c>
      <c r="BS489" t="s">
        <v>9860</v>
      </c>
      <c r="BT489" t="str">
        <f>HYPERLINK("https%3A%2F%2Fwww.webofscience.com%2Fwos%2Fwoscc%2Ffull-record%2FWOS:000501073900004","View Full Record in Web of Science")</f>
        <v>View Full Record in Web of Science</v>
      </c>
    </row>
    <row r="490" spans="1:72" x14ac:dyDescent="0.15">
      <c r="A490" t="s">
        <v>133</v>
      </c>
      <c r="B490" t="s">
        <v>9861</v>
      </c>
      <c r="C490" t="s">
        <v>74</v>
      </c>
      <c r="D490" t="s">
        <v>74</v>
      </c>
      <c r="E490" t="s">
        <v>74</v>
      </c>
      <c r="F490" t="s">
        <v>9862</v>
      </c>
      <c r="G490" t="s">
        <v>74</v>
      </c>
      <c r="H490" t="s">
        <v>74</v>
      </c>
      <c r="I490" t="s">
        <v>9863</v>
      </c>
      <c r="J490" t="s">
        <v>9864</v>
      </c>
      <c r="K490" t="s">
        <v>74</v>
      </c>
      <c r="L490" t="s">
        <v>74</v>
      </c>
      <c r="M490" t="s">
        <v>80</v>
      </c>
      <c r="N490" t="s">
        <v>1996</v>
      </c>
      <c r="O490" t="s">
        <v>9865</v>
      </c>
      <c r="P490" t="s">
        <v>9866</v>
      </c>
      <c r="Q490" t="s">
        <v>9867</v>
      </c>
      <c r="R490" t="s">
        <v>74</v>
      </c>
      <c r="S490" t="s">
        <v>9868</v>
      </c>
      <c r="T490" t="s">
        <v>9869</v>
      </c>
      <c r="U490" t="s">
        <v>9870</v>
      </c>
      <c r="V490" t="s">
        <v>9871</v>
      </c>
      <c r="W490" t="s">
        <v>9872</v>
      </c>
      <c r="X490" t="s">
        <v>9873</v>
      </c>
      <c r="Y490" t="s">
        <v>9874</v>
      </c>
      <c r="Z490" t="s">
        <v>9875</v>
      </c>
      <c r="AA490" t="s">
        <v>9876</v>
      </c>
      <c r="AB490" t="s">
        <v>9877</v>
      </c>
      <c r="AC490" t="s">
        <v>9878</v>
      </c>
      <c r="AD490" t="s">
        <v>9879</v>
      </c>
      <c r="AE490" t="s">
        <v>9880</v>
      </c>
      <c r="AF490" t="s">
        <v>74</v>
      </c>
      <c r="AG490">
        <v>68</v>
      </c>
      <c r="AH490">
        <v>15</v>
      </c>
      <c r="AI490">
        <v>17</v>
      </c>
      <c r="AJ490">
        <v>2</v>
      </c>
      <c r="AK490">
        <v>17</v>
      </c>
      <c r="AL490" t="s">
        <v>9881</v>
      </c>
      <c r="AM490" t="s">
        <v>9882</v>
      </c>
      <c r="AN490" t="s">
        <v>9883</v>
      </c>
      <c r="AO490" t="s">
        <v>9884</v>
      </c>
      <c r="AP490" t="s">
        <v>9885</v>
      </c>
      <c r="AQ490" t="s">
        <v>74</v>
      </c>
      <c r="AR490" t="s">
        <v>9886</v>
      </c>
      <c r="AS490" t="s">
        <v>9887</v>
      </c>
      <c r="AT490" t="s">
        <v>3457</v>
      </c>
      <c r="AU490">
        <v>2019</v>
      </c>
      <c r="AV490">
        <v>125</v>
      </c>
      <c r="AW490">
        <v>3</v>
      </c>
      <c r="AX490" t="s">
        <v>74</v>
      </c>
      <c r="AY490" t="s">
        <v>74</v>
      </c>
      <c r="AZ490" t="s">
        <v>74</v>
      </c>
      <c r="BA490" t="s">
        <v>74</v>
      </c>
      <c r="BB490">
        <v>775</v>
      </c>
      <c r="BC490">
        <v>787</v>
      </c>
      <c r="BD490" t="s">
        <v>74</v>
      </c>
      <c r="BE490" t="s">
        <v>9888</v>
      </c>
      <c r="BF490" t="str">
        <f>HYPERLINK("http://dx.doi.org/10.13130/2039-4942/12226","http://dx.doi.org/10.13130/2039-4942/12226")</f>
        <v>http://dx.doi.org/10.13130/2039-4942/12226</v>
      </c>
      <c r="BG490" t="s">
        <v>74</v>
      </c>
      <c r="BH490" t="s">
        <v>74</v>
      </c>
      <c r="BI490">
        <v>13</v>
      </c>
      <c r="BJ490" t="s">
        <v>9889</v>
      </c>
      <c r="BK490" t="s">
        <v>2020</v>
      </c>
      <c r="BL490" t="s">
        <v>9889</v>
      </c>
      <c r="BM490" t="s">
        <v>9890</v>
      </c>
      <c r="BN490" t="s">
        <v>74</v>
      </c>
      <c r="BO490" t="s">
        <v>74</v>
      </c>
      <c r="BP490" t="s">
        <v>74</v>
      </c>
      <c r="BQ490" t="s">
        <v>74</v>
      </c>
      <c r="BR490" t="s">
        <v>108</v>
      </c>
      <c r="BS490" t="s">
        <v>9891</v>
      </c>
      <c r="BT490" t="str">
        <f>HYPERLINK("https%3A%2F%2Fwww.webofscience.com%2Fwos%2Fwoscc%2Ffull-record%2FWOS:000500719400015","View Full Record in Web of Science")</f>
        <v>View Full Record in Web of Science</v>
      </c>
    </row>
    <row r="491" spans="1:72" x14ac:dyDescent="0.15">
      <c r="A491" t="s">
        <v>133</v>
      </c>
      <c r="B491" t="s">
        <v>9892</v>
      </c>
      <c r="C491" t="s">
        <v>74</v>
      </c>
      <c r="D491" t="s">
        <v>74</v>
      </c>
      <c r="E491" t="s">
        <v>74</v>
      </c>
      <c r="F491" t="s">
        <v>9893</v>
      </c>
      <c r="G491" t="s">
        <v>74</v>
      </c>
      <c r="H491" t="s">
        <v>74</v>
      </c>
      <c r="I491" t="s">
        <v>9894</v>
      </c>
      <c r="J491" t="s">
        <v>9895</v>
      </c>
      <c r="K491" t="s">
        <v>74</v>
      </c>
      <c r="L491" t="s">
        <v>74</v>
      </c>
      <c r="M491" t="s">
        <v>80</v>
      </c>
      <c r="N491" t="s">
        <v>138</v>
      </c>
      <c r="O491" t="s">
        <v>74</v>
      </c>
      <c r="P491" t="s">
        <v>74</v>
      </c>
      <c r="Q491" t="s">
        <v>74</v>
      </c>
      <c r="R491" t="s">
        <v>74</v>
      </c>
      <c r="S491" t="s">
        <v>74</v>
      </c>
      <c r="T491" t="s">
        <v>9896</v>
      </c>
      <c r="U491" t="s">
        <v>9897</v>
      </c>
      <c r="V491" t="s">
        <v>9898</v>
      </c>
      <c r="W491" t="s">
        <v>9899</v>
      </c>
      <c r="X491" t="s">
        <v>9900</v>
      </c>
      <c r="Y491" t="s">
        <v>9901</v>
      </c>
      <c r="Z491" t="s">
        <v>9902</v>
      </c>
      <c r="AA491" t="s">
        <v>9903</v>
      </c>
      <c r="AB491" t="s">
        <v>9904</v>
      </c>
      <c r="AC491" t="s">
        <v>9905</v>
      </c>
      <c r="AD491" t="s">
        <v>9906</v>
      </c>
      <c r="AE491" t="s">
        <v>9907</v>
      </c>
      <c r="AF491" t="s">
        <v>74</v>
      </c>
      <c r="AG491">
        <v>27</v>
      </c>
      <c r="AH491">
        <v>2</v>
      </c>
      <c r="AI491">
        <v>3</v>
      </c>
      <c r="AJ491">
        <v>0</v>
      </c>
      <c r="AK491">
        <v>5</v>
      </c>
      <c r="AL491" t="s">
        <v>379</v>
      </c>
      <c r="AM491" t="s">
        <v>380</v>
      </c>
      <c r="AN491" t="s">
        <v>381</v>
      </c>
      <c r="AO491" t="s">
        <v>9908</v>
      </c>
      <c r="AP491" t="s">
        <v>9909</v>
      </c>
      <c r="AQ491" t="s">
        <v>74</v>
      </c>
      <c r="AR491" t="s">
        <v>9910</v>
      </c>
      <c r="AS491" t="s">
        <v>9911</v>
      </c>
      <c r="AT491" t="s">
        <v>3457</v>
      </c>
      <c r="AU491">
        <v>2019</v>
      </c>
      <c r="AV491">
        <v>238</v>
      </c>
      <c r="AW491" t="s">
        <v>74</v>
      </c>
      <c r="AX491" t="s">
        <v>74</v>
      </c>
      <c r="AY491" t="s">
        <v>74</v>
      </c>
      <c r="AZ491" t="s">
        <v>555</v>
      </c>
      <c r="BA491" t="s">
        <v>74</v>
      </c>
      <c r="BB491" t="s">
        <v>74</v>
      </c>
      <c r="BC491" t="s">
        <v>74</v>
      </c>
      <c r="BD491">
        <v>106547</v>
      </c>
      <c r="BE491" t="s">
        <v>9912</v>
      </c>
      <c r="BF491" t="str">
        <f>HYPERLINK("http://dx.doi.org/10.1016/j.jqsrt.2019.06.026","http://dx.doi.org/10.1016/j.jqsrt.2019.06.026")</f>
        <v>http://dx.doi.org/10.1016/j.jqsrt.2019.06.026</v>
      </c>
      <c r="BG491" t="s">
        <v>74</v>
      </c>
      <c r="BH491" t="s">
        <v>74</v>
      </c>
      <c r="BI491">
        <v>10</v>
      </c>
      <c r="BJ491" t="s">
        <v>9913</v>
      </c>
      <c r="BK491" t="s">
        <v>294</v>
      </c>
      <c r="BL491" t="s">
        <v>9913</v>
      </c>
      <c r="BM491" t="s">
        <v>9914</v>
      </c>
      <c r="BN491" t="s">
        <v>74</v>
      </c>
      <c r="BO491" t="s">
        <v>666</v>
      </c>
      <c r="BP491" t="s">
        <v>74</v>
      </c>
      <c r="BQ491" t="s">
        <v>74</v>
      </c>
      <c r="BR491" t="s">
        <v>108</v>
      </c>
      <c r="BS491" t="s">
        <v>9915</v>
      </c>
      <c r="BT491" t="str">
        <f>HYPERLINK("https%3A%2F%2Fwww.webofscience.com%2Fwos%2Fwoscc%2Ffull-record%2FWOS:000499767800007","View Full Record in Web of Science")</f>
        <v>View Full Record in Web of Science</v>
      </c>
    </row>
    <row r="492" spans="1:72" x14ac:dyDescent="0.15">
      <c r="A492" t="s">
        <v>133</v>
      </c>
      <c r="B492" t="s">
        <v>9916</v>
      </c>
      <c r="C492" t="s">
        <v>74</v>
      </c>
      <c r="D492" t="s">
        <v>74</v>
      </c>
      <c r="E492" t="s">
        <v>74</v>
      </c>
      <c r="F492" t="s">
        <v>9917</v>
      </c>
      <c r="G492" t="s">
        <v>74</v>
      </c>
      <c r="H492" t="s">
        <v>74</v>
      </c>
      <c r="I492" t="s">
        <v>9918</v>
      </c>
      <c r="J492" t="s">
        <v>9919</v>
      </c>
      <c r="K492" t="s">
        <v>74</v>
      </c>
      <c r="L492" t="s">
        <v>74</v>
      </c>
      <c r="M492" t="s">
        <v>80</v>
      </c>
      <c r="N492" t="s">
        <v>930</v>
      </c>
      <c r="O492" t="s">
        <v>74</v>
      </c>
      <c r="P492" t="s">
        <v>74</v>
      </c>
      <c r="Q492" t="s">
        <v>74</v>
      </c>
      <c r="R492" t="s">
        <v>74</v>
      </c>
      <c r="S492" t="s">
        <v>74</v>
      </c>
      <c r="T492" t="s">
        <v>9920</v>
      </c>
      <c r="U492" t="s">
        <v>9921</v>
      </c>
      <c r="V492" t="s">
        <v>9922</v>
      </c>
      <c r="W492" t="s">
        <v>9923</v>
      </c>
      <c r="X492" t="s">
        <v>9924</v>
      </c>
      <c r="Y492" t="s">
        <v>9925</v>
      </c>
      <c r="Z492" t="s">
        <v>9926</v>
      </c>
      <c r="AA492" t="s">
        <v>9927</v>
      </c>
      <c r="AB492" t="s">
        <v>9928</v>
      </c>
      <c r="AC492" t="s">
        <v>9929</v>
      </c>
      <c r="AD492" t="s">
        <v>9930</v>
      </c>
      <c r="AE492" t="s">
        <v>9931</v>
      </c>
      <c r="AF492" t="s">
        <v>74</v>
      </c>
      <c r="AG492">
        <v>115</v>
      </c>
      <c r="AH492">
        <v>17</v>
      </c>
      <c r="AI492">
        <v>19</v>
      </c>
      <c r="AJ492">
        <v>0</v>
      </c>
      <c r="AK492">
        <v>13</v>
      </c>
      <c r="AL492" t="s">
        <v>284</v>
      </c>
      <c r="AM492" t="s">
        <v>285</v>
      </c>
      <c r="AN492" t="s">
        <v>286</v>
      </c>
      <c r="AO492" t="s">
        <v>9932</v>
      </c>
      <c r="AP492" t="s">
        <v>9933</v>
      </c>
      <c r="AQ492" t="s">
        <v>74</v>
      </c>
      <c r="AR492" t="s">
        <v>9934</v>
      </c>
      <c r="AS492" t="s">
        <v>9935</v>
      </c>
      <c r="AT492" t="s">
        <v>3457</v>
      </c>
      <c r="AU492">
        <v>2019</v>
      </c>
      <c r="AV492">
        <v>198</v>
      </c>
      <c r="AW492" t="s">
        <v>74</v>
      </c>
      <c r="AX492" t="s">
        <v>74</v>
      </c>
      <c r="AY492" t="s">
        <v>74</v>
      </c>
      <c r="AZ492" t="s">
        <v>74</v>
      </c>
      <c r="BA492" t="s">
        <v>74</v>
      </c>
      <c r="BB492" t="s">
        <v>74</v>
      </c>
      <c r="BC492" t="s">
        <v>74</v>
      </c>
      <c r="BD492">
        <v>102922</v>
      </c>
      <c r="BE492" t="s">
        <v>9936</v>
      </c>
      <c r="BF492" t="str">
        <f>HYPERLINK("http://dx.doi.org/10.1016/j.earscirev.2019.102922","http://dx.doi.org/10.1016/j.earscirev.2019.102922")</f>
        <v>http://dx.doi.org/10.1016/j.earscirev.2019.102922</v>
      </c>
      <c r="BG492" t="s">
        <v>74</v>
      </c>
      <c r="BH492" t="s">
        <v>74</v>
      </c>
      <c r="BI492">
        <v>18</v>
      </c>
      <c r="BJ492" t="s">
        <v>849</v>
      </c>
      <c r="BK492" t="s">
        <v>294</v>
      </c>
      <c r="BL492" t="s">
        <v>850</v>
      </c>
      <c r="BM492" t="s">
        <v>9937</v>
      </c>
      <c r="BN492" t="s">
        <v>74</v>
      </c>
      <c r="BO492" t="s">
        <v>74</v>
      </c>
      <c r="BP492" t="s">
        <v>74</v>
      </c>
      <c r="BQ492" t="s">
        <v>74</v>
      </c>
      <c r="BR492" t="s">
        <v>108</v>
      </c>
      <c r="BS492" t="s">
        <v>9938</v>
      </c>
      <c r="BT492" t="str">
        <f>HYPERLINK("https%3A%2F%2Fwww.webofscience.com%2Fwos%2Fwoscc%2Ffull-record%2FWOS:000498752600005","View Full Record in Web of Science")</f>
        <v>View Full Record in Web of Science</v>
      </c>
    </row>
    <row r="493" spans="1:72" x14ac:dyDescent="0.15">
      <c r="A493" t="s">
        <v>133</v>
      </c>
      <c r="B493" t="s">
        <v>9939</v>
      </c>
      <c r="C493" t="s">
        <v>74</v>
      </c>
      <c r="D493" t="s">
        <v>74</v>
      </c>
      <c r="E493" t="s">
        <v>74</v>
      </c>
      <c r="F493" t="s">
        <v>9940</v>
      </c>
      <c r="G493" t="s">
        <v>74</v>
      </c>
      <c r="H493" t="s">
        <v>74</v>
      </c>
      <c r="I493" t="s">
        <v>9941</v>
      </c>
      <c r="J493" t="s">
        <v>3755</v>
      </c>
      <c r="K493" t="s">
        <v>74</v>
      </c>
      <c r="L493" t="s">
        <v>74</v>
      </c>
      <c r="M493" t="s">
        <v>80</v>
      </c>
      <c r="N493" t="s">
        <v>138</v>
      </c>
      <c r="O493" t="s">
        <v>74</v>
      </c>
      <c r="P493" t="s">
        <v>74</v>
      </c>
      <c r="Q493" t="s">
        <v>74</v>
      </c>
      <c r="R493" t="s">
        <v>74</v>
      </c>
      <c r="S493" t="s">
        <v>74</v>
      </c>
      <c r="T493" t="s">
        <v>9942</v>
      </c>
      <c r="U493" t="s">
        <v>9943</v>
      </c>
      <c r="V493" t="s">
        <v>9944</v>
      </c>
      <c r="W493" t="s">
        <v>9945</v>
      </c>
      <c r="X493" t="s">
        <v>9946</v>
      </c>
      <c r="Y493" t="s">
        <v>9947</v>
      </c>
      <c r="Z493" t="s">
        <v>9948</v>
      </c>
      <c r="AA493" t="s">
        <v>9949</v>
      </c>
      <c r="AB493" t="s">
        <v>9950</v>
      </c>
      <c r="AC493" t="s">
        <v>9951</v>
      </c>
      <c r="AD493" t="s">
        <v>9952</v>
      </c>
      <c r="AE493" t="s">
        <v>9953</v>
      </c>
      <c r="AF493" t="s">
        <v>74</v>
      </c>
      <c r="AG493">
        <v>71</v>
      </c>
      <c r="AH493">
        <v>24</v>
      </c>
      <c r="AI493">
        <v>26</v>
      </c>
      <c r="AJ493">
        <v>3</v>
      </c>
      <c r="AK493">
        <v>13</v>
      </c>
      <c r="AL493" t="s">
        <v>96</v>
      </c>
      <c r="AM493" t="s">
        <v>97</v>
      </c>
      <c r="AN493" t="s">
        <v>3769</v>
      </c>
      <c r="AO493" t="s">
        <v>3770</v>
      </c>
      <c r="AP493" t="s">
        <v>74</v>
      </c>
      <c r="AQ493" t="s">
        <v>74</v>
      </c>
      <c r="AR493" t="s">
        <v>3771</v>
      </c>
      <c r="AS493" t="s">
        <v>3772</v>
      </c>
      <c r="AT493" t="s">
        <v>3457</v>
      </c>
      <c r="AU493">
        <v>2019</v>
      </c>
      <c r="AV493">
        <v>14</v>
      </c>
      <c r="AW493">
        <v>11</v>
      </c>
      <c r="AX493" t="s">
        <v>74</v>
      </c>
      <c r="AY493" t="s">
        <v>74</v>
      </c>
      <c r="AZ493" t="s">
        <v>74</v>
      </c>
      <c r="BA493" t="s">
        <v>74</v>
      </c>
      <c r="BB493" t="s">
        <v>74</v>
      </c>
      <c r="BC493" t="s">
        <v>74</v>
      </c>
      <c r="BD493">
        <v>114026</v>
      </c>
      <c r="BE493" t="s">
        <v>9954</v>
      </c>
      <c r="BF493" t="str">
        <f>HYPERLINK("http://dx.doi.org/10.1088/1748-9326/ab4de7","http://dx.doi.org/10.1088/1748-9326/ab4de7")</f>
        <v>http://dx.doi.org/10.1088/1748-9326/ab4de7</v>
      </c>
      <c r="BG493" t="s">
        <v>74</v>
      </c>
      <c r="BH493" t="s">
        <v>74</v>
      </c>
      <c r="BI493">
        <v>8</v>
      </c>
      <c r="BJ493" t="s">
        <v>103</v>
      </c>
      <c r="BK493" t="s">
        <v>294</v>
      </c>
      <c r="BL493" t="s">
        <v>105</v>
      </c>
      <c r="BM493" t="s">
        <v>9955</v>
      </c>
      <c r="BN493" t="s">
        <v>74</v>
      </c>
      <c r="BO493" t="s">
        <v>107</v>
      </c>
      <c r="BP493" t="s">
        <v>74</v>
      </c>
      <c r="BQ493" t="s">
        <v>74</v>
      </c>
      <c r="BR493" t="s">
        <v>108</v>
      </c>
      <c r="BS493" t="s">
        <v>9956</v>
      </c>
      <c r="BT493" t="str">
        <f>HYPERLINK("https%3A%2F%2Fwww.webofscience.com%2Fwos%2Fwoscc%2Ffull-record%2FWOS:000499960600001","View Full Record in Web of Science")</f>
        <v>View Full Record in Web of Science</v>
      </c>
    </row>
    <row r="494" spans="1:72" x14ac:dyDescent="0.15">
      <c r="A494" t="s">
        <v>133</v>
      </c>
      <c r="B494" t="s">
        <v>9957</v>
      </c>
      <c r="C494" t="s">
        <v>74</v>
      </c>
      <c r="D494" t="s">
        <v>74</v>
      </c>
      <c r="E494" t="s">
        <v>74</v>
      </c>
      <c r="F494" t="s">
        <v>9958</v>
      </c>
      <c r="G494" t="s">
        <v>74</v>
      </c>
      <c r="H494" t="s">
        <v>74</v>
      </c>
      <c r="I494" t="s">
        <v>9959</v>
      </c>
      <c r="J494" t="s">
        <v>5864</v>
      </c>
      <c r="K494" t="s">
        <v>74</v>
      </c>
      <c r="L494" t="s">
        <v>74</v>
      </c>
      <c r="M494" t="s">
        <v>80</v>
      </c>
      <c r="N494" t="s">
        <v>138</v>
      </c>
      <c r="O494" t="s">
        <v>74</v>
      </c>
      <c r="P494" t="s">
        <v>74</v>
      </c>
      <c r="Q494" t="s">
        <v>74</v>
      </c>
      <c r="R494" t="s">
        <v>74</v>
      </c>
      <c r="S494" t="s">
        <v>74</v>
      </c>
      <c r="T494" t="s">
        <v>74</v>
      </c>
      <c r="U494" t="s">
        <v>9960</v>
      </c>
      <c r="V494" t="s">
        <v>9961</v>
      </c>
      <c r="W494" t="s">
        <v>9962</v>
      </c>
      <c r="X494" t="s">
        <v>9963</v>
      </c>
      <c r="Y494" t="s">
        <v>9964</v>
      </c>
      <c r="Z494" t="s">
        <v>9965</v>
      </c>
      <c r="AA494" t="s">
        <v>9966</v>
      </c>
      <c r="AB494" t="s">
        <v>9967</v>
      </c>
      <c r="AC494" t="s">
        <v>9968</v>
      </c>
      <c r="AD494" t="s">
        <v>9969</v>
      </c>
      <c r="AE494" t="s">
        <v>9970</v>
      </c>
      <c r="AF494" t="s">
        <v>74</v>
      </c>
      <c r="AG494">
        <v>43</v>
      </c>
      <c r="AH494">
        <v>47</v>
      </c>
      <c r="AI494">
        <v>52</v>
      </c>
      <c r="AJ494">
        <v>3</v>
      </c>
      <c r="AK494">
        <v>30</v>
      </c>
      <c r="AL494" t="s">
        <v>1892</v>
      </c>
      <c r="AM494" t="s">
        <v>1265</v>
      </c>
      <c r="AN494" t="s">
        <v>1893</v>
      </c>
      <c r="AO494" t="s">
        <v>5876</v>
      </c>
      <c r="AP494" t="s">
        <v>74</v>
      </c>
      <c r="AQ494" t="s">
        <v>74</v>
      </c>
      <c r="AR494" t="s">
        <v>5877</v>
      </c>
      <c r="AS494" t="s">
        <v>5878</v>
      </c>
      <c r="AT494" t="s">
        <v>3457</v>
      </c>
      <c r="AU494">
        <v>2019</v>
      </c>
      <c r="AV494">
        <v>5</v>
      </c>
      <c r="AW494">
        <v>11</v>
      </c>
      <c r="AX494" t="s">
        <v>74</v>
      </c>
      <c r="AY494" t="s">
        <v>74</v>
      </c>
      <c r="AZ494" t="s">
        <v>74</v>
      </c>
      <c r="BA494" t="s">
        <v>74</v>
      </c>
      <c r="BB494" t="s">
        <v>74</v>
      </c>
      <c r="BC494" t="s">
        <v>74</v>
      </c>
      <c r="BD494" t="s">
        <v>9971</v>
      </c>
      <c r="BE494" t="s">
        <v>9972</v>
      </c>
      <c r="BF494" t="str">
        <f>HYPERLINK("http://dx.doi.org/10.1126/sciadv.aax7047","http://dx.doi.org/10.1126/sciadv.aax7047")</f>
        <v>http://dx.doi.org/10.1126/sciadv.aax7047</v>
      </c>
      <c r="BG494" t="s">
        <v>74</v>
      </c>
      <c r="BH494" t="s">
        <v>74</v>
      </c>
      <c r="BI494">
        <v>11</v>
      </c>
      <c r="BJ494" t="s">
        <v>1245</v>
      </c>
      <c r="BK494" t="s">
        <v>294</v>
      </c>
      <c r="BL494" t="s">
        <v>1246</v>
      </c>
      <c r="BM494" t="s">
        <v>9973</v>
      </c>
      <c r="BN494">
        <v>31799394</v>
      </c>
      <c r="BO494" t="s">
        <v>1354</v>
      </c>
      <c r="BP494" t="s">
        <v>74</v>
      </c>
      <c r="BQ494" t="s">
        <v>74</v>
      </c>
      <c r="BR494" t="s">
        <v>108</v>
      </c>
      <c r="BS494" t="s">
        <v>9974</v>
      </c>
      <c r="BT494" t="str">
        <f>HYPERLINK("https%3A%2F%2Fwww.webofscience.com%2Fwos%2Fwoscc%2Ffull-record%2FWOS:000499736100061","View Full Record in Web of Science")</f>
        <v>View Full Record in Web of Science</v>
      </c>
    </row>
    <row r="495" spans="1:72" x14ac:dyDescent="0.15">
      <c r="A495" t="s">
        <v>133</v>
      </c>
      <c r="B495" t="s">
        <v>9975</v>
      </c>
      <c r="C495" t="s">
        <v>74</v>
      </c>
      <c r="D495" t="s">
        <v>74</v>
      </c>
      <c r="E495" t="s">
        <v>74</v>
      </c>
      <c r="F495" t="s">
        <v>9976</v>
      </c>
      <c r="G495" t="s">
        <v>74</v>
      </c>
      <c r="H495" t="s">
        <v>74</v>
      </c>
      <c r="I495" t="s">
        <v>9977</v>
      </c>
      <c r="J495" t="s">
        <v>9978</v>
      </c>
      <c r="K495" t="s">
        <v>74</v>
      </c>
      <c r="L495" t="s">
        <v>74</v>
      </c>
      <c r="M495" t="s">
        <v>80</v>
      </c>
      <c r="N495" t="s">
        <v>138</v>
      </c>
      <c r="O495" t="s">
        <v>74</v>
      </c>
      <c r="P495" t="s">
        <v>74</v>
      </c>
      <c r="Q495" t="s">
        <v>74</v>
      </c>
      <c r="R495" t="s">
        <v>74</v>
      </c>
      <c r="S495" t="s">
        <v>74</v>
      </c>
      <c r="T495" t="s">
        <v>9979</v>
      </c>
      <c r="U495" t="s">
        <v>9980</v>
      </c>
      <c r="V495" t="s">
        <v>9981</v>
      </c>
      <c r="W495" t="s">
        <v>9982</v>
      </c>
      <c r="X495" t="s">
        <v>9983</v>
      </c>
      <c r="Y495" t="s">
        <v>9984</v>
      </c>
      <c r="Z495" t="s">
        <v>9985</v>
      </c>
      <c r="AA495" t="s">
        <v>9986</v>
      </c>
      <c r="AB495" t="s">
        <v>9987</v>
      </c>
      <c r="AC495" t="s">
        <v>74</v>
      </c>
      <c r="AD495" t="s">
        <v>74</v>
      </c>
      <c r="AE495" t="s">
        <v>74</v>
      </c>
      <c r="AF495" t="s">
        <v>74</v>
      </c>
      <c r="AG495">
        <v>43</v>
      </c>
      <c r="AH495">
        <v>3</v>
      </c>
      <c r="AI495">
        <v>3</v>
      </c>
      <c r="AJ495">
        <v>1</v>
      </c>
      <c r="AK495">
        <v>7</v>
      </c>
      <c r="AL495" t="s">
        <v>429</v>
      </c>
      <c r="AM495" t="s">
        <v>430</v>
      </c>
      <c r="AN495" t="s">
        <v>431</v>
      </c>
      <c r="AO495" t="s">
        <v>9988</v>
      </c>
      <c r="AP495" t="s">
        <v>9989</v>
      </c>
      <c r="AQ495" t="s">
        <v>74</v>
      </c>
      <c r="AR495" t="s">
        <v>9990</v>
      </c>
      <c r="AS495" t="s">
        <v>9991</v>
      </c>
      <c r="AT495" t="s">
        <v>3457</v>
      </c>
      <c r="AU495">
        <v>2019</v>
      </c>
      <c r="AV495">
        <v>28</v>
      </c>
      <c r="AW495">
        <v>6</v>
      </c>
      <c r="AX495" t="s">
        <v>74</v>
      </c>
      <c r="AY495" t="s">
        <v>74</v>
      </c>
      <c r="AZ495" t="s">
        <v>74</v>
      </c>
      <c r="BA495" t="s">
        <v>74</v>
      </c>
      <c r="BB495" t="s">
        <v>74</v>
      </c>
      <c r="BC495" t="s">
        <v>74</v>
      </c>
      <c r="BD495" t="s">
        <v>9992</v>
      </c>
      <c r="BE495" t="s">
        <v>9993</v>
      </c>
      <c r="BF495" t="str">
        <f>HYPERLINK("http://dx.doi.org/10.1111/iar.12326","http://dx.doi.org/10.1111/iar.12326")</f>
        <v>http://dx.doi.org/10.1111/iar.12326</v>
      </c>
      <c r="BG495" t="s">
        <v>74</v>
      </c>
      <c r="BH495" t="s">
        <v>74</v>
      </c>
      <c r="BI495">
        <v>17</v>
      </c>
      <c r="BJ495" t="s">
        <v>849</v>
      </c>
      <c r="BK495" t="s">
        <v>294</v>
      </c>
      <c r="BL495" t="s">
        <v>850</v>
      </c>
      <c r="BM495" t="s">
        <v>9994</v>
      </c>
      <c r="BN495" t="s">
        <v>74</v>
      </c>
      <c r="BO495" t="s">
        <v>74</v>
      </c>
      <c r="BP495" t="s">
        <v>74</v>
      </c>
      <c r="BQ495" t="s">
        <v>74</v>
      </c>
      <c r="BR495" t="s">
        <v>108</v>
      </c>
      <c r="BS495" t="s">
        <v>9995</v>
      </c>
      <c r="BT495" t="str">
        <f>HYPERLINK("https%3A%2F%2Fwww.webofscience.com%2Fwos%2Fwoscc%2Ffull-record%2FWOS:000497680800003","View Full Record in Web of Science")</f>
        <v>View Full Record in Web of Science</v>
      </c>
    </row>
    <row r="496" spans="1:72" x14ac:dyDescent="0.15">
      <c r="A496" t="s">
        <v>133</v>
      </c>
      <c r="B496" t="s">
        <v>9996</v>
      </c>
      <c r="C496" t="s">
        <v>74</v>
      </c>
      <c r="D496" t="s">
        <v>74</v>
      </c>
      <c r="E496" t="s">
        <v>74</v>
      </c>
      <c r="F496" t="s">
        <v>9997</v>
      </c>
      <c r="G496" t="s">
        <v>74</v>
      </c>
      <c r="H496" t="s">
        <v>74</v>
      </c>
      <c r="I496" t="s">
        <v>9998</v>
      </c>
      <c r="J496" t="s">
        <v>698</v>
      </c>
      <c r="K496" t="s">
        <v>74</v>
      </c>
      <c r="L496" t="s">
        <v>74</v>
      </c>
      <c r="M496" t="s">
        <v>80</v>
      </c>
      <c r="N496" t="s">
        <v>138</v>
      </c>
      <c r="O496" t="s">
        <v>74</v>
      </c>
      <c r="P496" t="s">
        <v>74</v>
      </c>
      <c r="Q496" t="s">
        <v>74</v>
      </c>
      <c r="R496" t="s">
        <v>74</v>
      </c>
      <c r="S496" t="s">
        <v>74</v>
      </c>
      <c r="T496" t="s">
        <v>9999</v>
      </c>
      <c r="U496" t="s">
        <v>10000</v>
      </c>
      <c r="V496" t="s">
        <v>10001</v>
      </c>
      <c r="W496" t="s">
        <v>10002</v>
      </c>
      <c r="X496" t="s">
        <v>10003</v>
      </c>
      <c r="Y496" t="s">
        <v>10004</v>
      </c>
      <c r="Z496" t="s">
        <v>10005</v>
      </c>
      <c r="AA496" t="s">
        <v>74</v>
      </c>
      <c r="AB496" t="s">
        <v>10006</v>
      </c>
      <c r="AC496" t="s">
        <v>10007</v>
      </c>
      <c r="AD496" t="s">
        <v>10008</v>
      </c>
      <c r="AE496" t="s">
        <v>10009</v>
      </c>
      <c r="AF496" t="s">
        <v>74</v>
      </c>
      <c r="AG496">
        <v>50</v>
      </c>
      <c r="AH496">
        <v>12</v>
      </c>
      <c r="AI496">
        <v>12</v>
      </c>
      <c r="AJ496">
        <v>5</v>
      </c>
      <c r="AK496">
        <v>45</v>
      </c>
      <c r="AL496" t="s">
        <v>709</v>
      </c>
      <c r="AM496" t="s">
        <v>380</v>
      </c>
      <c r="AN496" t="s">
        <v>710</v>
      </c>
      <c r="AO496" t="s">
        <v>711</v>
      </c>
      <c r="AP496" t="s">
        <v>712</v>
      </c>
      <c r="AQ496" t="s">
        <v>74</v>
      </c>
      <c r="AR496" t="s">
        <v>713</v>
      </c>
      <c r="AS496" t="s">
        <v>714</v>
      </c>
      <c r="AT496" t="s">
        <v>3457</v>
      </c>
      <c r="AU496">
        <v>2019</v>
      </c>
      <c r="AV496">
        <v>109</v>
      </c>
      <c r="AW496" t="s">
        <v>74</v>
      </c>
      <c r="AX496" t="s">
        <v>74</v>
      </c>
      <c r="AY496" t="s">
        <v>74</v>
      </c>
      <c r="AZ496" t="s">
        <v>74</v>
      </c>
      <c r="BA496" t="s">
        <v>74</v>
      </c>
      <c r="BB496" t="s">
        <v>74</v>
      </c>
      <c r="BC496" t="s">
        <v>74</v>
      </c>
      <c r="BD496">
        <v>103692</v>
      </c>
      <c r="BE496" t="s">
        <v>10010</v>
      </c>
      <c r="BF496" t="str">
        <f>HYPERLINK("http://dx.doi.org/10.1016/j.marpol.2019.103692","http://dx.doi.org/10.1016/j.marpol.2019.103692")</f>
        <v>http://dx.doi.org/10.1016/j.marpol.2019.103692</v>
      </c>
      <c r="BG496" t="s">
        <v>74</v>
      </c>
      <c r="BH496" t="s">
        <v>74</v>
      </c>
      <c r="BI496">
        <v>7</v>
      </c>
      <c r="BJ496" t="s">
        <v>716</v>
      </c>
      <c r="BK496" t="s">
        <v>717</v>
      </c>
      <c r="BL496" t="s">
        <v>718</v>
      </c>
      <c r="BM496" t="s">
        <v>10011</v>
      </c>
      <c r="BN496" t="s">
        <v>74</v>
      </c>
      <c r="BO496" t="s">
        <v>666</v>
      </c>
      <c r="BP496" t="s">
        <v>74</v>
      </c>
      <c r="BQ496" t="s">
        <v>74</v>
      </c>
      <c r="BR496" t="s">
        <v>108</v>
      </c>
      <c r="BS496" t="s">
        <v>10012</v>
      </c>
      <c r="BT496" t="str">
        <f>HYPERLINK("https%3A%2F%2Fwww.webofscience.com%2Fwos%2Fwoscc%2Ffull-record%2FWOS:000497592800014","View Full Record in Web of Science")</f>
        <v>View Full Record in Web of Science</v>
      </c>
    </row>
    <row r="497" spans="1:72" x14ac:dyDescent="0.15">
      <c r="A497" t="s">
        <v>133</v>
      </c>
      <c r="B497" t="s">
        <v>10013</v>
      </c>
      <c r="C497" t="s">
        <v>74</v>
      </c>
      <c r="D497" t="s">
        <v>74</v>
      </c>
      <c r="E497" t="s">
        <v>74</v>
      </c>
      <c r="F497" t="s">
        <v>10014</v>
      </c>
      <c r="G497" t="s">
        <v>74</v>
      </c>
      <c r="H497" t="s">
        <v>74</v>
      </c>
      <c r="I497" t="s">
        <v>10015</v>
      </c>
      <c r="J497" t="s">
        <v>4669</v>
      </c>
      <c r="K497" t="s">
        <v>74</v>
      </c>
      <c r="L497" t="s">
        <v>74</v>
      </c>
      <c r="M497" t="s">
        <v>80</v>
      </c>
      <c r="N497" t="s">
        <v>138</v>
      </c>
      <c r="O497" t="s">
        <v>74</v>
      </c>
      <c r="P497" t="s">
        <v>74</v>
      </c>
      <c r="Q497" t="s">
        <v>74</v>
      </c>
      <c r="R497" t="s">
        <v>74</v>
      </c>
      <c r="S497" t="s">
        <v>74</v>
      </c>
      <c r="T497" t="s">
        <v>10016</v>
      </c>
      <c r="U497" t="s">
        <v>10017</v>
      </c>
      <c r="V497" t="s">
        <v>10018</v>
      </c>
      <c r="W497" t="s">
        <v>10019</v>
      </c>
      <c r="X497" t="s">
        <v>10020</v>
      </c>
      <c r="Y497" t="s">
        <v>10021</v>
      </c>
      <c r="Z497" t="s">
        <v>10022</v>
      </c>
      <c r="AA497" t="s">
        <v>10023</v>
      </c>
      <c r="AB497" t="s">
        <v>10024</v>
      </c>
      <c r="AC497" t="s">
        <v>10025</v>
      </c>
      <c r="AD497" t="s">
        <v>10026</v>
      </c>
      <c r="AE497" t="s">
        <v>10027</v>
      </c>
      <c r="AF497" t="s">
        <v>74</v>
      </c>
      <c r="AG497">
        <v>48</v>
      </c>
      <c r="AH497">
        <v>12</v>
      </c>
      <c r="AI497">
        <v>12</v>
      </c>
      <c r="AJ497">
        <v>1</v>
      </c>
      <c r="AK497">
        <v>49</v>
      </c>
      <c r="AL497" t="s">
        <v>4680</v>
      </c>
      <c r="AM497" t="s">
        <v>1730</v>
      </c>
      <c r="AN497" t="s">
        <v>4681</v>
      </c>
      <c r="AO497" t="s">
        <v>4682</v>
      </c>
      <c r="AP497" t="s">
        <v>74</v>
      </c>
      <c r="AQ497" t="s">
        <v>74</v>
      </c>
      <c r="AR497" t="s">
        <v>4684</v>
      </c>
      <c r="AS497" t="s">
        <v>4685</v>
      </c>
      <c r="AT497" t="s">
        <v>3457</v>
      </c>
      <c r="AU497">
        <v>2019</v>
      </c>
      <c r="AV497">
        <v>136</v>
      </c>
      <c r="AW497" t="s">
        <v>74</v>
      </c>
      <c r="AX497" t="s">
        <v>74</v>
      </c>
      <c r="AY497" t="s">
        <v>74</v>
      </c>
      <c r="AZ497" t="s">
        <v>74</v>
      </c>
      <c r="BA497" t="s">
        <v>74</v>
      </c>
      <c r="BB497" t="s">
        <v>74</v>
      </c>
      <c r="BC497" t="s">
        <v>74</v>
      </c>
      <c r="BD497">
        <v>103665</v>
      </c>
      <c r="BE497" t="s">
        <v>10028</v>
      </c>
      <c r="BF497" t="str">
        <f>HYPERLINK("http://dx.doi.org/10.1016/j.micpath.2019.103665","http://dx.doi.org/10.1016/j.micpath.2019.103665")</f>
        <v>http://dx.doi.org/10.1016/j.micpath.2019.103665</v>
      </c>
      <c r="BG497" t="s">
        <v>74</v>
      </c>
      <c r="BH497" t="s">
        <v>74</v>
      </c>
      <c r="BI497">
        <v>7</v>
      </c>
      <c r="BJ497" t="s">
        <v>4687</v>
      </c>
      <c r="BK497" t="s">
        <v>294</v>
      </c>
      <c r="BL497" t="s">
        <v>4687</v>
      </c>
      <c r="BM497" t="s">
        <v>10029</v>
      </c>
      <c r="BN497">
        <v>31404630</v>
      </c>
      <c r="BO497" t="s">
        <v>74</v>
      </c>
      <c r="BP497" t="s">
        <v>74</v>
      </c>
      <c r="BQ497" t="s">
        <v>74</v>
      </c>
      <c r="BR497" t="s">
        <v>108</v>
      </c>
      <c r="BS497" t="s">
        <v>10030</v>
      </c>
      <c r="BT497" t="str">
        <f>HYPERLINK("https%3A%2F%2Fwww.webofscience.com%2Fwos%2Fwoscc%2Ffull-record%2FWOS:000498333600012","View Full Record in Web of Science")</f>
        <v>View Full Record in Web of Science</v>
      </c>
    </row>
    <row r="498" spans="1:72" x14ac:dyDescent="0.15">
      <c r="A498" t="s">
        <v>133</v>
      </c>
      <c r="B498" t="s">
        <v>10031</v>
      </c>
      <c r="C498" t="s">
        <v>74</v>
      </c>
      <c r="D498" t="s">
        <v>74</v>
      </c>
      <c r="E498" t="s">
        <v>74</v>
      </c>
      <c r="F498" t="s">
        <v>10032</v>
      </c>
      <c r="G498" t="s">
        <v>74</v>
      </c>
      <c r="H498" t="s">
        <v>74</v>
      </c>
      <c r="I498" t="s">
        <v>10033</v>
      </c>
      <c r="J498" t="s">
        <v>10034</v>
      </c>
      <c r="K498" t="s">
        <v>74</v>
      </c>
      <c r="L498" t="s">
        <v>74</v>
      </c>
      <c r="M498" t="s">
        <v>80</v>
      </c>
      <c r="N498" t="s">
        <v>138</v>
      </c>
      <c r="O498" t="s">
        <v>74</v>
      </c>
      <c r="P498" t="s">
        <v>74</v>
      </c>
      <c r="Q498" t="s">
        <v>74</v>
      </c>
      <c r="R498" t="s">
        <v>74</v>
      </c>
      <c r="S498" t="s">
        <v>74</v>
      </c>
      <c r="T498" t="s">
        <v>10035</v>
      </c>
      <c r="U498" t="s">
        <v>10036</v>
      </c>
      <c r="V498" t="s">
        <v>10037</v>
      </c>
      <c r="W498" t="s">
        <v>10038</v>
      </c>
      <c r="X498" t="s">
        <v>10039</v>
      </c>
      <c r="Y498" t="s">
        <v>10040</v>
      </c>
      <c r="Z498" t="s">
        <v>10041</v>
      </c>
      <c r="AA498" t="s">
        <v>10042</v>
      </c>
      <c r="AB498" t="s">
        <v>10043</v>
      </c>
      <c r="AC498" t="s">
        <v>10044</v>
      </c>
      <c r="AD498" t="s">
        <v>10045</v>
      </c>
      <c r="AE498" t="s">
        <v>10046</v>
      </c>
      <c r="AF498" t="s">
        <v>74</v>
      </c>
      <c r="AG498">
        <v>37</v>
      </c>
      <c r="AH498">
        <v>18</v>
      </c>
      <c r="AI498">
        <v>20</v>
      </c>
      <c r="AJ498">
        <v>3</v>
      </c>
      <c r="AK498">
        <v>17</v>
      </c>
      <c r="AL498" t="s">
        <v>5898</v>
      </c>
      <c r="AM498" t="s">
        <v>1965</v>
      </c>
      <c r="AN498" t="s">
        <v>5899</v>
      </c>
      <c r="AO498" t="s">
        <v>10047</v>
      </c>
      <c r="AP498" t="s">
        <v>10048</v>
      </c>
      <c r="AQ498" t="s">
        <v>74</v>
      </c>
      <c r="AR498" t="s">
        <v>10049</v>
      </c>
      <c r="AS498" t="s">
        <v>10050</v>
      </c>
      <c r="AT498" t="s">
        <v>3457</v>
      </c>
      <c r="AU498">
        <v>2019</v>
      </c>
      <c r="AV498">
        <v>233</v>
      </c>
      <c r="AW498" t="s">
        <v>74</v>
      </c>
      <c r="AX498" t="s">
        <v>74</v>
      </c>
      <c r="AY498" t="s">
        <v>74</v>
      </c>
      <c r="AZ498" t="s">
        <v>74</v>
      </c>
      <c r="BA498" t="s">
        <v>74</v>
      </c>
      <c r="BB498" t="s">
        <v>74</v>
      </c>
      <c r="BC498" t="s">
        <v>74</v>
      </c>
      <c r="BD498">
        <v>111315</v>
      </c>
      <c r="BE498" t="s">
        <v>10051</v>
      </c>
      <c r="BF498" t="str">
        <f>HYPERLINK("http://dx.doi.org/10.1016/j.rse.2019.111315","http://dx.doi.org/10.1016/j.rse.2019.111315")</f>
        <v>http://dx.doi.org/10.1016/j.rse.2019.111315</v>
      </c>
      <c r="BG498" t="s">
        <v>74</v>
      </c>
      <c r="BH498" t="s">
        <v>74</v>
      </c>
      <c r="BI498">
        <v>11</v>
      </c>
      <c r="BJ498" t="s">
        <v>10052</v>
      </c>
      <c r="BK498" t="s">
        <v>294</v>
      </c>
      <c r="BL498" t="s">
        <v>10053</v>
      </c>
      <c r="BM498" t="s">
        <v>10054</v>
      </c>
      <c r="BN498" t="s">
        <v>74</v>
      </c>
      <c r="BO498" t="s">
        <v>74</v>
      </c>
      <c r="BP498" t="s">
        <v>74</v>
      </c>
      <c r="BQ498" t="s">
        <v>74</v>
      </c>
      <c r="BR498" t="s">
        <v>108</v>
      </c>
      <c r="BS498" t="s">
        <v>10055</v>
      </c>
      <c r="BT498" t="str">
        <f>HYPERLINK("https%3A%2F%2Fwww.webofscience.com%2Fwos%2Fwoscc%2Ffull-record%2FWOS:000497601000012","View Full Record in Web of Science")</f>
        <v>View Full Record in Web of Science</v>
      </c>
    </row>
    <row r="499" spans="1:72" x14ac:dyDescent="0.15">
      <c r="A499" t="s">
        <v>133</v>
      </c>
      <c r="B499" t="s">
        <v>10056</v>
      </c>
      <c r="C499" t="s">
        <v>74</v>
      </c>
      <c r="D499" t="s">
        <v>74</v>
      </c>
      <c r="E499" t="s">
        <v>74</v>
      </c>
      <c r="F499" t="s">
        <v>10057</v>
      </c>
      <c r="G499" t="s">
        <v>74</v>
      </c>
      <c r="H499" t="s">
        <v>74</v>
      </c>
      <c r="I499" t="s">
        <v>10058</v>
      </c>
      <c r="J499" t="s">
        <v>10059</v>
      </c>
      <c r="K499" t="s">
        <v>74</v>
      </c>
      <c r="L499" t="s">
        <v>74</v>
      </c>
      <c r="M499" t="s">
        <v>80</v>
      </c>
      <c r="N499" t="s">
        <v>138</v>
      </c>
      <c r="O499" t="s">
        <v>74</v>
      </c>
      <c r="P499" t="s">
        <v>74</v>
      </c>
      <c r="Q499" t="s">
        <v>74</v>
      </c>
      <c r="R499" t="s">
        <v>74</v>
      </c>
      <c r="S499" t="s">
        <v>74</v>
      </c>
      <c r="T499" t="s">
        <v>10060</v>
      </c>
      <c r="U499" t="s">
        <v>10061</v>
      </c>
      <c r="V499" t="s">
        <v>10062</v>
      </c>
      <c r="W499" t="s">
        <v>10063</v>
      </c>
      <c r="X499" t="s">
        <v>74</v>
      </c>
      <c r="Y499" t="s">
        <v>10064</v>
      </c>
      <c r="Z499" t="s">
        <v>10065</v>
      </c>
      <c r="AA499" t="s">
        <v>74</v>
      </c>
      <c r="AB499" t="s">
        <v>10066</v>
      </c>
      <c r="AC499" t="s">
        <v>74</v>
      </c>
      <c r="AD499" t="s">
        <v>74</v>
      </c>
      <c r="AE499" t="s">
        <v>74</v>
      </c>
      <c r="AF499" t="s">
        <v>74</v>
      </c>
      <c r="AG499">
        <v>19</v>
      </c>
      <c r="AH499">
        <v>7</v>
      </c>
      <c r="AI499">
        <v>7</v>
      </c>
      <c r="AJ499">
        <v>1</v>
      </c>
      <c r="AK499">
        <v>3</v>
      </c>
      <c r="AL499" t="s">
        <v>1915</v>
      </c>
      <c r="AM499" t="s">
        <v>1916</v>
      </c>
      <c r="AN499" t="s">
        <v>1917</v>
      </c>
      <c r="AO499" t="s">
        <v>10067</v>
      </c>
      <c r="AP499" t="s">
        <v>10068</v>
      </c>
      <c r="AQ499" t="s">
        <v>74</v>
      </c>
      <c r="AR499" t="s">
        <v>10069</v>
      </c>
      <c r="AS499" t="s">
        <v>10070</v>
      </c>
      <c r="AT499" t="s">
        <v>3457</v>
      </c>
      <c r="AU499">
        <v>2019</v>
      </c>
      <c r="AV499">
        <v>85</v>
      </c>
      <c r="AW499">
        <v>6</v>
      </c>
      <c r="AX499" t="s">
        <v>74</v>
      </c>
      <c r="AY499" t="s">
        <v>74</v>
      </c>
      <c r="AZ499" t="s">
        <v>74</v>
      </c>
      <c r="BA499" t="s">
        <v>74</v>
      </c>
      <c r="BB499">
        <v>971</v>
      </c>
      <c r="BC499">
        <v>977</v>
      </c>
      <c r="BD499" t="s">
        <v>74</v>
      </c>
      <c r="BE499" t="s">
        <v>10071</v>
      </c>
      <c r="BF499" t="str">
        <f>HYPERLINK("http://dx.doi.org/10.1007/s12562-019-01365-5","http://dx.doi.org/10.1007/s12562-019-01365-5")</f>
        <v>http://dx.doi.org/10.1007/s12562-019-01365-5</v>
      </c>
      <c r="BG499" t="s">
        <v>74</v>
      </c>
      <c r="BH499" t="s">
        <v>74</v>
      </c>
      <c r="BI499">
        <v>7</v>
      </c>
      <c r="BJ499" t="s">
        <v>413</v>
      </c>
      <c r="BK499" t="s">
        <v>294</v>
      </c>
      <c r="BL499" t="s">
        <v>413</v>
      </c>
      <c r="BM499" t="s">
        <v>10072</v>
      </c>
      <c r="BN499" t="s">
        <v>74</v>
      </c>
      <c r="BO499" t="s">
        <v>559</v>
      </c>
      <c r="BP499" t="s">
        <v>74</v>
      </c>
      <c r="BQ499" t="s">
        <v>74</v>
      </c>
      <c r="BR499" t="s">
        <v>108</v>
      </c>
      <c r="BS499" t="s">
        <v>10073</v>
      </c>
      <c r="BT499" t="str">
        <f>HYPERLINK("https%3A%2F%2Fwww.webofscience.com%2Fwos%2Fwoscc%2Ffull-record%2FWOS:000496954700009","View Full Record in Web of Science")</f>
        <v>View Full Record in Web of Science</v>
      </c>
    </row>
    <row r="500" spans="1:72" x14ac:dyDescent="0.15">
      <c r="A500" t="s">
        <v>133</v>
      </c>
      <c r="B500" t="s">
        <v>10074</v>
      </c>
      <c r="C500" t="s">
        <v>74</v>
      </c>
      <c r="D500" t="s">
        <v>74</v>
      </c>
      <c r="E500" t="s">
        <v>74</v>
      </c>
      <c r="F500" t="s">
        <v>10075</v>
      </c>
      <c r="G500" t="s">
        <v>74</v>
      </c>
      <c r="H500" t="s">
        <v>74</v>
      </c>
      <c r="I500" t="s">
        <v>10076</v>
      </c>
      <c r="J500" t="s">
        <v>10077</v>
      </c>
      <c r="K500" t="s">
        <v>74</v>
      </c>
      <c r="L500" t="s">
        <v>74</v>
      </c>
      <c r="M500" t="s">
        <v>80</v>
      </c>
      <c r="N500" t="s">
        <v>138</v>
      </c>
      <c r="O500" t="s">
        <v>74</v>
      </c>
      <c r="P500" t="s">
        <v>74</v>
      </c>
      <c r="Q500" t="s">
        <v>74</v>
      </c>
      <c r="R500" t="s">
        <v>74</v>
      </c>
      <c r="S500" t="s">
        <v>74</v>
      </c>
      <c r="T500" t="s">
        <v>10078</v>
      </c>
      <c r="U500" t="s">
        <v>10079</v>
      </c>
      <c r="V500" t="s">
        <v>10080</v>
      </c>
      <c r="W500" t="s">
        <v>10081</v>
      </c>
      <c r="X500" t="s">
        <v>10082</v>
      </c>
      <c r="Y500" t="s">
        <v>10083</v>
      </c>
      <c r="Z500" t="s">
        <v>10084</v>
      </c>
      <c r="AA500" t="s">
        <v>10085</v>
      </c>
      <c r="AB500" t="s">
        <v>10086</v>
      </c>
      <c r="AC500" t="s">
        <v>10087</v>
      </c>
      <c r="AD500" t="s">
        <v>10088</v>
      </c>
      <c r="AE500" t="s">
        <v>10089</v>
      </c>
      <c r="AF500" t="s">
        <v>74</v>
      </c>
      <c r="AG500">
        <v>73</v>
      </c>
      <c r="AH500">
        <v>6</v>
      </c>
      <c r="AI500">
        <v>6</v>
      </c>
      <c r="AJ500">
        <v>1</v>
      </c>
      <c r="AK500">
        <v>24</v>
      </c>
      <c r="AL500" t="s">
        <v>10090</v>
      </c>
      <c r="AM500" t="s">
        <v>606</v>
      </c>
      <c r="AN500" t="s">
        <v>10091</v>
      </c>
      <c r="AO500" t="s">
        <v>10092</v>
      </c>
      <c r="AP500" t="s">
        <v>10093</v>
      </c>
      <c r="AQ500" t="s">
        <v>74</v>
      </c>
      <c r="AR500" t="s">
        <v>10094</v>
      </c>
      <c r="AS500" t="s">
        <v>10095</v>
      </c>
      <c r="AT500" t="s">
        <v>3457</v>
      </c>
      <c r="AU500">
        <v>2019</v>
      </c>
      <c r="AV500">
        <v>222</v>
      </c>
      <c r="AW500">
        <v>21</v>
      </c>
      <c r="AX500" t="s">
        <v>74</v>
      </c>
      <c r="AY500" t="s">
        <v>74</v>
      </c>
      <c r="AZ500" t="s">
        <v>74</v>
      </c>
      <c r="BA500" t="s">
        <v>74</v>
      </c>
      <c r="BB500" t="s">
        <v>74</v>
      </c>
      <c r="BC500" t="s">
        <v>74</v>
      </c>
      <c r="BD500" t="s">
        <v>10096</v>
      </c>
      <c r="BE500" t="s">
        <v>10097</v>
      </c>
      <c r="BF500" t="str">
        <f>HYPERLINK("http://dx.doi.org/10.1242/jeb.213017","http://dx.doi.org/10.1242/jeb.213017")</f>
        <v>http://dx.doi.org/10.1242/jeb.213017</v>
      </c>
      <c r="BG500" t="s">
        <v>74</v>
      </c>
      <c r="BH500" t="s">
        <v>74</v>
      </c>
      <c r="BI500">
        <v>11</v>
      </c>
      <c r="BJ500" t="s">
        <v>1737</v>
      </c>
      <c r="BK500" t="s">
        <v>294</v>
      </c>
      <c r="BL500" t="s">
        <v>1738</v>
      </c>
      <c r="BM500" t="s">
        <v>10098</v>
      </c>
      <c r="BN500">
        <v>31624098</v>
      </c>
      <c r="BO500" t="s">
        <v>7296</v>
      </c>
      <c r="BP500" t="s">
        <v>74</v>
      </c>
      <c r="BQ500" t="s">
        <v>74</v>
      </c>
      <c r="BR500" t="s">
        <v>108</v>
      </c>
      <c r="BS500" t="s">
        <v>10099</v>
      </c>
      <c r="BT500" t="str">
        <f>HYPERLINK("https%3A%2F%2Fwww.webofscience.com%2Fwos%2Fwoscc%2Ffull-record%2FWOS:000496916700026","View Full Record in Web of Science")</f>
        <v>View Full Record in Web of Science</v>
      </c>
    </row>
    <row r="501" spans="1:72" x14ac:dyDescent="0.15">
      <c r="A501" t="s">
        <v>133</v>
      </c>
      <c r="B501" t="s">
        <v>10100</v>
      </c>
      <c r="C501" t="s">
        <v>74</v>
      </c>
      <c r="D501" t="s">
        <v>74</v>
      </c>
      <c r="E501" t="s">
        <v>74</v>
      </c>
      <c r="F501" t="s">
        <v>10101</v>
      </c>
      <c r="G501" t="s">
        <v>74</v>
      </c>
      <c r="H501" t="s">
        <v>74</v>
      </c>
      <c r="I501" t="s">
        <v>10102</v>
      </c>
      <c r="J501" t="s">
        <v>10103</v>
      </c>
      <c r="K501" t="s">
        <v>74</v>
      </c>
      <c r="L501" t="s">
        <v>74</v>
      </c>
      <c r="M501" t="s">
        <v>80</v>
      </c>
      <c r="N501" t="s">
        <v>138</v>
      </c>
      <c r="O501" t="s">
        <v>74</v>
      </c>
      <c r="P501" t="s">
        <v>74</v>
      </c>
      <c r="Q501" t="s">
        <v>74</v>
      </c>
      <c r="R501" t="s">
        <v>74</v>
      </c>
      <c r="S501" t="s">
        <v>74</v>
      </c>
      <c r="T501" t="s">
        <v>10104</v>
      </c>
      <c r="U501" t="s">
        <v>10105</v>
      </c>
      <c r="V501" t="s">
        <v>10106</v>
      </c>
      <c r="W501" t="s">
        <v>10107</v>
      </c>
      <c r="X501" t="s">
        <v>10108</v>
      </c>
      <c r="Y501" t="s">
        <v>10109</v>
      </c>
      <c r="Z501" t="s">
        <v>10110</v>
      </c>
      <c r="AA501" t="s">
        <v>10111</v>
      </c>
      <c r="AB501" t="s">
        <v>10112</v>
      </c>
      <c r="AC501" t="s">
        <v>10113</v>
      </c>
      <c r="AD501" t="s">
        <v>9466</v>
      </c>
      <c r="AE501" t="s">
        <v>10114</v>
      </c>
      <c r="AF501" t="s">
        <v>74</v>
      </c>
      <c r="AG501">
        <v>16</v>
      </c>
      <c r="AH501">
        <v>5</v>
      </c>
      <c r="AI501">
        <v>5</v>
      </c>
      <c r="AJ501">
        <v>0</v>
      </c>
      <c r="AK501">
        <v>6</v>
      </c>
      <c r="AL501" t="s">
        <v>379</v>
      </c>
      <c r="AM501" t="s">
        <v>380</v>
      </c>
      <c r="AN501" t="s">
        <v>381</v>
      </c>
      <c r="AO501" t="s">
        <v>10115</v>
      </c>
      <c r="AP501" t="s">
        <v>74</v>
      </c>
      <c r="AQ501" t="s">
        <v>74</v>
      </c>
      <c r="AR501" t="s">
        <v>10116</v>
      </c>
      <c r="AS501" t="s">
        <v>10117</v>
      </c>
      <c r="AT501" t="s">
        <v>3457</v>
      </c>
      <c r="AU501">
        <v>2019</v>
      </c>
      <c r="AV501">
        <v>178</v>
      </c>
      <c r="AW501" t="s">
        <v>74</v>
      </c>
      <c r="AX501" t="s">
        <v>74</v>
      </c>
      <c r="AY501" t="s">
        <v>74</v>
      </c>
      <c r="AZ501" t="s">
        <v>74</v>
      </c>
      <c r="BA501" t="s">
        <v>74</v>
      </c>
      <c r="BB501" t="s">
        <v>74</v>
      </c>
      <c r="BC501" t="s">
        <v>74</v>
      </c>
      <c r="BD501">
        <v>102146</v>
      </c>
      <c r="BE501" t="s">
        <v>10118</v>
      </c>
      <c r="BF501" t="str">
        <f>HYPERLINK("http://dx.doi.org/10.1016/j.pocean.2019.102146","http://dx.doi.org/10.1016/j.pocean.2019.102146")</f>
        <v>http://dx.doi.org/10.1016/j.pocean.2019.102146</v>
      </c>
      <c r="BG501" t="s">
        <v>74</v>
      </c>
      <c r="BH501" t="s">
        <v>74</v>
      </c>
      <c r="BI501">
        <v>6</v>
      </c>
      <c r="BJ501" t="s">
        <v>1945</v>
      </c>
      <c r="BK501" t="s">
        <v>294</v>
      </c>
      <c r="BL501" t="s">
        <v>1945</v>
      </c>
      <c r="BM501" t="s">
        <v>10119</v>
      </c>
      <c r="BN501" t="s">
        <v>74</v>
      </c>
      <c r="BO501" t="s">
        <v>74</v>
      </c>
      <c r="BP501" t="s">
        <v>74</v>
      </c>
      <c r="BQ501" t="s">
        <v>74</v>
      </c>
      <c r="BR501" t="s">
        <v>108</v>
      </c>
      <c r="BS501" t="s">
        <v>10120</v>
      </c>
      <c r="BT501" t="str">
        <f>HYPERLINK("https%3A%2F%2Fwww.webofscience.com%2Fwos%2Fwoscc%2Ffull-record%2FWOS:000496861900010","View Full Record in Web of Science")</f>
        <v>View Full Record in Web of Science</v>
      </c>
    </row>
    <row r="502" spans="1:72" x14ac:dyDescent="0.15">
      <c r="A502" t="s">
        <v>133</v>
      </c>
      <c r="B502" t="s">
        <v>10121</v>
      </c>
      <c r="C502" t="s">
        <v>74</v>
      </c>
      <c r="D502" t="s">
        <v>74</v>
      </c>
      <c r="E502" t="s">
        <v>74</v>
      </c>
      <c r="F502" t="s">
        <v>10122</v>
      </c>
      <c r="G502" t="s">
        <v>74</v>
      </c>
      <c r="H502" t="s">
        <v>74</v>
      </c>
      <c r="I502" t="s">
        <v>10123</v>
      </c>
      <c r="J502" t="s">
        <v>10103</v>
      </c>
      <c r="K502" t="s">
        <v>74</v>
      </c>
      <c r="L502" t="s">
        <v>74</v>
      </c>
      <c r="M502" t="s">
        <v>80</v>
      </c>
      <c r="N502" t="s">
        <v>138</v>
      </c>
      <c r="O502" t="s">
        <v>74</v>
      </c>
      <c r="P502" t="s">
        <v>74</v>
      </c>
      <c r="Q502" t="s">
        <v>74</v>
      </c>
      <c r="R502" t="s">
        <v>74</v>
      </c>
      <c r="S502" t="s">
        <v>74</v>
      </c>
      <c r="T502" t="s">
        <v>10124</v>
      </c>
      <c r="U502" t="s">
        <v>10125</v>
      </c>
      <c r="V502" t="s">
        <v>10126</v>
      </c>
      <c r="W502" t="s">
        <v>10127</v>
      </c>
      <c r="X502" t="s">
        <v>10128</v>
      </c>
      <c r="Y502" t="s">
        <v>10129</v>
      </c>
      <c r="Z502" t="s">
        <v>10130</v>
      </c>
      <c r="AA502" t="s">
        <v>74</v>
      </c>
      <c r="AB502" t="s">
        <v>10131</v>
      </c>
      <c r="AC502" t="s">
        <v>10132</v>
      </c>
      <c r="AD502" t="s">
        <v>10133</v>
      </c>
      <c r="AE502" t="s">
        <v>10134</v>
      </c>
      <c r="AF502" t="s">
        <v>74</v>
      </c>
      <c r="AG502">
        <v>106</v>
      </c>
      <c r="AH502">
        <v>7</v>
      </c>
      <c r="AI502">
        <v>7</v>
      </c>
      <c r="AJ502">
        <v>4</v>
      </c>
      <c r="AK502">
        <v>31</v>
      </c>
      <c r="AL502" t="s">
        <v>379</v>
      </c>
      <c r="AM502" t="s">
        <v>380</v>
      </c>
      <c r="AN502" t="s">
        <v>381</v>
      </c>
      <c r="AO502" t="s">
        <v>10115</v>
      </c>
      <c r="AP502" t="s">
        <v>74</v>
      </c>
      <c r="AQ502" t="s">
        <v>74</v>
      </c>
      <c r="AR502" t="s">
        <v>10116</v>
      </c>
      <c r="AS502" t="s">
        <v>10117</v>
      </c>
      <c r="AT502" t="s">
        <v>3457</v>
      </c>
      <c r="AU502">
        <v>2019</v>
      </c>
      <c r="AV502">
        <v>178</v>
      </c>
      <c r="AW502" t="s">
        <v>74</v>
      </c>
      <c r="AX502" t="s">
        <v>74</v>
      </c>
      <c r="AY502" t="s">
        <v>74</v>
      </c>
      <c r="AZ502" t="s">
        <v>74</v>
      </c>
      <c r="BA502" t="s">
        <v>74</v>
      </c>
      <c r="BB502" t="s">
        <v>74</v>
      </c>
      <c r="BC502" t="s">
        <v>74</v>
      </c>
      <c r="BD502">
        <v>102180</v>
      </c>
      <c r="BE502" t="s">
        <v>10135</v>
      </c>
      <c r="BF502" t="str">
        <f>HYPERLINK("http://dx.doi.org/10.1016/j.pocean.2019.102180","http://dx.doi.org/10.1016/j.pocean.2019.102180")</f>
        <v>http://dx.doi.org/10.1016/j.pocean.2019.102180</v>
      </c>
      <c r="BG502" t="s">
        <v>74</v>
      </c>
      <c r="BH502" t="s">
        <v>74</v>
      </c>
      <c r="BI502">
        <v>20</v>
      </c>
      <c r="BJ502" t="s">
        <v>1945</v>
      </c>
      <c r="BK502" t="s">
        <v>294</v>
      </c>
      <c r="BL502" t="s">
        <v>1945</v>
      </c>
      <c r="BM502" t="s">
        <v>10119</v>
      </c>
      <c r="BN502" t="s">
        <v>74</v>
      </c>
      <c r="BO502" t="s">
        <v>666</v>
      </c>
      <c r="BP502" t="s">
        <v>74</v>
      </c>
      <c r="BQ502" t="s">
        <v>74</v>
      </c>
      <c r="BR502" t="s">
        <v>108</v>
      </c>
      <c r="BS502" t="s">
        <v>10136</v>
      </c>
      <c r="BT502" t="str">
        <f>HYPERLINK("https%3A%2F%2Fwww.webofscience.com%2Fwos%2Fwoscc%2Ffull-record%2FWOS:000496861900021","View Full Record in Web of Science")</f>
        <v>View Full Record in Web of Science</v>
      </c>
    </row>
    <row r="503" spans="1:72" x14ac:dyDescent="0.15">
      <c r="A503" t="s">
        <v>133</v>
      </c>
      <c r="B503" t="s">
        <v>10137</v>
      </c>
      <c r="C503" t="s">
        <v>74</v>
      </c>
      <c r="D503" t="s">
        <v>74</v>
      </c>
      <c r="E503" t="s">
        <v>74</v>
      </c>
      <c r="F503" t="s">
        <v>10138</v>
      </c>
      <c r="G503" t="s">
        <v>74</v>
      </c>
      <c r="H503" t="s">
        <v>74</v>
      </c>
      <c r="I503" t="s">
        <v>10139</v>
      </c>
      <c r="J503" t="s">
        <v>10140</v>
      </c>
      <c r="K503" t="s">
        <v>74</v>
      </c>
      <c r="L503" t="s">
        <v>74</v>
      </c>
      <c r="M503" t="s">
        <v>80</v>
      </c>
      <c r="N503" t="s">
        <v>138</v>
      </c>
      <c r="O503" t="s">
        <v>74</v>
      </c>
      <c r="P503" t="s">
        <v>74</v>
      </c>
      <c r="Q503" t="s">
        <v>74</v>
      </c>
      <c r="R503" t="s">
        <v>74</v>
      </c>
      <c r="S503" t="s">
        <v>74</v>
      </c>
      <c r="T503" t="s">
        <v>10141</v>
      </c>
      <c r="U503" t="s">
        <v>10142</v>
      </c>
      <c r="V503" t="s">
        <v>10143</v>
      </c>
      <c r="W503" t="s">
        <v>10144</v>
      </c>
      <c r="X503" t="s">
        <v>10145</v>
      </c>
      <c r="Y503" t="s">
        <v>10146</v>
      </c>
      <c r="Z503" t="s">
        <v>10147</v>
      </c>
      <c r="AA503" t="s">
        <v>10148</v>
      </c>
      <c r="AB503" t="s">
        <v>10149</v>
      </c>
      <c r="AC503" t="s">
        <v>10150</v>
      </c>
      <c r="AD503" t="s">
        <v>10150</v>
      </c>
      <c r="AE503" t="s">
        <v>10151</v>
      </c>
      <c r="AF503" t="s">
        <v>74</v>
      </c>
      <c r="AG503">
        <v>78</v>
      </c>
      <c r="AH503">
        <v>9</v>
      </c>
      <c r="AI503">
        <v>10</v>
      </c>
      <c r="AJ503">
        <v>0</v>
      </c>
      <c r="AK503">
        <v>9</v>
      </c>
      <c r="AL503" t="s">
        <v>284</v>
      </c>
      <c r="AM503" t="s">
        <v>285</v>
      </c>
      <c r="AN503" t="s">
        <v>286</v>
      </c>
      <c r="AO503" t="s">
        <v>10152</v>
      </c>
      <c r="AP503" t="s">
        <v>74</v>
      </c>
      <c r="AQ503" t="s">
        <v>74</v>
      </c>
      <c r="AR503" t="s">
        <v>10153</v>
      </c>
      <c r="AS503" t="s">
        <v>10154</v>
      </c>
      <c r="AT503" t="s">
        <v>3457</v>
      </c>
      <c r="AU503">
        <v>2019</v>
      </c>
      <c r="AV503">
        <v>32</v>
      </c>
      <c r="AW503" t="s">
        <v>74</v>
      </c>
      <c r="AX503" t="s">
        <v>74</v>
      </c>
      <c r="AY503" t="s">
        <v>74</v>
      </c>
      <c r="AZ503" t="s">
        <v>74</v>
      </c>
      <c r="BA503" t="s">
        <v>74</v>
      </c>
      <c r="BB503" t="s">
        <v>74</v>
      </c>
      <c r="BC503" t="s">
        <v>74</v>
      </c>
      <c r="BD503">
        <v>100817</v>
      </c>
      <c r="BE503" t="s">
        <v>10155</v>
      </c>
      <c r="BF503" t="str">
        <f>HYPERLINK("http://dx.doi.org/10.1016/j.rsma.2019.100817","http://dx.doi.org/10.1016/j.rsma.2019.100817")</f>
        <v>http://dx.doi.org/10.1016/j.rsma.2019.100817</v>
      </c>
      <c r="BG503" t="s">
        <v>74</v>
      </c>
      <c r="BH503" t="s">
        <v>74</v>
      </c>
      <c r="BI503">
        <v>10</v>
      </c>
      <c r="BJ503" t="s">
        <v>10156</v>
      </c>
      <c r="BK503" t="s">
        <v>294</v>
      </c>
      <c r="BL503" t="s">
        <v>2739</v>
      </c>
      <c r="BM503" t="s">
        <v>10157</v>
      </c>
      <c r="BN503" t="s">
        <v>74</v>
      </c>
      <c r="BO503" t="s">
        <v>74</v>
      </c>
      <c r="BP503" t="s">
        <v>74</v>
      </c>
      <c r="BQ503" t="s">
        <v>74</v>
      </c>
      <c r="BR503" t="s">
        <v>108</v>
      </c>
      <c r="BS503" t="s">
        <v>10158</v>
      </c>
      <c r="BT503" t="str">
        <f>HYPERLINK("https%3A%2F%2Fwww.webofscience.com%2Fwos%2Fwoscc%2Ffull-record%2FWOS:000496545700002","View Full Record in Web of Science")</f>
        <v>View Full Record in Web of Science</v>
      </c>
    </row>
    <row r="504" spans="1:72" x14ac:dyDescent="0.15">
      <c r="A504" t="s">
        <v>133</v>
      </c>
      <c r="B504" t="s">
        <v>10159</v>
      </c>
      <c r="C504" t="s">
        <v>74</v>
      </c>
      <c r="D504" t="s">
        <v>74</v>
      </c>
      <c r="E504" t="s">
        <v>74</v>
      </c>
      <c r="F504" t="s">
        <v>10160</v>
      </c>
      <c r="G504" t="s">
        <v>74</v>
      </c>
      <c r="H504" t="s">
        <v>74</v>
      </c>
      <c r="I504" t="s">
        <v>10161</v>
      </c>
      <c r="J504" t="s">
        <v>10140</v>
      </c>
      <c r="K504" t="s">
        <v>74</v>
      </c>
      <c r="L504" t="s">
        <v>74</v>
      </c>
      <c r="M504" t="s">
        <v>80</v>
      </c>
      <c r="N504" t="s">
        <v>138</v>
      </c>
      <c r="O504" t="s">
        <v>74</v>
      </c>
      <c r="P504" t="s">
        <v>74</v>
      </c>
      <c r="Q504" t="s">
        <v>74</v>
      </c>
      <c r="R504" t="s">
        <v>74</v>
      </c>
      <c r="S504" t="s">
        <v>74</v>
      </c>
      <c r="T504" t="s">
        <v>10162</v>
      </c>
      <c r="U504" t="s">
        <v>10163</v>
      </c>
      <c r="V504" t="s">
        <v>10164</v>
      </c>
      <c r="W504" t="s">
        <v>10165</v>
      </c>
      <c r="X504" t="s">
        <v>9814</v>
      </c>
      <c r="Y504" t="s">
        <v>10166</v>
      </c>
      <c r="Z504" t="s">
        <v>10167</v>
      </c>
      <c r="AA504" t="s">
        <v>10168</v>
      </c>
      <c r="AB504" t="s">
        <v>10169</v>
      </c>
      <c r="AC504" t="s">
        <v>10170</v>
      </c>
      <c r="AD504" t="s">
        <v>10171</v>
      </c>
      <c r="AE504" t="s">
        <v>10172</v>
      </c>
      <c r="AF504" t="s">
        <v>74</v>
      </c>
      <c r="AG504">
        <v>107</v>
      </c>
      <c r="AH504">
        <v>12</v>
      </c>
      <c r="AI504">
        <v>12</v>
      </c>
      <c r="AJ504">
        <v>2</v>
      </c>
      <c r="AK504">
        <v>22</v>
      </c>
      <c r="AL504" t="s">
        <v>284</v>
      </c>
      <c r="AM504" t="s">
        <v>285</v>
      </c>
      <c r="AN504" t="s">
        <v>286</v>
      </c>
      <c r="AO504" t="s">
        <v>10152</v>
      </c>
      <c r="AP504" t="s">
        <v>74</v>
      </c>
      <c r="AQ504" t="s">
        <v>74</v>
      </c>
      <c r="AR504" t="s">
        <v>10153</v>
      </c>
      <c r="AS504" t="s">
        <v>10154</v>
      </c>
      <c r="AT504" t="s">
        <v>3457</v>
      </c>
      <c r="AU504">
        <v>2019</v>
      </c>
      <c r="AV504">
        <v>32</v>
      </c>
      <c r="AW504" t="s">
        <v>74</v>
      </c>
      <c r="AX504" t="s">
        <v>74</v>
      </c>
      <c r="AY504" t="s">
        <v>74</v>
      </c>
      <c r="AZ504" t="s">
        <v>74</v>
      </c>
      <c r="BA504" t="s">
        <v>74</v>
      </c>
      <c r="BB504" t="s">
        <v>74</v>
      </c>
      <c r="BC504" t="s">
        <v>74</v>
      </c>
      <c r="BD504">
        <v>100866</v>
      </c>
      <c r="BE504" t="s">
        <v>10173</v>
      </c>
      <c r="BF504" t="str">
        <f>HYPERLINK("http://dx.doi.org/10.1016/j.rsma.2019.100866","http://dx.doi.org/10.1016/j.rsma.2019.100866")</f>
        <v>http://dx.doi.org/10.1016/j.rsma.2019.100866</v>
      </c>
      <c r="BG504" t="s">
        <v>74</v>
      </c>
      <c r="BH504" t="s">
        <v>74</v>
      </c>
      <c r="BI504">
        <v>13</v>
      </c>
      <c r="BJ504" t="s">
        <v>10156</v>
      </c>
      <c r="BK504" t="s">
        <v>294</v>
      </c>
      <c r="BL504" t="s">
        <v>2739</v>
      </c>
      <c r="BM504" t="s">
        <v>10157</v>
      </c>
      <c r="BN504" t="s">
        <v>74</v>
      </c>
      <c r="BO504" t="s">
        <v>74</v>
      </c>
      <c r="BP504" t="s">
        <v>74</v>
      </c>
      <c r="BQ504" t="s">
        <v>74</v>
      </c>
      <c r="BR504" t="s">
        <v>108</v>
      </c>
      <c r="BS504" t="s">
        <v>10174</v>
      </c>
      <c r="BT504" t="str">
        <f>HYPERLINK("https%3A%2F%2Fwww.webofscience.com%2Fwos%2Fwoscc%2Ffull-record%2FWOS:000496545700032","View Full Record in Web of Science")</f>
        <v>View Full Record in Web of Science</v>
      </c>
    </row>
    <row r="505" spans="1:72" x14ac:dyDescent="0.15">
      <c r="A505" t="s">
        <v>133</v>
      </c>
      <c r="B505" t="s">
        <v>10175</v>
      </c>
      <c r="C505" t="s">
        <v>74</v>
      </c>
      <c r="D505" t="s">
        <v>74</v>
      </c>
      <c r="E505" t="s">
        <v>74</v>
      </c>
      <c r="F505" t="s">
        <v>10176</v>
      </c>
      <c r="G505" t="s">
        <v>74</v>
      </c>
      <c r="H505" t="s">
        <v>74</v>
      </c>
      <c r="I505" t="s">
        <v>10177</v>
      </c>
      <c r="J505" t="s">
        <v>10178</v>
      </c>
      <c r="K505" t="s">
        <v>74</v>
      </c>
      <c r="L505" t="s">
        <v>74</v>
      </c>
      <c r="M505" t="s">
        <v>80</v>
      </c>
      <c r="N505" t="s">
        <v>138</v>
      </c>
      <c r="O505" t="s">
        <v>74</v>
      </c>
      <c r="P505" t="s">
        <v>74</v>
      </c>
      <c r="Q505" t="s">
        <v>74</v>
      </c>
      <c r="R505" t="s">
        <v>74</v>
      </c>
      <c r="S505" t="s">
        <v>74</v>
      </c>
      <c r="T505" t="s">
        <v>10179</v>
      </c>
      <c r="U505" t="s">
        <v>10180</v>
      </c>
      <c r="V505" t="s">
        <v>10181</v>
      </c>
      <c r="W505" t="s">
        <v>10182</v>
      </c>
      <c r="X505" t="s">
        <v>3815</v>
      </c>
      <c r="Y505" t="s">
        <v>10183</v>
      </c>
      <c r="Z505" t="s">
        <v>10184</v>
      </c>
      <c r="AA505" t="s">
        <v>10185</v>
      </c>
      <c r="AB505" t="s">
        <v>10186</v>
      </c>
      <c r="AC505" t="s">
        <v>10187</v>
      </c>
      <c r="AD505" t="s">
        <v>10188</v>
      </c>
      <c r="AE505" t="s">
        <v>10189</v>
      </c>
      <c r="AF505" t="s">
        <v>74</v>
      </c>
      <c r="AG505">
        <v>220</v>
      </c>
      <c r="AH505">
        <v>44</v>
      </c>
      <c r="AI505">
        <v>47</v>
      </c>
      <c r="AJ505">
        <v>7</v>
      </c>
      <c r="AK505">
        <v>45</v>
      </c>
      <c r="AL505" t="s">
        <v>429</v>
      </c>
      <c r="AM505" t="s">
        <v>430</v>
      </c>
      <c r="AN505" t="s">
        <v>431</v>
      </c>
      <c r="AO505" t="s">
        <v>10190</v>
      </c>
      <c r="AP505" t="s">
        <v>10191</v>
      </c>
      <c r="AQ505" t="s">
        <v>74</v>
      </c>
      <c r="AR505" t="s">
        <v>10192</v>
      </c>
      <c r="AS505" t="s">
        <v>10193</v>
      </c>
      <c r="AT505" t="s">
        <v>3457</v>
      </c>
      <c r="AU505">
        <v>2019</v>
      </c>
      <c r="AV505">
        <v>11</v>
      </c>
      <c r="AW505">
        <v>4</v>
      </c>
      <c r="AX505" t="s">
        <v>74</v>
      </c>
      <c r="AY505" t="s">
        <v>74</v>
      </c>
      <c r="AZ505" t="s">
        <v>74</v>
      </c>
      <c r="BA505" t="s">
        <v>74</v>
      </c>
      <c r="BB505">
        <v>1195</v>
      </c>
      <c r="BC505">
        <v>1218</v>
      </c>
      <c r="BD505" t="s">
        <v>74</v>
      </c>
      <c r="BE505" t="s">
        <v>10194</v>
      </c>
      <c r="BF505" t="str">
        <f>HYPERLINK("http://dx.doi.org/10.1111/raq.12287","http://dx.doi.org/10.1111/raq.12287")</f>
        <v>http://dx.doi.org/10.1111/raq.12287</v>
      </c>
      <c r="BG505" t="s">
        <v>74</v>
      </c>
      <c r="BH505" t="s">
        <v>74</v>
      </c>
      <c r="BI505">
        <v>24</v>
      </c>
      <c r="BJ505" t="s">
        <v>413</v>
      </c>
      <c r="BK505" t="s">
        <v>294</v>
      </c>
      <c r="BL505" t="s">
        <v>413</v>
      </c>
      <c r="BM505" t="s">
        <v>10195</v>
      </c>
      <c r="BN505" t="s">
        <v>74</v>
      </c>
      <c r="BO505" t="s">
        <v>588</v>
      </c>
      <c r="BP505" t="s">
        <v>74</v>
      </c>
      <c r="BQ505" t="s">
        <v>74</v>
      </c>
      <c r="BR505" t="s">
        <v>108</v>
      </c>
      <c r="BS505" t="s">
        <v>10196</v>
      </c>
      <c r="BT505" t="str">
        <f>HYPERLINK("https%3A%2F%2Fwww.webofscience.com%2Fwos%2Fwoscc%2Ffull-record%2FWOS:000495397700013","View Full Record in Web of Science")</f>
        <v>View Full Record in Web of Science</v>
      </c>
    </row>
    <row r="506" spans="1:72" x14ac:dyDescent="0.15">
      <c r="A506" t="s">
        <v>133</v>
      </c>
      <c r="B506" t="s">
        <v>10197</v>
      </c>
      <c r="C506" t="s">
        <v>74</v>
      </c>
      <c r="D506" t="s">
        <v>74</v>
      </c>
      <c r="E506" t="s">
        <v>74</v>
      </c>
      <c r="F506" t="s">
        <v>10198</v>
      </c>
      <c r="G506" t="s">
        <v>74</v>
      </c>
      <c r="H506" t="s">
        <v>74</v>
      </c>
      <c r="I506" t="s">
        <v>10199</v>
      </c>
      <c r="J506" t="s">
        <v>4260</v>
      </c>
      <c r="K506" t="s">
        <v>74</v>
      </c>
      <c r="L506" t="s">
        <v>74</v>
      </c>
      <c r="M506" t="s">
        <v>80</v>
      </c>
      <c r="N506" t="s">
        <v>138</v>
      </c>
      <c r="O506" t="s">
        <v>74</v>
      </c>
      <c r="P506" t="s">
        <v>74</v>
      </c>
      <c r="Q506" t="s">
        <v>74</v>
      </c>
      <c r="R506" t="s">
        <v>74</v>
      </c>
      <c r="S506" t="s">
        <v>74</v>
      </c>
      <c r="T506" t="s">
        <v>10200</v>
      </c>
      <c r="U506" t="s">
        <v>10201</v>
      </c>
      <c r="V506" t="s">
        <v>10202</v>
      </c>
      <c r="W506" t="s">
        <v>10203</v>
      </c>
      <c r="X506" t="s">
        <v>1983</v>
      </c>
      <c r="Y506" t="s">
        <v>10204</v>
      </c>
      <c r="Z506" t="s">
        <v>10205</v>
      </c>
      <c r="AA506" t="s">
        <v>10206</v>
      </c>
      <c r="AB506" t="s">
        <v>74</v>
      </c>
      <c r="AC506" t="s">
        <v>10207</v>
      </c>
      <c r="AD506" t="s">
        <v>10208</v>
      </c>
      <c r="AE506" t="s">
        <v>10209</v>
      </c>
      <c r="AF506" t="s">
        <v>74</v>
      </c>
      <c r="AG506">
        <v>48</v>
      </c>
      <c r="AH506">
        <v>6</v>
      </c>
      <c r="AI506">
        <v>6</v>
      </c>
      <c r="AJ506">
        <v>0</v>
      </c>
      <c r="AK506">
        <v>35</v>
      </c>
      <c r="AL506" t="s">
        <v>4273</v>
      </c>
      <c r="AM506" t="s">
        <v>4274</v>
      </c>
      <c r="AN506" t="s">
        <v>4275</v>
      </c>
      <c r="AO506" t="s">
        <v>4276</v>
      </c>
      <c r="AP506" t="s">
        <v>4277</v>
      </c>
      <c r="AQ506" t="s">
        <v>74</v>
      </c>
      <c r="AR506" t="s">
        <v>4278</v>
      </c>
      <c r="AS506" t="s">
        <v>4279</v>
      </c>
      <c r="AT506" t="s">
        <v>3457</v>
      </c>
      <c r="AU506">
        <v>2019</v>
      </c>
      <c r="AV506">
        <v>57</v>
      </c>
      <c r="AW506">
        <v>11</v>
      </c>
      <c r="AX506" t="s">
        <v>74</v>
      </c>
      <c r="AY506" t="s">
        <v>74</v>
      </c>
      <c r="AZ506" t="s">
        <v>74</v>
      </c>
      <c r="BA506" t="s">
        <v>74</v>
      </c>
      <c r="BB506">
        <v>8557</v>
      </c>
      <c r="BC506">
        <v>8569</v>
      </c>
      <c r="BD506" t="s">
        <v>74</v>
      </c>
      <c r="BE506" t="s">
        <v>10210</v>
      </c>
      <c r="BF506" t="str">
        <f>HYPERLINK("http://dx.doi.org/10.1109/TGRS.2019.2921606","http://dx.doi.org/10.1109/TGRS.2019.2921606")</f>
        <v>http://dx.doi.org/10.1109/TGRS.2019.2921606</v>
      </c>
      <c r="BG506" t="s">
        <v>74</v>
      </c>
      <c r="BH506" t="s">
        <v>74</v>
      </c>
      <c r="BI506">
        <v>13</v>
      </c>
      <c r="BJ506" t="s">
        <v>4281</v>
      </c>
      <c r="BK506" t="s">
        <v>294</v>
      </c>
      <c r="BL506" t="s">
        <v>4282</v>
      </c>
      <c r="BM506" t="s">
        <v>10211</v>
      </c>
      <c r="BN506" t="s">
        <v>74</v>
      </c>
      <c r="BO506" t="s">
        <v>74</v>
      </c>
      <c r="BP506" t="s">
        <v>74</v>
      </c>
      <c r="BQ506" t="s">
        <v>74</v>
      </c>
      <c r="BR506" t="s">
        <v>108</v>
      </c>
      <c r="BS506" t="s">
        <v>10212</v>
      </c>
      <c r="BT506" t="str">
        <f>HYPERLINK("https%3A%2F%2Fwww.webofscience.com%2Fwos%2Fwoscc%2Ffull-record%2FWOS:000496155200017","View Full Record in Web of Science")</f>
        <v>View Full Record in Web of Science</v>
      </c>
    </row>
    <row r="507" spans="1:72" x14ac:dyDescent="0.15">
      <c r="A507" t="s">
        <v>133</v>
      </c>
      <c r="B507" t="s">
        <v>10213</v>
      </c>
      <c r="C507" t="s">
        <v>74</v>
      </c>
      <c r="D507" t="s">
        <v>74</v>
      </c>
      <c r="E507" t="s">
        <v>74</v>
      </c>
      <c r="F507" t="s">
        <v>10214</v>
      </c>
      <c r="G507" t="s">
        <v>74</v>
      </c>
      <c r="H507" t="s">
        <v>74</v>
      </c>
      <c r="I507" t="s">
        <v>10215</v>
      </c>
      <c r="J507" t="s">
        <v>10216</v>
      </c>
      <c r="K507" t="s">
        <v>74</v>
      </c>
      <c r="L507" t="s">
        <v>74</v>
      </c>
      <c r="M507" t="s">
        <v>80</v>
      </c>
      <c r="N507" t="s">
        <v>3200</v>
      </c>
      <c r="O507" t="s">
        <v>74</v>
      </c>
      <c r="P507" t="s">
        <v>74</v>
      </c>
      <c r="Q507" t="s">
        <v>74</v>
      </c>
      <c r="R507" t="s">
        <v>74</v>
      </c>
      <c r="S507" t="s">
        <v>74</v>
      </c>
      <c r="T507" t="s">
        <v>10217</v>
      </c>
      <c r="U507" t="s">
        <v>10218</v>
      </c>
      <c r="V507" t="s">
        <v>10219</v>
      </c>
      <c r="W507" t="s">
        <v>10220</v>
      </c>
      <c r="X507" t="s">
        <v>10221</v>
      </c>
      <c r="Y507" t="s">
        <v>10222</v>
      </c>
      <c r="Z507" t="s">
        <v>10223</v>
      </c>
      <c r="AA507" t="s">
        <v>10224</v>
      </c>
      <c r="AB507" t="s">
        <v>10225</v>
      </c>
      <c r="AC507" t="s">
        <v>10226</v>
      </c>
      <c r="AD507" t="s">
        <v>3210</v>
      </c>
      <c r="AE507" t="s">
        <v>74</v>
      </c>
      <c r="AF507" t="s">
        <v>74</v>
      </c>
      <c r="AG507">
        <v>48</v>
      </c>
      <c r="AH507">
        <v>38</v>
      </c>
      <c r="AI507">
        <v>38</v>
      </c>
      <c r="AJ507">
        <v>2</v>
      </c>
      <c r="AK507">
        <v>22</v>
      </c>
      <c r="AL507" t="s">
        <v>429</v>
      </c>
      <c r="AM507" t="s">
        <v>430</v>
      </c>
      <c r="AN507" t="s">
        <v>431</v>
      </c>
      <c r="AO507" t="s">
        <v>10227</v>
      </c>
      <c r="AP507" t="s">
        <v>10228</v>
      </c>
      <c r="AQ507" t="s">
        <v>74</v>
      </c>
      <c r="AR507" t="s">
        <v>10229</v>
      </c>
      <c r="AS507" t="s">
        <v>10230</v>
      </c>
      <c r="AT507" t="s">
        <v>3457</v>
      </c>
      <c r="AU507">
        <v>2019</v>
      </c>
      <c r="AV507">
        <v>28</v>
      </c>
      <c r="AW507">
        <v>11</v>
      </c>
      <c r="AX507" t="s">
        <v>74</v>
      </c>
      <c r="AY507" t="s">
        <v>74</v>
      </c>
      <c r="AZ507" t="s">
        <v>74</v>
      </c>
      <c r="BA507" t="s">
        <v>74</v>
      </c>
      <c r="BB507">
        <v>1538</v>
      </c>
      <c r="BC507">
        <v>1551</v>
      </c>
      <c r="BD507" t="s">
        <v>74</v>
      </c>
      <c r="BE507" t="s">
        <v>10231</v>
      </c>
      <c r="BF507" t="str">
        <f>HYPERLINK("http://dx.doi.org/10.1111/geb.12975","http://dx.doi.org/10.1111/geb.12975")</f>
        <v>http://dx.doi.org/10.1111/geb.12975</v>
      </c>
      <c r="BG507" t="s">
        <v>74</v>
      </c>
      <c r="BH507" t="s">
        <v>74</v>
      </c>
      <c r="BI507">
        <v>14</v>
      </c>
      <c r="BJ507" t="s">
        <v>1300</v>
      </c>
      <c r="BK507" t="s">
        <v>294</v>
      </c>
      <c r="BL507" t="s">
        <v>1301</v>
      </c>
      <c r="BM507" t="s">
        <v>10232</v>
      </c>
      <c r="BN507" t="s">
        <v>74</v>
      </c>
      <c r="BO507" t="s">
        <v>8243</v>
      </c>
      <c r="BP507" t="s">
        <v>74</v>
      </c>
      <c r="BQ507" t="s">
        <v>74</v>
      </c>
      <c r="BR507" t="s">
        <v>108</v>
      </c>
      <c r="BS507" t="s">
        <v>10233</v>
      </c>
      <c r="BT507" t="str">
        <f>HYPERLINK("https%3A%2F%2Fwww.webofscience.com%2Fwos%2Fwoscc%2Ffull-record%2FWOS:000495767600001","View Full Record in Web of Science")</f>
        <v>View Full Record in Web of Science</v>
      </c>
    </row>
    <row r="508" spans="1:72" x14ac:dyDescent="0.15">
      <c r="A508" t="s">
        <v>133</v>
      </c>
      <c r="B508" t="s">
        <v>10234</v>
      </c>
      <c r="C508" t="s">
        <v>74</v>
      </c>
      <c r="D508" t="s">
        <v>74</v>
      </c>
      <c r="E508" t="s">
        <v>74</v>
      </c>
      <c r="F508" t="s">
        <v>10235</v>
      </c>
      <c r="G508" t="s">
        <v>74</v>
      </c>
      <c r="H508" t="s">
        <v>74</v>
      </c>
      <c r="I508" t="s">
        <v>10236</v>
      </c>
      <c r="J508" t="s">
        <v>5928</v>
      </c>
      <c r="K508" t="s">
        <v>74</v>
      </c>
      <c r="L508" t="s">
        <v>74</v>
      </c>
      <c r="M508" t="s">
        <v>80</v>
      </c>
      <c r="N508" t="s">
        <v>138</v>
      </c>
      <c r="O508" t="s">
        <v>74</v>
      </c>
      <c r="P508" t="s">
        <v>74</v>
      </c>
      <c r="Q508" t="s">
        <v>74</v>
      </c>
      <c r="R508" t="s">
        <v>74</v>
      </c>
      <c r="S508" t="s">
        <v>74</v>
      </c>
      <c r="T508" t="s">
        <v>74</v>
      </c>
      <c r="U508" t="s">
        <v>10237</v>
      </c>
      <c r="V508" t="s">
        <v>10238</v>
      </c>
      <c r="W508" t="s">
        <v>10239</v>
      </c>
      <c r="X508" t="s">
        <v>10240</v>
      </c>
      <c r="Y508" t="s">
        <v>10241</v>
      </c>
      <c r="Z508" t="s">
        <v>10242</v>
      </c>
      <c r="AA508" t="s">
        <v>10243</v>
      </c>
      <c r="AB508" t="s">
        <v>10244</v>
      </c>
      <c r="AC508" t="s">
        <v>10245</v>
      </c>
      <c r="AD508" t="s">
        <v>10246</v>
      </c>
      <c r="AE508" t="s">
        <v>10247</v>
      </c>
      <c r="AF508" t="s">
        <v>74</v>
      </c>
      <c r="AG508">
        <v>69</v>
      </c>
      <c r="AH508">
        <v>9</v>
      </c>
      <c r="AI508">
        <v>9</v>
      </c>
      <c r="AJ508">
        <v>4</v>
      </c>
      <c r="AK508">
        <v>29</v>
      </c>
      <c r="AL508" t="s">
        <v>3493</v>
      </c>
      <c r="AM508" t="s">
        <v>3494</v>
      </c>
      <c r="AN508" t="s">
        <v>3495</v>
      </c>
      <c r="AO508" t="s">
        <v>5939</v>
      </c>
      <c r="AP508" t="s">
        <v>5940</v>
      </c>
      <c r="AQ508" t="s">
        <v>74</v>
      </c>
      <c r="AR508" t="s">
        <v>5941</v>
      </c>
      <c r="AS508" t="s">
        <v>5942</v>
      </c>
      <c r="AT508" t="s">
        <v>3457</v>
      </c>
      <c r="AU508">
        <v>2019</v>
      </c>
      <c r="AV508">
        <v>166</v>
      </c>
      <c r="AW508">
        <v>11</v>
      </c>
      <c r="AX508" t="s">
        <v>74</v>
      </c>
      <c r="AY508" t="s">
        <v>74</v>
      </c>
      <c r="AZ508" t="s">
        <v>74</v>
      </c>
      <c r="BA508" t="s">
        <v>74</v>
      </c>
      <c r="BB508" t="s">
        <v>74</v>
      </c>
      <c r="BC508" t="s">
        <v>74</v>
      </c>
      <c r="BD508">
        <v>143</v>
      </c>
      <c r="BE508" t="s">
        <v>10248</v>
      </c>
      <c r="BF508" t="str">
        <f>HYPERLINK("http://dx.doi.org/10.1007/s00227-019-3592-3","http://dx.doi.org/10.1007/s00227-019-3592-3")</f>
        <v>http://dx.doi.org/10.1007/s00227-019-3592-3</v>
      </c>
      <c r="BG508" t="s">
        <v>74</v>
      </c>
      <c r="BH508" t="s">
        <v>74</v>
      </c>
      <c r="BI508">
        <v>12</v>
      </c>
      <c r="BJ508" t="s">
        <v>557</v>
      </c>
      <c r="BK508" t="s">
        <v>294</v>
      </c>
      <c r="BL508" t="s">
        <v>557</v>
      </c>
      <c r="BM508" t="s">
        <v>10249</v>
      </c>
      <c r="BN508" t="s">
        <v>74</v>
      </c>
      <c r="BO508" t="s">
        <v>74</v>
      </c>
      <c r="BP508" t="s">
        <v>74</v>
      </c>
      <c r="BQ508" t="s">
        <v>74</v>
      </c>
      <c r="BR508" t="s">
        <v>108</v>
      </c>
      <c r="BS508" t="s">
        <v>10250</v>
      </c>
      <c r="BT508" t="str">
        <f>HYPERLINK("https%3A%2F%2Fwww.webofscience.com%2Fwos%2Fwoscc%2Ffull-record%2FWOS:000495633200005","View Full Record in Web of Science")</f>
        <v>View Full Record in Web of Science</v>
      </c>
    </row>
    <row r="509" spans="1:72" x14ac:dyDescent="0.15">
      <c r="A509" t="s">
        <v>133</v>
      </c>
      <c r="B509" t="s">
        <v>10251</v>
      </c>
      <c r="C509" t="s">
        <v>74</v>
      </c>
      <c r="D509" t="s">
        <v>74</v>
      </c>
      <c r="E509" t="s">
        <v>74</v>
      </c>
      <c r="F509" t="s">
        <v>10252</v>
      </c>
      <c r="G509" t="s">
        <v>74</v>
      </c>
      <c r="H509" t="s">
        <v>74</v>
      </c>
      <c r="I509" t="s">
        <v>10253</v>
      </c>
      <c r="J509" t="s">
        <v>1951</v>
      </c>
      <c r="K509" t="s">
        <v>74</v>
      </c>
      <c r="L509" t="s">
        <v>74</v>
      </c>
      <c r="M509" t="s">
        <v>80</v>
      </c>
      <c r="N509" t="s">
        <v>138</v>
      </c>
      <c r="O509" t="s">
        <v>74</v>
      </c>
      <c r="P509" t="s">
        <v>74</v>
      </c>
      <c r="Q509" t="s">
        <v>74</v>
      </c>
      <c r="R509" t="s">
        <v>74</v>
      </c>
      <c r="S509" t="s">
        <v>74</v>
      </c>
      <c r="T509" t="s">
        <v>10254</v>
      </c>
      <c r="U509" t="s">
        <v>10255</v>
      </c>
      <c r="V509" t="s">
        <v>10256</v>
      </c>
      <c r="W509" t="s">
        <v>10257</v>
      </c>
      <c r="X509" t="s">
        <v>10258</v>
      </c>
      <c r="Y509" t="s">
        <v>10259</v>
      </c>
      <c r="Z509" t="s">
        <v>10260</v>
      </c>
      <c r="AA509" t="s">
        <v>10261</v>
      </c>
      <c r="AB509" t="s">
        <v>10262</v>
      </c>
      <c r="AC509" t="s">
        <v>10263</v>
      </c>
      <c r="AD509" t="s">
        <v>10264</v>
      </c>
      <c r="AE509" t="s">
        <v>10265</v>
      </c>
      <c r="AF509" t="s">
        <v>74</v>
      </c>
      <c r="AG509">
        <v>61</v>
      </c>
      <c r="AH509">
        <v>13</v>
      </c>
      <c r="AI509">
        <v>14</v>
      </c>
      <c r="AJ509">
        <v>5</v>
      </c>
      <c r="AK509">
        <v>45</v>
      </c>
      <c r="AL509" t="s">
        <v>1964</v>
      </c>
      <c r="AM509" t="s">
        <v>1965</v>
      </c>
      <c r="AN509" t="s">
        <v>3452</v>
      </c>
      <c r="AO509" t="s">
        <v>1967</v>
      </c>
      <c r="AP509" t="s">
        <v>1968</v>
      </c>
      <c r="AQ509" t="s">
        <v>74</v>
      </c>
      <c r="AR509" t="s">
        <v>1969</v>
      </c>
      <c r="AS509" t="s">
        <v>1970</v>
      </c>
      <c r="AT509" t="s">
        <v>3457</v>
      </c>
      <c r="AU509">
        <v>2019</v>
      </c>
      <c r="AV509">
        <v>78</v>
      </c>
      <c r="AW509">
        <v>4</v>
      </c>
      <c r="AX509" t="s">
        <v>74</v>
      </c>
      <c r="AY509" t="s">
        <v>74</v>
      </c>
      <c r="AZ509" t="s">
        <v>74</v>
      </c>
      <c r="BA509" t="s">
        <v>74</v>
      </c>
      <c r="BB509">
        <v>974</v>
      </c>
      <c r="BC509">
        <v>984</v>
      </c>
      <c r="BD509" t="s">
        <v>74</v>
      </c>
      <c r="BE509" t="s">
        <v>10266</v>
      </c>
      <c r="BF509" t="str">
        <f>HYPERLINK("http://dx.doi.org/10.1007/s00248-019-01373-z","http://dx.doi.org/10.1007/s00248-019-01373-z")</f>
        <v>http://dx.doi.org/10.1007/s00248-019-01373-z</v>
      </c>
      <c r="BG509" t="s">
        <v>74</v>
      </c>
      <c r="BH509" t="s">
        <v>74</v>
      </c>
      <c r="BI509">
        <v>11</v>
      </c>
      <c r="BJ509" t="s">
        <v>1972</v>
      </c>
      <c r="BK509" t="s">
        <v>294</v>
      </c>
      <c r="BL509" t="s">
        <v>1973</v>
      </c>
      <c r="BM509" t="s">
        <v>10267</v>
      </c>
      <c r="BN509">
        <v>30989354</v>
      </c>
      <c r="BO509" t="s">
        <v>638</v>
      </c>
      <c r="BP509" t="s">
        <v>74</v>
      </c>
      <c r="BQ509" t="s">
        <v>74</v>
      </c>
      <c r="BR509" t="s">
        <v>108</v>
      </c>
      <c r="BS509" t="s">
        <v>10268</v>
      </c>
      <c r="BT509" t="str">
        <f>HYPERLINK("https%3A%2F%2Fwww.webofscience.com%2Fwos%2Fwoscc%2Ffull-record%2FWOS:000495294900017","View Full Record in Web of Science")</f>
        <v>View Full Record in Web of Science</v>
      </c>
    </row>
    <row r="510" spans="1:72" x14ac:dyDescent="0.15">
      <c r="A510" t="s">
        <v>133</v>
      </c>
      <c r="B510" t="s">
        <v>10269</v>
      </c>
      <c r="C510" t="s">
        <v>74</v>
      </c>
      <c r="D510" t="s">
        <v>74</v>
      </c>
      <c r="E510" t="s">
        <v>74</v>
      </c>
      <c r="F510" t="s">
        <v>10270</v>
      </c>
      <c r="G510" t="s">
        <v>74</v>
      </c>
      <c r="H510" t="s">
        <v>74</v>
      </c>
      <c r="I510" t="s">
        <v>10271</v>
      </c>
      <c r="J510" t="s">
        <v>10272</v>
      </c>
      <c r="K510" t="s">
        <v>74</v>
      </c>
      <c r="L510" t="s">
        <v>74</v>
      </c>
      <c r="M510" t="s">
        <v>80</v>
      </c>
      <c r="N510" t="s">
        <v>138</v>
      </c>
      <c r="O510" t="s">
        <v>74</v>
      </c>
      <c r="P510" t="s">
        <v>74</v>
      </c>
      <c r="Q510" t="s">
        <v>74</v>
      </c>
      <c r="R510" t="s">
        <v>74</v>
      </c>
      <c r="S510" t="s">
        <v>74</v>
      </c>
      <c r="T510" t="s">
        <v>10273</v>
      </c>
      <c r="U510" t="s">
        <v>10274</v>
      </c>
      <c r="V510" t="s">
        <v>10275</v>
      </c>
      <c r="W510" t="s">
        <v>10276</v>
      </c>
      <c r="X510" t="s">
        <v>10277</v>
      </c>
      <c r="Y510" t="s">
        <v>10278</v>
      </c>
      <c r="Z510" t="s">
        <v>10279</v>
      </c>
      <c r="AA510" t="s">
        <v>10280</v>
      </c>
      <c r="AB510" t="s">
        <v>10281</v>
      </c>
      <c r="AC510" t="s">
        <v>10282</v>
      </c>
      <c r="AD510" t="s">
        <v>10283</v>
      </c>
      <c r="AE510" t="s">
        <v>10284</v>
      </c>
      <c r="AF510" t="s">
        <v>74</v>
      </c>
      <c r="AG510">
        <v>71</v>
      </c>
      <c r="AH510">
        <v>5</v>
      </c>
      <c r="AI510">
        <v>5</v>
      </c>
      <c r="AJ510">
        <v>0</v>
      </c>
      <c r="AK510">
        <v>5</v>
      </c>
      <c r="AL510" t="s">
        <v>10285</v>
      </c>
      <c r="AM510" t="s">
        <v>10286</v>
      </c>
      <c r="AN510" t="s">
        <v>10287</v>
      </c>
      <c r="AO510" t="s">
        <v>10288</v>
      </c>
      <c r="AP510" t="s">
        <v>10289</v>
      </c>
      <c r="AQ510" t="s">
        <v>74</v>
      </c>
      <c r="AR510" t="s">
        <v>10290</v>
      </c>
      <c r="AS510" t="s">
        <v>10291</v>
      </c>
      <c r="AT510" t="s">
        <v>3457</v>
      </c>
      <c r="AU510">
        <v>2019</v>
      </c>
      <c r="AV510">
        <v>104</v>
      </c>
      <c r="AW510">
        <v>11</v>
      </c>
      <c r="AX510" t="s">
        <v>74</v>
      </c>
      <c r="AY510" t="s">
        <v>74</v>
      </c>
      <c r="AZ510" t="s">
        <v>74</v>
      </c>
      <c r="BA510" t="s">
        <v>74</v>
      </c>
      <c r="BB510">
        <v>1663</v>
      </c>
      <c r="BC510">
        <v>1672</v>
      </c>
      <c r="BD510" t="s">
        <v>74</v>
      </c>
      <c r="BE510" t="s">
        <v>10292</v>
      </c>
      <c r="BF510" t="str">
        <f>HYPERLINK("http://dx.doi.org/10.2138/am-2019-7001","http://dx.doi.org/10.2138/am-2019-7001")</f>
        <v>http://dx.doi.org/10.2138/am-2019-7001</v>
      </c>
      <c r="BG510" t="s">
        <v>74</v>
      </c>
      <c r="BH510" t="s">
        <v>74</v>
      </c>
      <c r="BI510">
        <v>10</v>
      </c>
      <c r="BJ510" t="s">
        <v>5970</v>
      </c>
      <c r="BK510" t="s">
        <v>294</v>
      </c>
      <c r="BL510" t="s">
        <v>5970</v>
      </c>
      <c r="BM510" t="s">
        <v>10293</v>
      </c>
      <c r="BN510" t="s">
        <v>74</v>
      </c>
      <c r="BO510" t="s">
        <v>1482</v>
      </c>
      <c r="BP510" t="s">
        <v>74</v>
      </c>
      <c r="BQ510" t="s">
        <v>74</v>
      </c>
      <c r="BR510" t="s">
        <v>108</v>
      </c>
      <c r="BS510" t="s">
        <v>10294</v>
      </c>
      <c r="BT510" t="str">
        <f>HYPERLINK("https%3A%2F%2Fwww.webofscience.com%2Fwos%2Fwoscc%2Ffull-record%2FWOS:000494707400014","View Full Record in Web of Science")</f>
        <v>View Full Record in Web of Science</v>
      </c>
    </row>
    <row r="511" spans="1:72" x14ac:dyDescent="0.15">
      <c r="A511" t="s">
        <v>133</v>
      </c>
      <c r="B511" t="s">
        <v>10295</v>
      </c>
      <c r="C511" t="s">
        <v>74</v>
      </c>
      <c r="D511" t="s">
        <v>74</v>
      </c>
      <c r="E511" t="s">
        <v>74</v>
      </c>
      <c r="F511" t="s">
        <v>10296</v>
      </c>
      <c r="G511" t="s">
        <v>74</v>
      </c>
      <c r="H511" t="s">
        <v>74</v>
      </c>
      <c r="I511" t="s">
        <v>10297</v>
      </c>
      <c r="J511" t="s">
        <v>10298</v>
      </c>
      <c r="K511" t="s">
        <v>74</v>
      </c>
      <c r="L511" t="s">
        <v>74</v>
      </c>
      <c r="M511" t="s">
        <v>80</v>
      </c>
      <c r="N511" t="s">
        <v>138</v>
      </c>
      <c r="O511" t="s">
        <v>74</v>
      </c>
      <c r="P511" t="s">
        <v>74</v>
      </c>
      <c r="Q511" t="s">
        <v>74</v>
      </c>
      <c r="R511" t="s">
        <v>74</v>
      </c>
      <c r="S511" t="s">
        <v>74</v>
      </c>
      <c r="T511" t="s">
        <v>10299</v>
      </c>
      <c r="U511" t="s">
        <v>10300</v>
      </c>
      <c r="V511" t="s">
        <v>10301</v>
      </c>
      <c r="W511" t="s">
        <v>10302</v>
      </c>
      <c r="X511" t="s">
        <v>10303</v>
      </c>
      <c r="Y511" t="s">
        <v>10304</v>
      </c>
      <c r="Z511" t="s">
        <v>10305</v>
      </c>
      <c r="AA511" t="s">
        <v>10306</v>
      </c>
      <c r="AB511" t="s">
        <v>10307</v>
      </c>
      <c r="AC511" t="s">
        <v>74</v>
      </c>
      <c r="AD511" t="s">
        <v>74</v>
      </c>
      <c r="AE511" t="s">
        <v>74</v>
      </c>
      <c r="AF511" t="s">
        <v>74</v>
      </c>
      <c r="AG511">
        <v>15</v>
      </c>
      <c r="AH511">
        <v>6</v>
      </c>
      <c r="AI511">
        <v>6</v>
      </c>
      <c r="AJ511">
        <v>0</v>
      </c>
      <c r="AK511">
        <v>12</v>
      </c>
      <c r="AL511" t="s">
        <v>429</v>
      </c>
      <c r="AM511" t="s">
        <v>430</v>
      </c>
      <c r="AN511" t="s">
        <v>431</v>
      </c>
      <c r="AO511" t="s">
        <v>10308</v>
      </c>
      <c r="AP511" t="s">
        <v>10309</v>
      </c>
      <c r="AQ511" t="s">
        <v>74</v>
      </c>
      <c r="AR511" t="s">
        <v>10310</v>
      </c>
      <c r="AS511" t="s">
        <v>10311</v>
      </c>
      <c r="AT511" t="s">
        <v>3457</v>
      </c>
      <c r="AU511">
        <v>2019</v>
      </c>
      <c r="AV511">
        <v>66</v>
      </c>
      <c r="AW511">
        <v>6</v>
      </c>
      <c r="AX511" t="s">
        <v>74</v>
      </c>
      <c r="AY511" t="s">
        <v>74</v>
      </c>
      <c r="AZ511" t="s">
        <v>74</v>
      </c>
      <c r="BA511" t="s">
        <v>74</v>
      </c>
      <c r="BB511">
        <v>2227</v>
      </c>
      <c r="BC511">
        <v>2232</v>
      </c>
      <c r="BD511" t="s">
        <v>74</v>
      </c>
      <c r="BE511" t="s">
        <v>10312</v>
      </c>
      <c r="BF511" t="str">
        <f>HYPERLINK("http://dx.doi.org/10.1111/tbed.13309","http://dx.doi.org/10.1111/tbed.13309")</f>
        <v>http://dx.doi.org/10.1111/tbed.13309</v>
      </c>
      <c r="BG511" t="s">
        <v>74</v>
      </c>
      <c r="BH511" t="s">
        <v>74</v>
      </c>
      <c r="BI511">
        <v>6</v>
      </c>
      <c r="BJ511" t="s">
        <v>10313</v>
      </c>
      <c r="BK511" t="s">
        <v>294</v>
      </c>
      <c r="BL511" t="s">
        <v>10313</v>
      </c>
      <c r="BM511" t="s">
        <v>10314</v>
      </c>
      <c r="BN511">
        <v>31355981</v>
      </c>
      <c r="BO511" t="s">
        <v>361</v>
      </c>
      <c r="BP511" t="s">
        <v>74</v>
      </c>
      <c r="BQ511" t="s">
        <v>74</v>
      </c>
      <c r="BR511" t="s">
        <v>108</v>
      </c>
      <c r="BS511" t="s">
        <v>10315</v>
      </c>
      <c r="BT511" t="str">
        <f>HYPERLINK("https%3A%2F%2Fwww.webofscience.com%2Fwos%2Fwoscc%2Ffull-record%2FWOS:000494688600005","View Full Record in Web of Science")</f>
        <v>View Full Record in Web of Science</v>
      </c>
    </row>
    <row r="512" spans="1:72" x14ac:dyDescent="0.15">
      <c r="A512" t="s">
        <v>133</v>
      </c>
      <c r="B512" t="s">
        <v>10316</v>
      </c>
      <c r="C512" t="s">
        <v>74</v>
      </c>
      <c r="D512" t="s">
        <v>74</v>
      </c>
      <c r="E512" t="s">
        <v>74</v>
      </c>
      <c r="F512" t="s">
        <v>10317</v>
      </c>
      <c r="G512" t="s">
        <v>74</v>
      </c>
      <c r="H512" t="s">
        <v>74</v>
      </c>
      <c r="I512" t="s">
        <v>10318</v>
      </c>
      <c r="J512" t="s">
        <v>2723</v>
      </c>
      <c r="K512" t="s">
        <v>74</v>
      </c>
      <c r="L512" t="s">
        <v>74</v>
      </c>
      <c r="M512" t="s">
        <v>80</v>
      </c>
      <c r="N512" t="s">
        <v>138</v>
      </c>
      <c r="O512" t="s">
        <v>74</v>
      </c>
      <c r="P512" t="s">
        <v>74</v>
      </c>
      <c r="Q512" t="s">
        <v>74</v>
      </c>
      <c r="R512" t="s">
        <v>74</v>
      </c>
      <c r="S512" t="s">
        <v>74</v>
      </c>
      <c r="T512" t="s">
        <v>10319</v>
      </c>
      <c r="U512" t="s">
        <v>10320</v>
      </c>
      <c r="V512" t="s">
        <v>10321</v>
      </c>
      <c r="W512" t="s">
        <v>10322</v>
      </c>
      <c r="X512" t="s">
        <v>10323</v>
      </c>
      <c r="Y512" t="s">
        <v>10324</v>
      </c>
      <c r="Z512" t="s">
        <v>10325</v>
      </c>
      <c r="AA512" t="s">
        <v>10326</v>
      </c>
      <c r="AB512" t="s">
        <v>10327</v>
      </c>
      <c r="AC512" t="s">
        <v>10328</v>
      </c>
      <c r="AD512" t="s">
        <v>10329</v>
      </c>
      <c r="AE512" t="s">
        <v>10330</v>
      </c>
      <c r="AF512" t="s">
        <v>74</v>
      </c>
      <c r="AG512">
        <v>59</v>
      </c>
      <c r="AH512">
        <v>30</v>
      </c>
      <c r="AI512">
        <v>34</v>
      </c>
      <c r="AJ512">
        <v>2</v>
      </c>
      <c r="AK512">
        <v>31</v>
      </c>
      <c r="AL512" t="s">
        <v>2587</v>
      </c>
      <c r="AM512" t="s">
        <v>2588</v>
      </c>
      <c r="AN512" t="s">
        <v>2589</v>
      </c>
      <c r="AO512" t="s">
        <v>74</v>
      </c>
      <c r="AP512" t="s">
        <v>2734</v>
      </c>
      <c r="AQ512" t="s">
        <v>74</v>
      </c>
      <c r="AR512" t="s">
        <v>2735</v>
      </c>
      <c r="AS512" t="s">
        <v>2736</v>
      </c>
      <c r="AT512" t="s">
        <v>10331</v>
      </c>
      <c r="AU512">
        <v>2019</v>
      </c>
      <c r="AV512">
        <v>6</v>
      </c>
      <c r="AW512" t="s">
        <v>74</v>
      </c>
      <c r="AX512" t="s">
        <v>74</v>
      </c>
      <c r="AY512" t="s">
        <v>74</v>
      </c>
      <c r="AZ512" t="s">
        <v>74</v>
      </c>
      <c r="BA512" t="s">
        <v>74</v>
      </c>
      <c r="BB512" t="s">
        <v>74</v>
      </c>
      <c r="BC512" t="s">
        <v>74</v>
      </c>
      <c r="BD512">
        <v>681</v>
      </c>
      <c r="BE512" t="s">
        <v>10332</v>
      </c>
      <c r="BF512" t="str">
        <f>HYPERLINK("http://dx.doi.org/10.3389/fmars.2019.00681","http://dx.doi.org/10.3389/fmars.2019.00681")</f>
        <v>http://dx.doi.org/10.3389/fmars.2019.00681</v>
      </c>
      <c r="BG512" t="s">
        <v>74</v>
      </c>
      <c r="BH512" t="s">
        <v>74</v>
      </c>
      <c r="BI512">
        <v>12</v>
      </c>
      <c r="BJ512" t="s">
        <v>2738</v>
      </c>
      <c r="BK512" t="s">
        <v>294</v>
      </c>
      <c r="BL512" t="s">
        <v>2739</v>
      </c>
      <c r="BM512" t="s">
        <v>10333</v>
      </c>
      <c r="BN512" t="s">
        <v>74</v>
      </c>
      <c r="BO512" t="s">
        <v>693</v>
      </c>
      <c r="BP512" t="s">
        <v>74</v>
      </c>
      <c r="BQ512" t="s">
        <v>74</v>
      </c>
      <c r="BR512" t="s">
        <v>108</v>
      </c>
      <c r="BS512" t="s">
        <v>10334</v>
      </c>
      <c r="BT512" t="str">
        <f>HYPERLINK("https%3A%2F%2Fwww.webofscience.com%2Fwos%2Fwoscc%2Ffull-record%2FWOS:000493728800002","View Full Record in Web of Science")</f>
        <v>View Full Record in Web of Science</v>
      </c>
    </row>
    <row r="513" spans="1:72" x14ac:dyDescent="0.15">
      <c r="A513" t="s">
        <v>133</v>
      </c>
      <c r="B513" t="s">
        <v>10335</v>
      </c>
      <c r="C513" t="s">
        <v>74</v>
      </c>
      <c r="D513" t="s">
        <v>74</v>
      </c>
      <c r="E513" t="s">
        <v>74</v>
      </c>
      <c r="F513" t="s">
        <v>10336</v>
      </c>
      <c r="G513" t="s">
        <v>74</v>
      </c>
      <c r="H513" t="s">
        <v>74</v>
      </c>
      <c r="I513" t="s">
        <v>10337</v>
      </c>
      <c r="J513" t="s">
        <v>2723</v>
      </c>
      <c r="K513" t="s">
        <v>74</v>
      </c>
      <c r="L513" t="s">
        <v>74</v>
      </c>
      <c r="M513" t="s">
        <v>80</v>
      </c>
      <c r="N513" t="s">
        <v>138</v>
      </c>
      <c r="O513" t="s">
        <v>74</v>
      </c>
      <c r="P513" t="s">
        <v>74</v>
      </c>
      <c r="Q513" t="s">
        <v>74</v>
      </c>
      <c r="R513" t="s">
        <v>74</v>
      </c>
      <c r="S513" t="s">
        <v>74</v>
      </c>
      <c r="T513" t="s">
        <v>10338</v>
      </c>
      <c r="U513" t="s">
        <v>10339</v>
      </c>
      <c r="V513" t="s">
        <v>10340</v>
      </c>
      <c r="W513" t="s">
        <v>10341</v>
      </c>
      <c r="X513" t="s">
        <v>10342</v>
      </c>
      <c r="Y513" t="s">
        <v>10343</v>
      </c>
      <c r="Z513" t="s">
        <v>10344</v>
      </c>
      <c r="AA513" t="s">
        <v>10345</v>
      </c>
      <c r="AB513" t="s">
        <v>10346</v>
      </c>
      <c r="AC513" t="s">
        <v>10347</v>
      </c>
      <c r="AD513" t="s">
        <v>10348</v>
      </c>
      <c r="AE513" t="s">
        <v>10349</v>
      </c>
      <c r="AF513" t="s">
        <v>74</v>
      </c>
      <c r="AG513">
        <v>65</v>
      </c>
      <c r="AH513">
        <v>57</v>
      </c>
      <c r="AI513">
        <v>62</v>
      </c>
      <c r="AJ513">
        <v>2</v>
      </c>
      <c r="AK513">
        <v>16</v>
      </c>
      <c r="AL513" t="s">
        <v>2587</v>
      </c>
      <c r="AM513" t="s">
        <v>2588</v>
      </c>
      <c r="AN513" t="s">
        <v>2589</v>
      </c>
      <c r="AO513" t="s">
        <v>74</v>
      </c>
      <c r="AP513" t="s">
        <v>2734</v>
      </c>
      <c r="AQ513" t="s">
        <v>74</v>
      </c>
      <c r="AR513" t="s">
        <v>2735</v>
      </c>
      <c r="AS513" t="s">
        <v>2736</v>
      </c>
      <c r="AT513" t="s">
        <v>10331</v>
      </c>
      <c r="AU513">
        <v>2019</v>
      </c>
      <c r="AV513">
        <v>6</v>
      </c>
      <c r="AW513" t="s">
        <v>74</v>
      </c>
      <c r="AX513" t="s">
        <v>74</v>
      </c>
      <c r="AY513" t="s">
        <v>74</v>
      </c>
      <c r="AZ513" t="s">
        <v>74</v>
      </c>
      <c r="BA513" t="s">
        <v>74</v>
      </c>
      <c r="BB513" t="s">
        <v>74</v>
      </c>
      <c r="BC513" t="s">
        <v>74</v>
      </c>
      <c r="BD513">
        <v>639</v>
      </c>
      <c r="BE513" t="s">
        <v>10350</v>
      </c>
      <c r="BF513" t="str">
        <f>HYPERLINK("http://dx.doi.org/10.3389/fmars.2019.00639","http://dx.doi.org/10.3389/fmars.2019.00639")</f>
        <v>http://dx.doi.org/10.3389/fmars.2019.00639</v>
      </c>
      <c r="BG513" t="s">
        <v>74</v>
      </c>
      <c r="BH513" t="s">
        <v>74</v>
      </c>
      <c r="BI513">
        <v>12</v>
      </c>
      <c r="BJ513" t="s">
        <v>2738</v>
      </c>
      <c r="BK513" t="s">
        <v>294</v>
      </c>
      <c r="BL513" t="s">
        <v>2739</v>
      </c>
      <c r="BM513" t="s">
        <v>10351</v>
      </c>
      <c r="BN513" t="s">
        <v>74</v>
      </c>
      <c r="BO513" t="s">
        <v>1688</v>
      </c>
      <c r="BP513" t="s">
        <v>74</v>
      </c>
      <c r="BQ513" t="s">
        <v>74</v>
      </c>
      <c r="BR513" t="s">
        <v>108</v>
      </c>
      <c r="BS513" t="s">
        <v>10352</v>
      </c>
      <c r="BT513" t="str">
        <f>HYPERLINK("https%3A%2F%2Fwww.webofscience.com%2Fwos%2Fwoscc%2Ffull-record%2FWOS:000493727400001","View Full Record in Web of Science")</f>
        <v>View Full Record in Web of Science</v>
      </c>
    </row>
    <row r="514" spans="1:72" x14ac:dyDescent="0.15">
      <c r="A514" t="s">
        <v>133</v>
      </c>
      <c r="B514" t="s">
        <v>10353</v>
      </c>
      <c r="C514" t="s">
        <v>74</v>
      </c>
      <c r="D514" t="s">
        <v>74</v>
      </c>
      <c r="E514" t="s">
        <v>74</v>
      </c>
      <c r="F514" t="s">
        <v>10354</v>
      </c>
      <c r="G514" t="s">
        <v>74</v>
      </c>
      <c r="H514" t="s">
        <v>74</v>
      </c>
      <c r="I514" t="s">
        <v>10355</v>
      </c>
      <c r="J514" t="s">
        <v>10356</v>
      </c>
      <c r="K514" t="s">
        <v>74</v>
      </c>
      <c r="L514" t="s">
        <v>74</v>
      </c>
      <c r="M514" t="s">
        <v>80</v>
      </c>
      <c r="N514" t="s">
        <v>138</v>
      </c>
      <c r="O514" t="s">
        <v>74</v>
      </c>
      <c r="P514" t="s">
        <v>74</v>
      </c>
      <c r="Q514" t="s">
        <v>74</v>
      </c>
      <c r="R514" t="s">
        <v>74</v>
      </c>
      <c r="S514" t="s">
        <v>74</v>
      </c>
      <c r="T514" t="s">
        <v>10357</v>
      </c>
      <c r="U514" t="s">
        <v>10358</v>
      </c>
      <c r="V514" t="s">
        <v>10359</v>
      </c>
      <c r="W514" t="s">
        <v>10360</v>
      </c>
      <c r="X514" t="s">
        <v>10361</v>
      </c>
      <c r="Y514" t="s">
        <v>10362</v>
      </c>
      <c r="Z514" t="s">
        <v>10363</v>
      </c>
      <c r="AA514" t="s">
        <v>10364</v>
      </c>
      <c r="AB514" t="s">
        <v>10365</v>
      </c>
      <c r="AC514" t="s">
        <v>10366</v>
      </c>
      <c r="AD514" t="s">
        <v>10367</v>
      </c>
      <c r="AE514" t="s">
        <v>10368</v>
      </c>
      <c r="AF514" t="s">
        <v>74</v>
      </c>
      <c r="AG514">
        <v>93</v>
      </c>
      <c r="AH514">
        <v>14</v>
      </c>
      <c r="AI514">
        <v>14</v>
      </c>
      <c r="AJ514">
        <v>0</v>
      </c>
      <c r="AK514">
        <v>9</v>
      </c>
      <c r="AL514" t="s">
        <v>10369</v>
      </c>
      <c r="AM514" t="s">
        <v>10370</v>
      </c>
      <c r="AN514" t="s">
        <v>10371</v>
      </c>
      <c r="AO514" t="s">
        <v>10372</v>
      </c>
      <c r="AP514" t="s">
        <v>74</v>
      </c>
      <c r="AQ514" t="s">
        <v>74</v>
      </c>
      <c r="AR514" t="s">
        <v>10373</v>
      </c>
      <c r="AS514" t="s">
        <v>10374</v>
      </c>
      <c r="AT514" t="s">
        <v>3457</v>
      </c>
      <c r="AU514">
        <v>2019</v>
      </c>
      <c r="AV514">
        <v>10</v>
      </c>
      <c r="AW514">
        <v>6</v>
      </c>
      <c r="AX514" t="s">
        <v>74</v>
      </c>
      <c r="AY514" t="s">
        <v>74</v>
      </c>
      <c r="AZ514" t="s">
        <v>74</v>
      </c>
      <c r="BA514" t="s">
        <v>74</v>
      </c>
      <c r="BB514">
        <v>2251</v>
      </c>
      <c r="BC514">
        <v>2263</v>
      </c>
      <c r="BD514" t="s">
        <v>74</v>
      </c>
      <c r="BE514" t="s">
        <v>10375</v>
      </c>
      <c r="BF514" t="str">
        <f>HYPERLINK("http://dx.doi.org/10.1016/j.gsf.2019.03.007","http://dx.doi.org/10.1016/j.gsf.2019.03.007")</f>
        <v>http://dx.doi.org/10.1016/j.gsf.2019.03.007</v>
      </c>
      <c r="BG514" t="s">
        <v>74</v>
      </c>
      <c r="BH514" t="s">
        <v>74</v>
      </c>
      <c r="BI514">
        <v>13</v>
      </c>
      <c r="BJ514" t="s">
        <v>849</v>
      </c>
      <c r="BK514" t="s">
        <v>294</v>
      </c>
      <c r="BL514" t="s">
        <v>850</v>
      </c>
      <c r="BM514" t="s">
        <v>10376</v>
      </c>
      <c r="BN514" t="s">
        <v>74</v>
      </c>
      <c r="BO514" t="s">
        <v>107</v>
      </c>
      <c r="BP514" t="s">
        <v>74</v>
      </c>
      <c r="BQ514" t="s">
        <v>74</v>
      </c>
      <c r="BR514" t="s">
        <v>108</v>
      </c>
      <c r="BS514" t="s">
        <v>10377</v>
      </c>
      <c r="BT514" t="str">
        <f>HYPERLINK("https%3A%2F%2Fwww.webofscience.com%2Fwos%2Fwoscc%2Ffull-record%2FWOS:000493564500020","View Full Record in Web of Science")</f>
        <v>View Full Record in Web of Science</v>
      </c>
    </row>
    <row r="515" spans="1:72" x14ac:dyDescent="0.15">
      <c r="A515" t="s">
        <v>133</v>
      </c>
      <c r="B515" t="s">
        <v>10378</v>
      </c>
      <c r="C515" t="s">
        <v>74</v>
      </c>
      <c r="D515" t="s">
        <v>74</v>
      </c>
      <c r="E515" t="s">
        <v>74</v>
      </c>
      <c r="F515" t="s">
        <v>10379</v>
      </c>
      <c r="G515" t="s">
        <v>74</v>
      </c>
      <c r="H515" t="s">
        <v>74</v>
      </c>
      <c r="I515" t="s">
        <v>10380</v>
      </c>
      <c r="J515" t="s">
        <v>10356</v>
      </c>
      <c r="K515" t="s">
        <v>74</v>
      </c>
      <c r="L515" t="s">
        <v>74</v>
      </c>
      <c r="M515" t="s">
        <v>80</v>
      </c>
      <c r="N515" t="s">
        <v>138</v>
      </c>
      <c r="O515" t="s">
        <v>74</v>
      </c>
      <c r="P515" t="s">
        <v>74</v>
      </c>
      <c r="Q515" t="s">
        <v>74</v>
      </c>
      <c r="R515" t="s">
        <v>74</v>
      </c>
      <c r="S515" t="s">
        <v>74</v>
      </c>
      <c r="T515" t="s">
        <v>10381</v>
      </c>
      <c r="U515" t="s">
        <v>10382</v>
      </c>
      <c r="V515" t="s">
        <v>10383</v>
      </c>
      <c r="W515" t="s">
        <v>10384</v>
      </c>
      <c r="X515" t="s">
        <v>10385</v>
      </c>
      <c r="Y515" t="s">
        <v>10386</v>
      </c>
      <c r="Z515" t="s">
        <v>10387</v>
      </c>
      <c r="AA515" t="s">
        <v>10388</v>
      </c>
      <c r="AB515" t="s">
        <v>10389</v>
      </c>
      <c r="AC515" t="s">
        <v>10390</v>
      </c>
      <c r="AD515" t="s">
        <v>10391</v>
      </c>
      <c r="AE515" t="s">
        <v>10392</v>
      </c>
      <c r="AF515" t="s">
        <v>74</v>
      </c>
      <c r="AG515">
        <v>88</v>
      </c>
      <c r="AH515">
        <v>9</v>
      </c>
      <c r="AI515">
        <v>10</v>
      </c>
      <c r="AJ515">
        <v>0</v>
      </c>
      <c r="AK515">
        <v>2</v>
      </c>
      <c r="AL515" t="s">
        <v>10369</v>
      </c>
      <c r="AM515" t="s">
        <v>10370</v>
      </c>
      <c r="AN515" t="s">
        <v>10371</v>
      </c>
      <c r="AO515" t="s">
        <v>10372</v>
      </c>
      <c r="AP515" t="s">
        <v>74</v>
      </c>
      <c r="AQ515" t="s">
        <v>74</v>
      </c>
      <c r="AR515" t="s">
        <v>10373</v>
      </c>
      <c r="AS515" t="s">
        <v>10374</v>
      </c>
      <c r="AT515" t="s">
        <v>3457</v>
      </c>
      <c r="AU515">
        <v>2019</v>
      </c>
      <c r="AV515">
        <v>10</v>
      </c>
      <c r="AW515">
        <v>6</v>
      </c>
      <c r="AX515" t="s">
        <v>74</v>
      </c>
      <c r="AY515" t="s">
        <v>74</v>
      </c>
      <c r="AZ515" t="s">
        <v>74</v>
      </c>
      <c r="BA515" t="s">
        <v>74</v>
      </c>
      <c r="BB515">
        <v>2265</v>
      </c>
      <c r="BC515">
        <v>2280</v>
      </c>
      <c r="BD515" t="s">
        <v>74</v>
      </c>
      <c r="BE515" t="s">
        <v>10393</v>
      </c>
      <c r="BF515" t="str">
        <f>HYPERLINK("http://dx.doi.org/10.1016/j.gsf.2019.04.003","http://dx.doi.org/10.1016/j.gsf.2019.04.003")</f>
        <v>http://dx.doi.org/10.1016/j.gsf.2019.04.003</v>
      </c>
      <c r="BG515" t="s">
        <v>74</v>
      </c>
      <c r="BH515" t="s">
        <v>74</v>
      </c>
      <c r="BI515">
        <v>16</v>
      </c>
      <c r="BJ515" t="s">
        <v>849</v>
      </c>
      <c r="BK515" t="s">
        <v>294</v>
      </c>
      <c r="BL515" t="s">
        <v>850</v>
      </c>
      <c r="BM515" t="s">
        <v>10376</v>
      </c>
      <c r="BN515" t="s">
        <v>74</v>
      </c>
      <c r="BO515" t="s">
        <v>693</v>
      </c>
      <c r="BP515" t="s">
        <v>74</v>
      </c>
      <c r="BQ515" t="s">
        <v>74</v>
      </c>
      <c r="BR515" t="s">
        <v>108</v>
      </c>
      <c r="BS515" t="s">
        <v>10394</v>
      </c>
      <c r="BT515" t="str">
        <f>HYPERLINK("https%3A%2F%2Fwww.webofscience.com%2Fwos%2Fwoscc%2Ffull-record%2FWOS:000493564500021","View Full Record in Web of Science")</f>
        <v>View Full Record in Web of Science</v>
      </c>
    </row>
    <row r="516" spans="1:72" x14ac:dyDescent="0.15">
      <c r="A516" t="s">
        <v>133</v>
      </c>
      <c r="B516" t="s">
        <v>10395</v>
      </c>
      <c r="C516" t="s">
        <v>74</v>
      </c>
      <c r="D516" t="s">
        <v>74</v>
      </c>
      <c r="E516" t="s">
        <v>74</v>
      </c>
      <c r="F516" t="s">
        <v>10396</v>
      </c>
      <c r="G516" t="s">
        <v>74</v>
      </c>
      <c r="H516" t="s">
        <v>74</v>
      </c>
      <c r="I516" t="s">
        <v>10397</v>
      </c>
      <c r="J516" t="s">
        <v>4693</v>
      </c>
      <c r="K516" t="s">
        <v>74</v>
      </c>
      <c r="L516" t="s">
        <v>74</v>
      </c>
      <c r="M516" t="s">
        <v>80</v>
      </c>
      <c r="N516" t="s">
        <v>138</v>
      </c>
      <c r="O516" t="s">
        <v>74</v>
      </c>
      <c r="P516" t="s">
        <v>74</v>
      </c>
      <c r="Q516" t="s">
        <v>74</v>
      </c>
      <c r="R516" t="s">
        <v>74</v>
      </c>
      <c r="S516" t="s">
        <v>74</v>
      </c>
      <c r="T516" t="s">
        <v>10398</v>
      </c>
      <c r="U516" t="s">
        <v>10399</v>
      </c>
      <c r="V516" t="s">
        <v>10400</v>
      </c>
      <c r="W516" t="s">
        <v>10401</v>
      </c>
      <c r="X516" t="s">
        <v>10402</v>
      </c>
      <c r="Y516" t="s">
        <v>10403</v>
      </c>
      <c r="Z516" t="s">
        <v>10404</v>
      </c>
      <c r="AA516" t="s">
        <v>74</v>
      </c>
      <c r="AB516" t="s">
        <v>74</v>
      </c>
      <c r="AC516" t="s">
        <v>10405</v>
      </c>
      <c r="AD516" t="s">
        <v>10406</v>
      </c>
      <c r="AE516" t="s">
        <v>10407</v>
      </c>
      <c r="AF516" t="s">
        <v>74</v>
      </c>
      <c r="AG516">
        <v>45</v>
      </c>
      <c r="AH516">
        <v>6</v>
      </c>
      <c r="AI516">
        <v>6</v>
      </c>
      <c r="AJ516">
        <v>4</v>
      </c>
      <c r="AK516">
        <v>12</v>
      </c>
      <c r="AL516" t="s">
        <v>1016</v>
      </c>
      <c r="AM516" t="s">
        <v>1017</v>
      </c>
      <c r="AN516" t="s">
        <v>4703</v>
      </c>
      <c r="AO516" t="s">
        <v>4704</v>
      </c>
      <c r="AP516" t="s">
        <v>4705</v>
      </c>
      <c r="AQ516" t="s">
        <v>74</v>
      </c>
      <c r="AR516" t="s">
        <v>4706</v>
      </c>
      <c r="AS516" t="s">
        <v>4707</v>
      </c>
      <c r="AT516" t="s">
        <v>3457</v>
      </c>
      <c r="AU516">
        <v>2019</v>
      </c>
      <c r="AV516">
        <v>49</v>
      </c>
      <c r="AW516">
        <v>11</v>
      </c>
      <c r="AX516" t="s">
        <v>74</v>
      </c>
      <c r="AY516" t="s">
        <v>74</v>
      </c>
      <c r="AZ516" t="s">
        <v>74</v>
      </c>
      <c r="BA516" t="s">
        <v>74</v>
      </c>
      <c r="BB516">
        <v>2867</v>
      </c>
      <c r="BC516">
        <v>2881</v>
      </c>
      <c r="BD516" t="s">
        <v>74</v>
      </c>
      <c r="BE516" t="s">
        <v>10408</v>
      </c>
      <c r="BF516" t="str">
        <f>HYPERLINK("http://dx.doi.org/10.1175/JPO-D-19-0072.1","http://dx.doi.org/10.1175/JPO-D-19-0072.1")</f>
        <v>http://dx.doi.org/10.1175/JPO-D-19-0072.1</v>
      </c>
      <c r="BG516" t="s">
        <v>74</v>
      </c>
      <c r="BH516" t="s">
        <v>74</v>
      </c>
      <c r="BI516">
        <v>15</v>
      </c>
      <c r="BJ516" t="s">
        <v>1945</v>
      </c>
      <c r="BK516" t="s">
        <v>294</v>
      </c>
      <c r="BL516" t="s">
        <v>1945</v>
      </c>
      <c r="BM516" t="s">
        <v>10409</v>
      </c>
      <c r="BN516" t="s">
        <v>74</v>
      </c>
      <c r="BO516" t="s">
        <v>2349</v>
      </c>
      <c r="BP516" t="s">
        <v>74</v>
      </c>
      <c r="BQ516" t="s">
        <v>74</v>
      </c>
      <c r="BR516" t="s">
        <v>108</v>
      </c>
      <c r="BS516" t="s">
        <v>10410</v>
      </c>
      <c r="BT516" t="str">
        <f>HYPERLINK("https%3A%2F%2Fwww.webofscience.com%2Fwos%2Fwoscc%2Ffull-record%2FWOS:000494441400002","View Full Record in Web of Science")</f>
        <v>View Full Record in Web of Science</v>
      </c>
    </row>
    <row r="517" spans="1:72" x14ac:dyDescent="0.15">
      <c r="A517" t="s">
        <v>133</v>
      </c>
      <c r="B517" t="s">
        <v>10411</v>
      </c>
      <c r="C517" t="s">
        <v>74</v>
      </c>
      <c r="D517" t="s">
        <v>74</v>
      </c>
      <c r="E517" t="s">
        <v>74</v>
      </c>
      <c r="F517" t="s">
        <v>10412</v>
      </c>
      <c r="G517" t="s">
        <v>74</v>
      </c>
      <c r="H517" t="s">
        <v>74</v>
      </c>
      <c r="I517" t="s">
        <v>10413</v>
      </c>
      <c r="J517" t="s">
        <v>10414</v>
      </c>
      <c r="K517" t="s">
        <v>74</v>
      </c>
      <c r="L517" t="s">
        <v>74</v>
      </c>
      <c r="M517" t="s">
        <v>80</v>
      </c>
      <c r="N517" t="s">
        <v>138</v>
      </c>
      <c r="O517" t="s">
        <v>74</v>
      </c>
      <c r="P517" t="s">
        <v>74</v>
      </c>
      <c r="Q517" t="s">
        <v>74</v>
      </c>
      <c r="R517" t="s">
        <v>74</v>
      </c>
      <c r="S517" t="s">
        <v>74</v>
      </c>
      <c r="T517" t="s">
        <v>10415</v>
      </c>
      <c r="U517" t="s">
        <v>10416</v>
      </c>
      <c r="V517" t="s">
        <v>10417</v>
      </c>
      <c r="W517" t="s">
        <v>10418</v>
      </c>
      <c r="X517" t="s">
        <v>10419</v>
      </c>
      <c r="Y517" t="s">
        <v>10420</v>
      </c>
      <c r="Z517" t="s">
        <v>10421</v>
      </c>
      <c r="AA517" t="s">
        <v>10422</v>
      </c>
      <c r="AB517" t="s">
        <v>10423</v>
      </c>
      <c r="AC517" t="s">
        <v>10424</v>
      </c>
      <c r="AD517" t="s">
        <v>10425</v>
      </c>
      <c r="AE517" t="s">
        <v>10426</v>
      </c>
      <c r="AF517" t="s">
        <v>74</v>
      </c>
      <c r="AG517">
        <v>61</v>
      </c>
      <c r="AH517">
        <v>19</v>
      </c>
      <c r="AI517">
        <v>20</v>
      </c>
      <c r="AJ517">
        <v>2</v>
      </c>
      <c r="AK517">
        <v>9</v>
      </c>
      <c r="AL517" t="s">
        <v>5150</v>
      </c>
      <c r="AM517" t="s">
        <v>1730</v>
      </c>
      <c r="AN517" t="s">
        <v>5151</v>
      </c>
      <c r="AO517" t="s">
        <v>10427</v>
      </c>
      <c r="AP517" t="s">
        <v>10428</v>
      </c>
      <c r="AQ517" t="s">
        <v>74</v>
      </c>
      <c r="AR517" t="s">
        <v>10429</v>
      </c>
      <c r="AS517" t="s">
        <v>10430</v>
      </c>
      <c r="AT517" t="s">
        <v>3457</v>
      </c>
      <c r="AU517">
        <v>2019</v>
      </c>
      <c r="AV517">
        <v>165</v>
      </c>
      <c r="AW517">
        <v>11</v>
      </c>
      <c r="AX517" t="s">
        <v>74</v>
      </c>
      <c r="AY517" t="s">
        <v>74</v>
      </c>
      <c r="AZ517" t="s">
        <v>74</v>
      </c>
      <c r="BA517" t="s">
        <v>74</v>
      </c>
      <c r="BB517">
        <v>1169</v>
      </c>
      <c r="BC517">
        <v>1180</v>
      </c>
      <c r="BD517" t="s">
        <v>74</v>
      </c>
      <c r="BE517" t="s">
        <v>10431</v>
      </c>
      <c r="BF517" t="str">
        <f>HYPERLINK("http://dx.doi.org/10.1099/mic.0.000845","http://dx.doi.org/10.1099/mic.0.000845")</f>
        <v>http://dx.doi.org/10.1099/mic.0.000845</v>
      </c>
      <c r="BG517" t="s">
        <v>74</v>
      </c>
      <c r="BH517" t="s">
        <v>74</v>
      </c>
      <c r="BI517">
        <v>12</v>
      </c>
      <c r="BJ517" t="s">
        <v>1713</v>
      </c>
      <c r="BK517" t="s">
        <v>294</v>
      </c>
      <c r="BL517" t="s">
        <v>1713</v>
      </c>
      <c r="BM517" t="s">
        <v>10432</v>
      </c>
      <c r="BN517">
        <v>31592756</v>
      </c>
      <c r="BO517" t="s">
        <v>5002</v>
      </c>
      <c r="BP517" t="s">
        <v>74</v>
      </c>
      <c r="BQ517" t="s">
        <v>74</v>
      </c>
      <c r="BR517" t="s">
        <v>108</v>
      </c>
      <c r="BS517" t="s">
        <v>10433</v>
      </c>
      <c r="BT517" t="str">
        <f>HYPERLINK("https%3A%2F%2Fwww.webofscience.com%2Fwos%2Fwoscc%2Ffull-record%2FWOS:000493952900003","View Full Record in Web of Science")</f>
        <v>View Full Record in Web of Science</v>
      </c>
    </row>
    <row r="518" spans="1:72" x14ac:dyDescent="0.15">
      <c r="A518" t="s">
        <v>133</v>
      </c>
      <c r="B518" t="s">
        <v>10434</v>
      </c>
      <c r="C518" t="s">
        <v>74</v>
      </c>
      <c r="D518" t="s">
        <v>74</v>
      </c>
      <c r="E518" t="s">
        <v>74</v>
      </c>
      <c r="F518" t="s">
        <v>10435</v>
      </c>
      <c r="G518" t="s">
        <v>74</v>
      </c>
      <c r="H518" t="s">
        <v>74</v>
      </c>
      <c r="I518" t="s">
        <v>10436</v>
      </c>
      <c r="J518" t="s">
        <v>828</v>
      </c>
      <c r="K518" t="s">
        <v>74</v>
      </c>
      <c r="L518" t="s">
        <v>74</v>
      </c>
      <c r="M518" t="s">
        <v>80</v>
      </c>
      <c r="N518" t="s">
        <v>138</v>
      </c>
      <c r="O518" t="s">
        <v>74</v>
      </c>
      <c r="P518" t="s">
        <v>74</v>
      </c>
      <c r="Q518" t="s">
        <v>74</v>
      </c>
      <c r="R518" t="s">
        <v>74</v>
      </c>
      <c r="S518" t="s">
        <v>74</v>
      </c>
      <c r="T518" t="s">
        <v>74</v>
      </c>
      <c r="U518" t="s">
        <v>10437</v>
      </c>
      <c r="V518" t="s">
        <v>10438</v>
      </c>
      <c r="W518" t="s">
        <v>10439</v>
      </c>
      <c r="X518" t="s">
        <v>10440</v>
      </c>
      <c r="Y518" t="s">
        <v>10441</v>
      </c>
      <c r="Z518" t="s">
        <v>10442</v>
      </c>
      <c r="AA518" t="s">
        <v>10443</v>
      </c>
      <c r="AB518" t="s">
        <v>10444</v>
      </c>
      <c r="AC518" t="s">
        <v>10445</v>
      </c>
      <c r="AD518" t="s">
        <v>10446</v>
      </c>
      <c r="AE518" t="s">
        <v>10447</v>
      </c>
      <c r="AF518" t="s">
        <v>74</v>
      </c>
      <c r="AG518">
        <v>50</v>
      </c>
      <c r="AH518">
        <v>89</v>
      </c>
      <c r="AI518">
        <v>93</v>
      </c>
      <c r="AJ518">
        <v>3</v>
      </c>
      <c r="AK518">
        <v>54</v>
      </c>
      <c r="AL518" t="s">
        <v>2038</v>
      </c>
      <c r="AM518" t="s">
        <v>1965</v>
      </c>
      <c r="AN518" t="s">
        <v>4141</v>
      </c>
      <c r="AO518" t="s">
        <v>843</v>
      </c>
      <c r="AP518" t="s">
        <v>844</v>
      </c>
      <c r="AQ518" t="s">
        <v>74</v>
      </c>
      <c r="AR518" t="s">
        <v>845</v>
      </c>
      <c r="AS518" t="s">
        <v>846</v>
      </c>
      <c r="AT518" t="s">
        <v>3457</v>
      </c>
      <c r="AU518">
        <v>2019</v>
      </c>
      <c r="AV518">
        <v>12</v>
      </c>
      <c r="AW518">
        <v>11</v>
      </c>
      <c r="AX518" t="s">
        <v>74</v>
      </c>
      <c r="AY518" t="s">
        <v>74</v>
      </c>
      <c r="AZ518" t="s">
        <v>74</v>
      </c>
      <c r="BA518" t="s">
        <v>74</v>
      </c>
      <c r="BB518">
        <v>896</v>
      </c>
      <c r="BC518" t="s">
        <v>847</v>
      </c>
      <c r="BD518" t="s">
        <v>74</v>
      </c>
      <c r="BE518" t="s">
        <v>10448</v>
      </c>
      <c r="BF518" t="str">
        <f>HYPERLINK("http://dx.doi.org/10.1038/s41561-019-0456-x","http://dx.doi.org/10.1038/s41561-019-0456-x")</f>
        <v>http://dx.doi.org/10.1038/s41561-019-0456-x</v>
      </c>
      <c r="BG518" t="s">
        <v>74</v>
      </c>
      <c r="BH518" t="s">
        <v>74</v>
      </c>
      <c r="BI518">
        <v>7</v>
      </c>
      <c r="BJ518" t="s">
        <v>849</v>
      </c>
      <c r="BK518" t="s">
        <v>294</v>
      </c>
      <c r="BL518" t="s">
        <v>850</v>
      </c>
      <c r="BM518" t="s">
        <v>10449</v>
      </c>
      <c r="BN518" t="s">
        <v>74</v>
      </c>
      <c r="BO518" t="s">
        <v>74</v>
      </c>
      <c r="BP518" t="s">
        <v>74</v>
      </c>
      <c r="BQ518" t="s">
        <v>74</v>
      </c>
      <c r="BR518" t="s">
        <v>108</v>
      </c>
      <c r="BS518" t="s">
        <v>10450</v>
      </c>
      <c r="BT518" t="str">
        <f>HYPERLINK("https%3A%2F%2Fwww.webofscience.com%2Fwos%2Fwoscc%2Ffull-record%2FWOS:000493905700009","View Full Record in Web of Science")</f>
        <v>View Full Record in Web of Science</v>
      </c>
    </row>
    <row r="519" spans="1:72" x14ac:dyDescent="0.15">
      <c r="A519" t="s">
        <v>133</v>
      </c>
      <c r="B519" t="s">
        <v>10451</v>
      </c>
      <c r="C519" t="s">
        <v>74</v>
      </c>
      <c r="D519" t="s">
        <v>74</v>
      </c>
      <c r="E519" t="s">
        <v>74</v>
      </c>
      <c r="F519" t="s">
        <v>10452</v>
      </c>
      <c r="G519" t="s">
        <v>74</v>
      </c>
      <c r="H519" t="s">
        <v>74</v>
      </c>
      <c r="I519" t="s">
        <v>10453</v>
      </c>
      <c r="J519" t="s">
        <v>828</v>
      </c>
      <c r="K519" t="s">
        <v>74</v>
      </c>
      <c r="L519" t="s">
        <v>74</v>
      </c>
      <c r="M519" t="s">
        <v>80</v>
      </c>
      <c r="N519" t="s">
        <v>138</v>
      </c>
      <c r="O519" t="s">
        <v>74</v>
      </c>
      <c r="P519" t="s">
        <v>74</v>
      </c>
      <c r="Q519" t="s">
        <v>74</v>
      </c>
      <c r="R519" t="s">
        <v>74</v>
      </c>
      <c r="S519" t="s">
        <v>74</v>
      </c>
      <c r="T519" t="s">
        <v>74</v>
      </c>
      <c r="U519" t="s">
        <v>10454</v>
      </c>
      <c r="V519" t="s">
        <v>10455</v>
      </c>
      <c r="W519" t="s">
        <v>10456</v>
      </c>
      <c r="X519" t="s">
        <v>10457</v>
      </c>
      <c r="Y519" t="s">
        <v>10458</v>
      </c>
      <c r="Z519" t="s">
        <v>10459</v>
      </c>
      <c r="AA519" t="s">
        <v>10460</v>
      </c>
      <c r="AB519" t="s">
        <v>10461</v>
      </c>
      <c r="AC519" t="s">
        <v>10462</v>
      </c>
      <c r="AD519" t="s">
        <v>10463</v>
      </c>
      <c r="AE519" t="s">
        <v>10464</v>
      </c>
      <c r="AF519" t="s">
        <v>74</v>
      </c>
      <c r="AG519">
        <v>58</v>
      </c>
      <c r="AH519">
        <v>111</v>
      </c>
      <c r="AI519">
        <v>117</v>
      </c>
      <c r="AJ519">
        <v>3</v>
      </c>
      <c r="AK519">
        <v>49</v>
      </c>
      <c r="AL519" t="s">
        <v>2038</v>
      </c>
      <c r="AM519" t="s">
        <v>1965</v>
      </c>
      <c r="AN519" t="s">
        <v>4141</v>
      </c>
      <c r="AO519" t="s">
        <v>843</v>
      </c>
      <c r="AP519" t="s">
        <v>844</v>
      </c>
      <c r="AQ519" t="s">
        <v>74</v>
      </c>
      <c r="AR519" t="s">
        <v>845</v>
      </c>
      <c r="AS519" t="s">
        <v>846</v>
      </c>
      <c r="AT519" t="s">
        <v>3457</v>
      </c>
      <c r="AU519">
        <v>2019</v>
      </c>
      <c r="AV519">
        <v>12</v>
      </c>
      <c r="AW519">
        <v>11</v>
      </c>
      <c r="AX519" t="s">
        <v>74</v>
      </c>
      <c r="AY519" t="s">
        <v>74</v>
      </c>
      <c r="AZ519" t="s">
        <v>74</v>
      </c>
      <c r="BA519" t="s">
        <v>74</v>
      </c>
      <c r="BB519">
        <v>911</v>
      </c>
      <c r="BC519" t="s">
        <v>847</v>
      </c>
      <c r="BD519" t="s">
        <v>74</v>
      </c>
      <c r="BE519" t="s">
        <v>10465</v>
      </c>
      <c r="BF519" t="str">
        <f>HYPERLINK("http://dx.doi.org/10.1038/s41561-019-0460-1","http://dx.doi.org/10.1038/s41561-019-0460-1")</f>
        <v>http://dx.doi.org/10.1038/s41561-019-0460-1</v>
      </c>
      <c r="BG519" t="s">
        <v>74</v>
      </c>
      <c r="BH519" t="s">
        <v>74</v>
      </c>
      <c r="BI519">
        <v>8</v>
      </c>
      <c r="BJ519" t="s">
        <v>849</v>
      </c>
      <c r="BK519" t="s">
        <v>294</v>
      </c>
      <c r="BL519" t="s">
        <v>850</v>
      </c>
      <c r="BM519" t="s">
        <v>10449</v>
      </c>
      <c r="BN519" t="s">
        <v>74</v>
      </c>
      <c r="BO519" t="s">
        <v>74</v>
      </c>
      <c r="BP519" t="s">
        <v>74</v>
      </c>
      <c r="BQ519" t="s">
        <v>74</v>
      </c>
      <c r="BR519" t="s">
        <v>108</v>
      </c>
      <c r="BS519" t="s">
        <v>10466</v>
      </c>
      <c r="BT519" t="str">
        <f>HYPERLINK("https%3A%2F%2Fwww.webofscience.com%2Fwos%2Fwoscc%2Ffull-record%2FWOS:000493905700012","View Full Record in Web of Science")</f>
        <v>View Full Record in Web of Science</v>
      </c>
    </row>
    <row r="520" spans="1:72" x14ac:dyDescent="0.15">
      <c r="A520" t="s">
        <v>133</v>
      </c>
      <c r="B520" t="s">
        <v>10467</v>
      </c>
      <c r="C520" t="s">
        <v>74</v>
      </c>
      <c r="D520" t="s">
        <v>74</v>
      </c>
      <c r="E520" t="s">
        <v>74</v>
      </c>
      <c r="F520" t="s">
        <v>10468</v>
      </c>
      <c r="G520" t="s">
        <v>74</v>
      </c>
      <c r="H520" t="s">
        <v>74</v>
      </c>
      <c r="I520" t="s">
        <v>10469</v>
      </c>
      <c r="J520" t="s">
        <v>10470</v>
      </c>
      <c r="K520" t="s">
        <v>74</v>
      </c>
      <c r="L520" t="s">
        <v>74</v>
      </c>
      <c r="M520" t="s">
        <v>80</v>
      </c>
      <c r="N520" t="s">
        <v>138</v>
      </c>
      <c r="O520" t="s">
        <v>74</v>
      </c>
      <c r="P520" t="s">
        <v>74</v>
      </c>
      <c r="Q520" t="s">
        <v>74</v>
      </c>
      <c r="R520" t="s">
        <v>74</v>
      </c>
      <c r="S520" t="s">
        <v>74</v>
      </c>
      <c r="T520" t="s">
        <v>74</v>
      </c>
      <c r="U520" t="s">
        <v>10471</v>
      </c>
      <c r="V520" t="s">
        <v>10472</v>
      </c>
      <c r="W520" t="s">
        <v>10473</v>
      </c>
      <c r="X520" t="s">
        <v>10474</v>
      </c>
      <c r="Y520" t="s">
        <v>10475</v>
      </c>
      <c r="Z520" t="s">
        <v>74</v>
      </c>
      <c r="AA520" t="s">
        <v>74</v>
      </c>
      <c r="AB520" t="s">
        <v>10476</v>
      </c>
      <c r="AC520" t="s">
        <v>10477</v>
      </c>
      <c r="AD520" t="s">
        <v>10478</v>
      </c>
      <c r="AE520" t="s">
        <v>10479</v>
      </c>
      <c r="AF520" t="s">
        <v>74</v>
      </c>
      <c r="AG520">
        <v>59</v>
      </c>
      <c r="AH520">
        <v>6</v>
      </c>
      <c r="AI520">
        <v>8</v>
      </c>
      <c r="AJ520">
        <v>0</v>
      </c>
      <c r="AK520">
        <v>5</v>
      </c>
      <c r="AL520" t="s">
        <v>7960</v>
      </c>
      <c r="AM520" t="s">
        <v>7961</v>
      </c>
      <c r="AN520" t="s">
        <v>7962</v>
      </c>
      <c r="AO520" t="s">
        <v>10480</v>
      </c>
      <c r="AP520" t="s">
        <v>10481</v>
      </c>
      <c r="AQ520" t="s">
        <v>74</v>
      </c>
      <c r="AR520" t="s">
        <v>10482</v>
      </c>
      <c r="AS520" t="s">
        <v>10483</v>
      </c>
      <c r="AT520" t="s">
        <v>10331</v>
      </c>
      <c r="AU520">
        <v>2019</v>
      </c>
      <c r="AV520">
        <v>100</v>
      </c>
      <c r="AW520">
        <v>10</v>
      </c>
      <c r="AX520" t="s">
        <v>74</v>
      </c>
      <c r="AY520" t="s">
        <v>74</v>
      </c>
      <c r="AZ520" t="s">
        <v>74</v>
      </c>
      <c r="BA520" t="s">
        <v>74</v>
      </c>
      <c r="BB520" t="s">
        <v>74</v>
      </c>
      <c r="BC520" t="s">
        <v>74</v>
      </c>
      <c r="BD520">
        <v>103001</v>
      </c>
      <c r="BE520" t="s">
        <v>10484</v>
      </c>
      <c r="BF520" t="str">
        <f>HYPERLINK("http://dx.doi.org/10.1103/PhysRevD.100.103001","http://dx.doi.org/10.1103/PhysRevD.100.103001")</f>
        <v>http://dx.doi.org/10.1103/PhysRevD.100.103001</v>
      </c>
      <c r="BG520" t="s">
        <v>74</v>
      </c>
      <c r="BH520" t="s">
        <v>74</v>
      </c>
      <c r="BI520">
        <v>12</v>
      </c>
      <c r="BJ520" t="s">
        <v>10485</v>
      </c>
      <c r="BK520" t="s">
        <v>294</v>
      </c>
      <c r="BL520" t="s">
        <v>10486</v>
      </c>
      <c r="BM520" t="s">
        <v>10487</v>
      </c>
      <c r="BN520" t="s">
        <v>74</v>
      </c>
      <c r="BO520" t="s">
        <v>7296</v>
      </c>
      <c r="BP520" t="s">
        <v>74</v>
      </c>
      <c r="BQ520" t="s">
        <v>74</v>
      </c>
      <c r="BR520" t="s">
        <v>108</v>
      </c>
      <c r="BS520" t="s">
        <v>10488</v>
      </c>
      <c r="BT520" t="str">
        <f>HYPERLINK("https%3A%2F%2Fwww.webofscience.com%2Fwos%2Fwoscc%2Ffull-record%2FWOS:000493902000001","View Full Record in Web of Science")</f>
        <v>View Full Record in Web of Science</v>
      </c>
    </row>
    <row r="521" spans="1:72" x14ac:dyDescent="0.15">
      <c r="A521" t="s">
        <v>133</v>
      </c>
      <c r="B521" t="s">
        <v>10489</v>
      </c>
      <c r="C521" t="s">
        <v>74</v>
      </c>
      <c r="D521" t="s">
        <v>74</v>
      </c>
      <c r="E521" t="s">
        <v>74</v>
      </c>
      <c r="F521" t="s">
        <v>10490</v>
      </c>
      <c r="G521" t="s">
        <v>74</v>
      </c>
      <c r="H521" t="s">
        <v>74</v>
      </c>
      <c r="I521" t="s">
        <v>10491</v>
      </c>
      <c r="J521" t="s">
        <v>10492</v>
      </c>
      <c r="K521" t="s">
        <v>74</v>
      </c>
      <c r="L521" t="s">
        <v>74</v>
      </c>
      <c r="M521" t="s">
        <v>80</v>
      </c>
      <c r="N521" t="s">
        <v>138</v>
      </c>
      <c r="O521" t="s">
        <v>74</v>
      </c>
      <c r="P521" t="s">
        <v>74</v>
      </c>
      <c r="Q521" t="s">
        <v>74</v>
      </c>
      <c r="R521" t="s">
        <v>74</v>
      </c>
      <c r="S521" t="s">
        <v>74</v>
      </c>
      <c r="T521" t="s">
        <v>10493</v>
      </c>
      <c r="U521" t="s">
        <v>10494</v>
      </c>
      <c r="V521" t="s">
        <v>10495</v>
      </c>
      <c r="W521" t="s">
        <v>10496</v>
      </c>
      <c r="X521" t="s">
        <v>10497</v>
      </c>
      <c r="Y521" t="s">
        <v>10498</v>
      </c>
      <c r="Z521" t="s">
        <v>10499</v>
      </c>
      <c r="AA521" t="s">
        <v>10500</v>
      </c>
      <c r="AB521" t="s">
        <v>10501</v>
      </c>
      <c r="AC521" t="s">
        <v>10502</v>
      </c>
      <c r="AD521" t="s">
        <v>10503</v>
      </c>
      <c r="AE521" t="s">
        <v>10504</v>
      </c>
      <c r="AF521" t="s">
        <v>74</v>
      </c>
      <c r="AG521">
        <v>54</v>
      </c>
      <c r="AH521">
        <v>5</v>
      </c>
      <c r="AI521">
        <v>5</v>
      </c>
      <c r="AJ521">
        <v>0</v>
      </c>
      <c r="AK521">
        <v>5</v>
      </c>
      <c r="AL521" t="s">
        <v>578</v>
      </c>
      <c r="AM521" t="s">
        <v>380</v>
      </c>
      <c r="AN521" t="s">
        <v>579</v>
      </c>
      <c r="AO521" t="s">
        <v>10505</v>
      </c>
      <c r="AP521" t="s">
        <v>10506</v>
      </c>
      <c r="AQ521" t="s">
        <v>74</v>
      </c>
      <c r="AR521" t="s">
        <v>10507</v>
      </c>
      <c r="AS521" t="s">
        <v>10508</v>
      </c>
      <c r="AT521" t="s">
        <v>3457</v>
      </c>
      <c r="AU521">
        <v>2019</v>
      </c>
      <c r="AV521">
        <v>128</v>
      </c>
      <c r="AW521">
        <v>3</v>
      </c>
      <c r="AX521" t="s">
        <v>74</v>
      </c>
      <c r="AY521" t="s">
        <v>74</v>
      </c>
      <c r="AZ521" t="s">
        <v>74</v>
      </c>
      <c r="BA521" t="s">
        <v>74</v>
      </c>
      <c r="BB521">
        <v>768</v>
      </c>
      <c r="BC521">
        <v>777</v>
      </c>
      <c r="BD521" t="s">
        <v>74</v>
      </c>
      <c r="BE521" t="s">
        <v>10509</v>
      </c>
      <c r="BF521" t="str">
        <f>HYPERLINK("http://dx.doi.org/10.1093/biolinnean/blz128","http://dx.doi.org/10.1093/biolinnean/blz128")</f>
        <v>http://dx.doi.org/10.1093/biolinnean/blz128</v>
      </c>
      <c r="BG521" t="s">
        <v>74</v>
      </c>
      <c r="BH521" t="s">
        <v>74</v>
      </c>
      <c r="BI521">
        <v>10</v>
      </c>
      <c r="BJ521" t="s">
        <v>10510</v>
      </c>
      <c r="BK521" t="s">
        <v>294</v>
      </c>
      <c r="BL521" t="s">
        <v>10510</v>
      </c>
      <c r="BM521" t="s">
        <v>10511</v>
      </c>
      <c r="BN521" t="s">
        <v>74</v>
      </c>
      <c r="BO521" t="s">
        <v>74</v>
      </c>
      <c r="BP521" t="s">
        <v>74</v>
      </c>
      <c r="BQ521" t="s">
        <v>74</v>
      </c>
      <c r="BR521" t="s">
        <v>108</v>
      </c>
      <c r="BS521" t="s">
        <v>10512</v>
      </c>
      <c r="BT521" t="str">
        <f>HYPERLINK("https%3A%2F%2Fwww.webofscience.com%2Fwos%2Fwoscc%2Ffull-record%2FWOS:000493459600021","View Full Record in Web of Science")</f>
        <v>View Full Record in Web of Science</v>
      </c>
    </row>
    <row r="522" spans="1:72" x14ac:dyDescent="0.15">
      <c r="A522" t="s">
        <v>133</v>
      </c>
      <c r="B522" t="s">
        <v>10513</v>
      </c>
      <c r="C522" t="s">
        <v>74</v>
      </c>
      <c r="D522" t="s">
        <v>74</v>
      </c>
      <c r="E522" t="s">
        <v>74</v>
      </c>
      <c r="F522" t="s">
        <v>10514</v>
      </c>
      <c r="G522" t="s">
        <v>74</v>
      </c>
      <c r="H522" t="s">
        <v>74</v>
      </c>
      <c r="I522" t="s">
        <v>10515</v>
      </c>
      <c r="J522" t="s">
        <v>10516</v>
      </c>
      <c r="K522" t="s">
        <v>74</v>
      </c>
      <c r="L522" t="s">
        <v>74</v>
      </c>
      <c r="M522" t="s">
        <v>80</v>
      </c>
      <c r="N522" t="s">
        <v>138</v>
      </c>
      <c r="O522" t="s">
        <v>74</v>
      </c>
      <c r="P522" t="s">
        <v>74</v>
      </c>
      <c r="Q522" t="s">
        <v>74</v>
      </c>
      <c r="R522" t="s">
        <v>74</v>
      </c>
      <c r="S522" t="s">
        <v>74</v>
      </c>
      <c r="T522" t="s">
        <v>10517</v>
      </c>
      <c r="U522" t="s">
        <v>10518</v>
      </c>
      <c r="V522" t="s">
        <v>10519</v>
      </c>
      <c r="W522" t="s">
        <v>10520</v>
      </c>
      <c r="X522" t="s">
        <v>10521</v>
      </c>
      <c r="Y522" t="s">
        <v>10522</v>
      </c>
      <c r="Z522" t="s">
        <v>10523</v>
      </c>
      <c r="AA522" t="s">
        <v>74</v>
      </c>
      <c r="AB522" t="s">
        <v>10524</v>
      </c>
      <c r="AC522" t="s">
        <v>10525</v>
      </c>
      <c r="AD522" t="s">
        <v>10526</v>
      </c>
      <c r="AE522" t="s">
        <v>10527</v>
      </c>
      <c r="AF522" t="s">
        <v>74</v>
      </c>
      <c r="AG522">
        <v>51</v>
      </c>
      <c r="AH522">
        <v>9</v>
      </c>
      <c r="AI522">
        <v>9</v>
      </c>
      <c r="AJ522">
        <v>0</v>
      </c>
      <c r="AK522">
        <v>4</v>
      </c>
      <c r="AL522" t="s">
        <v>1964</v>
      </c>
      <c r="AM522" t="s">
        <v>1965</v>
      </c>
      <c r="AN522" t="s">
        <v>1966</v>
      </c>
      <c r="AO522" t="s">
        <v>10528</v>
      </c>
      <c r="AP522" t="s">
        <v>10529</v>
      </c>
      <c r="AQ522" t="s">
        <v>74</v>
      </c>
      <c r="AR522" t="s">
        <v>10530</v>
      </c>
      <c r="AS522" t="s">
        <v>10531</v>
      </c>
      <c r="AT522" t="s">
        <v>3457</v>
      </c>
      <c r="AU522">
        <v>2019</v>
      </c>
      <c r="AV522">
        <v>53</v>
      </c>
      <c r="AW522" t="s">
        <v>10532</v>
      </c>
      <c r="AX522" t="s">
        <v>74</v>
      </c>
      <c r="AY522" t="s">
        <v>74</v>
      </c>
      <c r="AZ522" t="s">
        <v>74</v>
      </c>
      <c r="BA522" t="s">
        <v>74</v>
      </c>
      <c r="BB522">
        <v>6453</v>
      </c>
      <c r="BC522">
        <v>6468</v>
      </c>
      <c r="BD522" t="s">
        <v>74</v>
      </c>
      <c r="BE522" t="s">
        <v>10533</v>
      </c>
      <c r="BF522" t="str">
        <f>HYPERLINK("http://dx.doi.org/10.1007/s00382-019-04942-7","http://dx.doi.org/10.1007/s00382-019-04942-7")</f>
        <v>http://dx.doi.org/10.1007/s00382-019-04942-7</v>
      </c>
      <c r="BG522" t="s">
        <v>74</v>
      </c>
      <c r="BH522" t="s">
        <v>74</v>
      </c>
      <c r="BI522">
        <v>16</v>
      </c>
      <c r="BJ522" t="s">
        <v>1024</v>
      </c>
      <c r="BK522" t="s">
        <v>294</v>
      </c>
      <c r="BL522" t="s">
        <v>1024</v>
      </c>
      <c r="BM522" t="s">
        <v>10534</v>
      </c>
      <c r="BN522" t="s">
        <v>74</v>
      </c>
      <c r="BO522" t="s">
        <v>74</v>
      </c>
      <c r="BP522" t="s">
        <v>74</v>
      </c>
      <c r="BQ522" t="s">
        <v>74</v>
      </c>
      <c r="BR522" t="s">
        <v>108</v>
      </c>
      <c r="BS522" t="s">
        <v>10535</v>
      </c>
      <c r="BT522" t="str">
        <f>HYPERLINK("https%3A%2F%2Fwww.webofscience.com%2Fwos%2Fwoscc%2Ffull-record%2FWOS:000493469900073","View Full Record in Web of Science")</f>
        <v>View Full Record in Web of Science</v>
      </c>
    </row>
    <row r="523" spans="1:72" x14ac:dyDescent="0.15">
      <c r="A523" t="s">
        <v>133</v>
      </c>
      <c r="B523" t="s">
        <v>10536</v>
      </c>
      <c r="C523" t="s">
        <v>74</v>
      </c>
      <c r="D523" t="s">
        <v>74</v>
      </c>
      <c r="E523" t="s">
        <v>74</v>
      </c>
      <c r="F523" t="s">
        <v>10537</v>
      </c>
      <c r="G523" t="s">
        <v>74</v>
      </c>
      <c r="H523" t="s">
        <v>74</v>
      </c>
      <c r="I523" t="s">
        <v>10538</v>
      </c>
      <c r="J523" t="s">
        <v>10539</v>
      </c>
      <c r="K523" t="s">
        <v>74</v>
      </c>
      <c r="L523" t="s">
        <v>74</v>
      </c>
      <c r="M523" t="s">
        <v>80</v>
      </c>
      <c r="N523" t="s">
        <v>138</v>
      </c>
      <c r="O523" t="s">
        <v>74</v>
      </c>
      <c r="P523" t="s">
        <v>74</v>
      </c>
      <c r="Q523" t="s">
        <v>74</v>
      </c>
      <c r="R523" t="s">
        <v>74</v>
      </c>
      <c r="S523" t="s">
        <v>74</v>
      </c>
      <c r="T523" t="s">
        <v>10540</v>
      </c>
      <c r="U523" t="s">
        <v>10541</v>
      </c>
      <c r="V523" t="s">
        <v>10542</v>
      </c>
      <c r="W523" t="s">
        <v>10543</v>
      </c>
      <c r="X523" t="s">
        <v>10544</v>
      </c>
      <c r="Y523" t="s">
        <v>10545</v>
      </c>
      <c r="Z523" t="s">
        <v>10546</v>
      </c>
      <c r="AA523" t="s">
        <v>10547</v>
      </c>
      <c r="AB523" t="s">
        <v>10548</v>
      </c>
      <c r="AC523" t="s">
        <v>10549</v>
      </c>
      <c r="AD523" t="s">
        <v>10550</v>
      </c>
      <c r="AE523" t="s">
        <v>10551</v>
      </c>
      <c r="AF523" t="s">
        <v>74</v>
      </c>
      <c r="AG523">
        <v>79</v>
      </c>
      <c r="AH523">
        <v>9</v>
      </c>
      <c r="AI523">
        <v>11</v>
      </c>
      <c r="AJ523">
        <v>4</v>
      </c>
      <c r="AK523">
        <v>18</v>
      </c>
      <c r="AL523" t="s">
        <v>4680</v>
      </c>
      <c r="AM523" t="s">
        <v>1730</v>
      </c>
      <c r="AN523" t="s">
        <v>4681</v>
      </c>
      <c r="AO523" t="s">
        <v>10552</v>
      </c>
      <c r="AP523" t="s">
        <v>10553</v>
      </c>
      <c r="AQ523" t="s">
        <v>74</v>
      </c>
      <c r="AR523" t="s">
        <v>10554</v>
      </c>
      <c r="AS523" t="s">
        <v>10555</v>
      </c>
      <c r="AT523" t="s">
        <v>10331</v>
      </c>
      <c r="AU523">
        <v>2019</v>
      </c>
      <c r="AV523">
        <v>249</v>
      </c>
      <c r="AW523" t="s">
        <v>74</v>
      </c>
      <c r="AX523" t="s">
        <v>74</v>
      </c>
      <c r="AY523" t="s">
        <v>74</v>
      </c>
      <c r="AZ523" t="s">
        <v>74</v>
      </c>
      <c r="BA523" t="s">
        <v>74</v>
      </c>
      <c r="BB523" t="s">
        <v>74</v>
      </c>
      <c r="BC523" t="s">
        <v>74</v>
      </c>
      <c r="BD523">
        <v>109230</v>
      </c>
      <c r="BE523" t="s">
        <v>10556</v>
      </c>
      <c r="BF523" t="str">
        <f>HYPERLINK("http://dx.doi.org/10.1016/j.jenvman.2019.07.001","http://dx.doi.org/10.1016/j.jenvman.2019.07.001")</f>
        <v>http://dx.doi.org/10.1016/j.jenvman.2019.07.001</v>
      </c>
      <c r="BG523" t="s">
        <v>74</v>
      </c>
      <c r="BH523" t="s">
        <v>74</v>
      </c>
      <c r="BI523">
        <v>9</v>
      </c>
      <c r="BJ523" t="s">
        <v>387</v>
      </c>
      <c r="BK523" t="s">
        <v>360</v>
      </c>
      <c r="BL523" t="s">
        <v>388</v>
      </c>
      <c r="BM523" t="s">
        <v>10557</v>
      </c>
      <c r="BN523">
        <v>31419669</v>
      </c>
      <c r="BO523" t="s">
        <v>74</v>
      </c>
      <c r="BP523" t="s">
        <v>74</v>
      </c>
      <c r="BQ523" t="s">
        <v>74</v>
      </c>
      <c r="BR523" t="s">
        <v>108</v>
      </c>
      <c r="BS523" t="s">
        <v>10558</v>
      </c>
      <c r="BT523" t="str">
        <f>HYPERLINK("https%3A%2F%2Fwww.webofscience.com%2Fwos%2Fwoscc%2Ffull-record%2FWOS:000492797500012","View Full Record in Web of Science")</f>
        <v>View Full Record in Web of Science</v>
      </c>
    </row>
    <row r="524" spans="1:72" x14ac:dyDescent="0.15">
      <c r="A524" t="s">
        <v>133</v>
      </c>
      <c r="B524" t="s">
        <v>10559</v>
      </c>
      <c r="C524" t="s">
        <v>74</v>
      </c>
      <c r="D524" t="s">
        <v>74</v>
      </c>
      <c r="E524" t="s">
        <v>74</v>
      </c>
      <c r="F524" t="s">
        <v>10560</v>
      </c>
      <c r="G524" t="s">
        <v>74</v>
      </c>
      <c r="H524" t="s">
        <v>74</v>
      </c>
      <c r="I524" t="s">
        <v>10561</v>
      </c>
      <c r="J524" t="s">
        <v>10562</v>
      </c>
      <c r="K524" t="s">
        <v>74</v>
      </c>
      <c r="L524" t="s">
        <v>74</v>
      </c>
      <c r="M524" t="s">
        <v>80</v>
      </c>
      <c r="N524" t="s">
        <v>138</v>
      </c>
      <c r="O524" t="s">
        <v>74</v>
      </c>
      <c r="P524" t="s">
        <v>74</v>
      </c>
      <c r="Q524" t="s">
        <v>74</v>
      </c>
      <c r="R524" t="s">
        <v>74</v>
      </c>
      <c r="S524" t="s">
        <v>74</v>
      </c>
      <c r="T524" t="s">
        <v>10563</v>
      </c>
      <c r="U524" t="s">
        <v>10564</v>
      </c>
      <c r="V524" t="s">
        <v>10565</v>
      </c>
      <c r="W524" t="s">
        <v>10566</v>
      </c>
      <c r="X524" t="s">
        <v>10567</v>
      </c>
      <c r="Y524" t="s">
        <v>10568</v>
      </c>
      <c r="Z524" t="s">
        <v>10569</v>
      </c>
      <c r="AA524" t="s">
        <v>74</v>
      </c>
      <c r="AB524" t="s">
        <v>10570</v>
      </c>
      <c r="AC524" t="s">
        <v>10571</v>
      </c>
      <c r="AD524" t="s">
        <v>1522</v>
      </c>
      <c r="AE524" t="s">
        <v>10572</v>
      </c>
      <c r="AF524" t="s">
        <v>74</v>
      </c>
      <c r="AG524">
        <v>25</v>
      </c>
      <c r="AH524">
        <v>4</v>
      </c>
      <c r="AI524">
        <v>5</v>
      </c>
      <c r="AJ524">
        <v>0</v>
      </c>
      <c r="AK524">
        <v>12</v>
      </c>
      <c r="AL524" t="s">
        <v>429</v>
      </c>
      <c r="AM524" t="s">
        <v>430</v>
      </c>
      <c r="AN524" t="s">
        <v>431</v>
      </c>
      <c r="AO524" t="s">
        <v>10573</v>
      </c>
      <c r="AP524" t="s">
        <v>10574</v>
      </c>
      <c r="AQ524" t="s">
        <v>74</v>
      </c>
      <c r="AR524" t="s">
        <v>10575</v>
      </c>
      <c r="AS524" t="s">
        <v>10576</v>
      </c>
      <c r="AT524" t="s">
        <v>1298</v>
      </c>
      <c r="AU524">
        <v>2020</v>
      </c>
      <c r="AV524">
        <v>45</v>
      </c>
      <c r="AW524">
        <v>1</v>
      </c>
      <c r="AX524" t="s">
        <v>74</v>
      </c>
      <c r="AY524" t="s">
        <v>74</v>
      </c>
      <c r="AZ524" t="s">
        <v>74</v>
      </c>
      <c r="BA524" t="s">
        <v>74</v>
      </c>
      <c r="BB524">
        <v>16</v>
      </c>
      <c r="BC524">
        <v>21</v>
      </c>
      <c r="BD524" t="s">
        <v>74</v>
      </c>
      <c r="BE524" t="s">
        <v>10577</v>
      </c>
      <c r="BF524" t="str">
        <f>HYPERLINK("http://dx.doi.org/10.1111/phen.12311","http://dx.doi.org/10.1111/phen.12311")</f>
        <v>http://dx.doi.org/10.1111/phen.12311</v>
      </c>
      <c r="BG524" t="s">
        <v>74</v>
      </c>
      <c r="BH524" t="s">
        <v>6368</v>
      </c>
      <c r="BI524">
        <v>6</v>
      </c>
      <c r="BJ524" t="s">
        <v>1326</v>
      </c>
      <c r="BK524" t="s">
        <v>294</v>
      </c>
      <c r="BL524" t="s">
        <v>1326</v>
      </c>
      <c r="BM524" t="s">
        <v>10578</v>
      </c>
      <c r="BN524" t="s">
        <v>74</v>
      </c>
      <c r="BO524" t="s">
        <v>74</v>
      </c>
      <c r="BP524" t="s">
        <v>74</v>
      </c>
      <c r="BQ524" t="s">
        <v>74</v>
      </c>
      <c r="BR524" t="s">
        <v>108</v>
      </c>
      <c r="BS524" t="s">
        <v>10579</v>
      </c>
      <c r="BT524" t="str">
        <f>HYPERLINK("https%3A%2F%2Fwww.webofscience.com%2Fwos%2Fwoscc%2Ffull-record%2FWOS:000493572600001","View Full Record in Web of Science")</f>
        <v>View Full Record in Web of Science</v>
      </c>
    </row>
    <row r="525" spans="1:72" x14ac:dyDescent="0.15">
      <c r="A525" t="s">
        <v>133</v>
      </c>
      <c r="B525" t="s">
        <v>10580</v>
      </c>
      <c r="C525" t="s">
        <v>74</v>
      </c>
      <c r="D525" t="s">
        <v>74</v>
      </c>
      <c r="E525" t="s">
        <v>74</v>
      </c>
      <c r="F525" t="s">
        <v>10581</v>
      </c>
      <c r="G525" t="s">
        <v>74</v>
      </c>
      <c r="H525" t="s">
        <v>74</v>
      </c>
      <c r="I525" t="s">
        <v>10582</v>
      </c>
      <c r="J525" t="s">
        <v>2429</v>
      </c>
      <c r="K525" t="s">
        <v>74</v>
      </c>
      <c r="L525" t="s">
        <v>74</v>
      </c>
      <c r="M525" t="s">
        <v>80</v>
      </c>
      <c r="N525" t="s">
        <v>138</v>
      </c>
      <c r="O525" t="s">
        <v>74</v>
      </c>
      <c r="P525" t="s">
        <v>74</v>
      </c>
      <c r="Q525" t="s">
        <v>74</v>
      </c>
      <c r="R525" t="s">
        <v>74</v>
      </c>
      <c r="S525" t="s">
        <v>74</v>
      </c>
      <c r="T525" t="s">
        <v>10583</v>
      </c>
      <c r="U525" t="s">
        <v>10584</v>
      </c>
      <c r="V525" t="s">
        <v>10585</v>
      </c>
      <c r="W525" t="s">
        <v>10586</v>
      </c>
      <c r="X525" t="s">
        <v>10587</v>
      </c>
      <c r="Y525" t="s">
        <v>10588</v>
      </c>
      <c r="Z525" t="s">
        <v>10589</v>
      </c>
      <c r="AA525" t="s">
        <v>10590</v>
      </c>
      <c r="AB525" t="s">
        <v>10591</v>
      </c>
      <c r="AC525" t="s">
        <v>10592</v>
      </c>
      <c r="AD525" t="s">
        <v>10593</v>
      </c>
      <c r="AE525" t="s">
        <v>10594</v>
      </c>
      <c r="AF525" t="s">
        <v>74</v>
      </c>
      <c r="AG525">
        <v>70</v>
      </c>
      <c r="AH525">
        <v>9</v>
      </c>
      <c r="AI525">
        <v>9</v>
      </c>
      <c r="AJ525">
        <v>0</v>
      </c>
      <c r="AK525">
        <v>10</v>
      </c>
      <c r="AL525" t="s">
        <v>379</v>
      </c>
      <c r="AM525" t="s">
        <v>380</v>
      </c>
      <c r="AN525" t="s">
        <v>381</v>
      </c>
      <c r="AO525" t="s">
        <v>2441</v>
      </c>
      <c r="AP525" t="s">
        <v>74</v>
      </c>
      <c r="AQ525" t="s">
        <v>74</v>
      </c>
      <c r="AR525" t="s">
        <v>2442</v>
      </c>
      <c r="AS525" t="s">
        <v>2443</v>
      </c>
      <c r="AT525" t="s">
        <v>10331</v>
      </c>
      <c r="AU525">
        <v>2019</v>
      </c>
      <c r="AV525">
        <v>223</v>
      </c>
      <c r="AW525" t="s">
        <v>74</v>
      </c>
      <c r="AX525" t="s">
        <v>74</v>
      </c>
      <c r="AY525" t="s">
        <v>74</v>
      </c>
      <c r="AZ525" t="s">
        <v>74</v>
      </c>
      <c r="BA525" t="s">
        <v>74</v>
      </c>
      <c r="BB525" t="s">
        <v>74</v>
      </c>
      <c r="BC525" t="s">
        <v>74</v>
      </c>
      <c r="BD525">
        <v>105914</v>
      </c>
      <c r="BE525" t="s">
        <v>10595</v>
      </c>
      <c r="BF525" t="str">
        <f>HYPERLINK("http://dx.doi.org/10.1016/j.quascirev.2019.105914","http://dx.doi.org/10.1016/j.quascirev.2019.105914")</f>
        <v>http://dx.doi.org/10.1016/j.quascirev.2019.105914</v>
      </c>
      <c r="BG525" t="s">
        <v>74</v>
      </c>
      <c r="BH525" t="s">
        <v>74</v>
      </c>
      <c r="BI525">
        <v>13</v>
      </c>
      <c r="BJ525" t="s">
        <v>462</v>
      </c>
      <c r="BK525" t="s">
        <v>294</v>
      </c>
      <c r="BL525" t="s">
        <v>463</v>
      </c>
      <c r="BM525" t="s">
        <v>10596</v>
      </c>
      <c r="BN525" t="s">
        <v>74</v>
      </c>
      <c r="BO525" t="s">
        <v>74</v>
      </c>
      <c r="BP525" t="s">
        <v>74</v>
      </c>
      <c r="BQ525" t="s">
        <v>74</v>
      </c>
      <c r="BR525" t="s">
        <v>108</v>
      </c>
      <c r="BS525" t="s">
        <v>10597</v>
      </c>
      <c r="BT525" t="str">
        <f>HYPERLINK("https%3A%2F%2Fwww.webofscience.com%2Fwos%2Fwoscc%2Ffull-record%2FWOS:000493220300002","View Full Record in Web of Science")</f>
        <v>View Full Record in Web of Science</v>
      </c>
    </row>
    <row r="526" spans="1:72" x14ac:dyDescent="0.15">
      <c r="A526" t="s">
        <v>133</v>
      </c>
      <c r="B526" t="s">
        <v>10598</v>
      </c>
      <c r="C526" t="s">
        <v>74</v>
      </c>
      <c r="D526" t="s">
        <v>74</v>
      </c>
      <c r="E526" t="s">
        <v>74</v>
      </c>
      <c r="F526" t="s">
        <v>10599</v>
      </c>
      <c r="G526" t="s">
        <v>74</v>
      </c>
      <c r="H526" t="s">
        <v>74</v>
      </c>
      <c r="I526" t="s">
        <v>10600</v>
      </c>
      <c r="J526" t="s">
        <v>2429</v>
      </c>
      <c r="K526" t="s">
        <v>74</v>
      </c>
      <c r="L526" t="s">
        <v>74</v>
      </c>
      <c r="M526" t="s">
        <v>80</v>
      </c>
      <c r="N526" t="s">
        <v>138</v>
      </c>
      <c r="O526" t="s">
        <v>74</v>
      </c>
      <c r="P526" t="s">
        <v>74</v>
      </c>
      <c r="Q526" t="s">
        <v>74</v>
      </c>
      <c r="R526" t="s">
        <v>74</v>
      </c>
      <c r="S526" t="s">
        <v>74</v>
      </c>
      <c r="T526" t="s">
        <v>10601</v>
      </c>
      <c r="U526" t="s">
        <v>10602</v>
      </c>
      <c r="V526" t="s">
        <v>10603</v>
      </c>
      <c r="W526" t="s">
        <v>10604</v>
      </c>
      <c r="X526" t="s">
        <v>10605</v>
      </c>
      <c r="Y526" t="s">
        <v>10606</v>
      </c>
      <c r="Z526" t="s">
        <v>10607</v>
      </c>
      <c r="AA526" t="s">
        <v>10608</v>
      </c>
      <c r="AB526" t="s">
        <v>10609</v>
      </c>
      <c r="AC526" t="s">
        <v>10610</v>
      </c>
      <c r="AD526" t="s">
        <v>10611</v>
      </c>
      <c r="AE526" t="s">
        <v>10612</v>
      </c>
      <c r="AF526" t="s">
        <v>74</v>
      </c>
      <c r="AG526">
        <v>142</v>
      </c>
      <c r="AH526">
        <v>17</v>
      </c>
      <c r="AI526">
        <v>18</v>
      </c>
      <c r="AJ526">
        <v>1</v>
      </c>
      <c r="AK526">
        <v>4</v>
      </c>
      <c r="AL526" t="s">
        <v>379</v>
      </c>
      <c r="AM526" t="s">
        <v>380</v>
      </c>
      <c r="AN526" t="s">
        <v>381</v>
      </c>
      <c r="AO526" t="s">
        <v>2441</v>
      </c>
      <c r="AP526" t="s">
        <v>10613</v>
      </c>
      <c r="AQ526" t="s">
        <v>74</v>
      </c>
      <c r="AR526" t="s">
        <v>2442</v>
      </c>
      <c r="AS526" t="s">
        <v>2443</v>
      </c>
      <c r="AT526" t="s">
        <v>10331</v>
      </c>
      <c r="AU526">
        <v>2019</v>
      </c>
      <c r="AV526">
        <v>223</v>
      </c>
      <c r="AW526" t="s">
        <v>74</v>
      </c>
      <c r="AX526" t="s">
        <v>74</v>
      </c>
      <c r="AY526" t="s">
        <v>74</v>
      </c>
      <c r="AZ526" t="s">
        <v>74</v>
      </c>
      <c r="BA526" t="s">
        <v>74</v>
      </c>
      <c r="BB526" t="s">
        <v>74</v>
      </c>
      <c r="BC526" t="s">
        <v>74</v>
      </c>
      <c r="BD526">
        <v>105915</v>
      </c>
      <c r="BE526" t="s">
        <v>10614</v>
      </c>
      <c r="BF526" t="str">
        <f>HYPERLINK("http://dx.doi.org/10.1016/j.quascirev.2019.105915","http://dx.doi.org/10.1016/j.quascirev.2019.105915")</f>
        <v>http://dx.doi.org/10.1016/j.quascirev.2019.105915</v>
      </c>
      <c r="BG526" t="s">
        <v>74</v>
      </c>
      <c r="BH526" t="s">
        <v>74</v>
      </c>
      <c r="BI526">
        <v>22</v>
      </c>
      <c r="BJ526" t="s">
        <v>462</v>
      </c>
      <c r="BK526" t="s">
        <v>294</v>
      </c>
      <c r="BL526" t="s">
        <v>463</v>
      </c>
      <c r="BM526" t="s">
        <v>10596</v>
      </c>
      <c r="BN526" t="s">
        <v>74</v>
      </c>
      <c r="BO526" t="s">
        <v>10615</v>
      </c>
      <c r="BP526" t="s">
        <v>74</v>
      </c>
      <c r="BQ526" t="s">
        <v>74</v>
      </c>
      <c r="BR526" t="s">
        <v>108</v>
      </c>
      <c r="BS526" t="s">
        <v>10616</v>
      </c>
      <c r="BT526" t="str">
        <f>HYPERLINK("https%3A%2F%2Fwww.webofscience.com%2Fwos%2Fwoscc%2Ffull-record%2FWOS:000493220300017","View Full Record in Web of Science")</f>
        <v>View Full Record in Web of Science</v>
      </c>
    </row>
    <row r="527" spans="1:72" x14ac:dyDescent="0.15">
      <c r="A527" t="s">
        <v>133</v>
      </c>
      <c r="B527" t="s">
        <v>10617</v>
      </c>
      <c r="C527" t="s">
        <v>74</v>
      </c>
      <c r="D527" t="s">
        <v>74</v>
      </c>
      <c r="E527" t="s">
        <v>74</v>
      </c>
      <c r="F527" t="s">
        <v>10618</v>
      </c>
      <c r="G527" t="s">
        <v>74</v>
      </c>
      <c r="H527" t="s">
        <v>74</v>
      </c>
      <c r="I527" t="s">
        <v>10619</v>
      </c>
      <c r="J527" t="s">
        <v>2429</v>
      </c>
      <c r="K527" t="s">
        <v>74</v>
      </c>
      <c r="L527" t="s">
        <v>74</v>
      </c>
      <c r="M527" t="s">
        <v>80</v>
      </c>
      <c r="N527" t="s">
        <v>138</v>
      </c>
      <c r="O527" t="s">
        <v>74</v>
      </c>
      <c r="P527" t="s">
        <v>74</v>
      </c>
      <c r="Q527" t="s">
        <v>74</v>
      </c>
      <c r="R527" t="s">
        <v>74</v>
      </c>
      <c r="S527" t="s">
        <v>74</v>
      </c>
      <c r="T527" t="s">
        <v>74</v>
      </c>
      <c r="U527" t="s">
        <v>10620</v>
      </c>
      <c r="V527" t="s">
        <v>10621</v>
      </c>
      <c r="W527" t="s">
        <v>10622</v>
      </c>
      <c r="X527" t="s">
        <v>10623</v>
      </c>
      <c r="Y527" t="s">
        <v>10624</v>
      </c>
      <c r="Z527" t="s">
        <v>10625</v>
      </c>
      <c r="AA527" t="s">
        <v>10626</v>
      </c>
      <c r="AB527" t="s">
        <v>10627</v>
      </c>
      <c r="AC527" t="s">
        <v>10628</v>
      </c>
      <c r="AD527" t="s">
        <v>10629</v>
      </c>
      <c r="AE527" t="s">
        <v>10630</v>
      </c>
      <c r="AF527" t="s">
        <v>74</v>
      </c>
      <c r="AG527">
        <v>88</v>
      </c>
      <c r="AH527">
        <v>4</v>
      </c>
      <c r="AI527">
        <v>4</v>
      </c>
      <c r="AJ527">
        <v>1</v>
      </c>
      <c r="AK527">
        <v>21</v>
      </c>
      <c r="AL527" t="s">
        <v>379</v>
      </c>
      <c r="AM527" t="s">
        <v>380</v>
      </c>
      <c r="AN527" t="s">
        <v>381</v>
      </c>
      <c r="AO527" t="s">
        <v>2441</v>
      </c>
      <c r="AP527" t="s">
        <v>10613</v>
      </c>
      <c r="AQ527" t="s">
        <v>74</v>
      </c>
      <c r="AR527" t="s">
        <v>2442</v>
      </c>
      <c r="AS527" t="s">
        <v>2443</v>
      </c>
      <c r="AT527" t="s">
        <v>10331</v>
      </c>
      <c r="AU527">
        <v>2019</v>
      </c>
      <c r="AV527">
        <v>223</v>
      </c>
      <c r="AW527" t="s">
        <v>74</v>
      </c>
      <c r="AX527" t="s">
        <v>74</v>
      </c>
      <c r="AY527" t="s">
        <v>74</v>
      </c>
      <c r="AZ527" t="s">
        <v>74</v>
      </c>
      <c r="BA527" t="s">
        <v>74</v>
      </c>
      <c r="BB527" t="s">
        <v>74</v>
      </c>
      <c r="BC527" t="s">
        <v>74</v>
      </c>
      <c r="BD527">
        <v>105945</v>
      </c>
      <c r="BE527" t="s">
        <v>10631</v>
      </c>
      <c r="BF527" t="str">
        <f>HYPERLINK("http://dx.doi.org/10.1016/j.quascirev.2019.105945","http://dx.doi.org/10.1016/j.quascirev.2019.105945")</f>
        <v>http://dx.doi.org/10.1016/j.quascirev.2019.105945</v>
      </c>
      <c r="BG527" t="s">
        <v>74</v>
      </c>
      <c r="BH527" t="s">
        <v>74</v>
      </c>
      <c r="BI527">
        <v>11</v>
      </c>
      <c r="BJ527" t="s">
        <v>462</v>
      </c>
      <c r="BK527" t="s">
        <v>294</v>
      </c>
      <c r="BL527" t="s">
        <v>463</v>
      </c>
      <c r="BM527" t="s">
        <v>10596</v>
      </c>
      <c r="BN527" t="s">
        <v>74</v>
      </c>
      <c r="BO527" t="s">
        <v>74</v>
      </c>
      <c r="BP527" t="s">
        <v>74</v>
      </c>
      <c r="BQ527" t="s">
        <v>74</v>
      </c>
      <c r="BR527" t="s">
        <v>108</v>
      </c>
      <c r="BS527" t="s">
        <v>10632</v>
      </c>
      <c r="BT527" t="str">
        <f>HYPERLINK("https%3A%2F%2Fwww.webofscience.com%2Fwos%2Fwoscc%2Ffull-record%2FWOS:000493220300016","View Full Record in Web of Science")</f>
        <v>View Full Record in Web of Science</v>
      </c>
    </row>
    <row r="528" spans="1:72" x14ac:dyDescent="0.15">
      <c r="A528" t="s">
        <v>133</v>
      </c>
      <c r="B528" t="s">
        <v>10633</v>
      </c>
      <c r="C528" t="s">
        <v>74</v>
      </c>
      <c r="D528" t="s">
        <v>74</v>
      </c>
      <c r="E528" t="s">
        <v>74</v>
      </c>
      <c r="F528" t="s">
        <v>10634</v>
      </c>
      <c r="G528" t="s">
        <v>74</v>
      </c>
      <c r="H528" t="s">
        <v>74</v>
      </c>
      <c r="I528" t="s">
        <v>10635</v>
      </c>
      <c r="J528" t="s">
        <v>1003</v>
      </c>
      <c r="K528" t="s">
        <v>74</v>
      </c>
      <c r="L528" t="s">
        <v>74</v>
      </c>
      <c r="M528" t="s">
        <v>80</v>
      </c>
      <c r="N528" t="s">
        <v>138</v>
      </c>
      <c r="O528" t="s">
        <v>74</v>
      </c>
      <c r="P528" t="s">
        <v>74</v>
      </c>
      <c r="Q528" t="s">
        <v>74</v>
      </c>
      <c r="R528" t="s">
        <v>74</v>
      </c>
      <c r="S528" t="s">
        <v>74</v>
      </c>
      <c r="T528" t="s">
        <v>10636</v>
      </c>
      <c r="U528" t="s">
        <v>10637</v>
      </c>
      <c r="V528" t="s">
        <v>10638</v>
      </c>
      <c r="W528" t="s">
        <v>10639</v>
      </c>
      <c r="X528" t="s">
        <v>10640</v>
      </c>
      <c r="Y528" t="s">
        <v>10641</v>
      </c>
      <c r="Z528" t="s">
        <v>10642</v>
      </c>
      <c r="AA528" t="s">
        <v>10643</v>
      </c>
      <c r="AB528" t="s">
        <v>10644</v>
      </c>
      <c r="AC528" t="s">
        <v>10645</v>
      </c>
      <c r="AD528" t="s">
        <v>10646</v>
      </c>
      <c r="AE528" t="s">
        <v>10647</v>
      </c>
      <c r="AF528" t="s">
        <v>74</v>
      </c>
      <c r="AG528">
        <v>82</v>
      </c>
      <c r="AH528">
        <v>31</v>
      </c>
      <c r="AI528">
        <v>33</v>
      </c>
      <c r="AJ528">
        <v>1</v>
      </c>
      <c r="AK528">
        <v>20</v>
      </c>
      <c r="AL528" t="s">
        <v>1016</v>
      </c>
      <c r="AM528" t="s">
        <v>1017</v>
      </c>
      <c r="AN528" t="s">
        <v>4703</v>
      </c>
      <c r="AO528" t="s">
        <v>1019</v>
      </c>
      <c r="AP528" t="s">
        <v>1020</v>
      </c>
      <c r="AQ528" t="s">
        <v>74</v>
      </c>
      <c r="AR528" t="s">
        <v>1021</v>
      </c>
      <c r="AS528" t="s">
        <v>1022</v>
      </c>
      <c r="AT528" t="s">
        <v>3457</v>
      </c>
      <c r="AU528">
        <v>2019</v>
      </c>
      <c r="AV528">
        <v>32</v>
      </c>
      <c r="AW528">
        <v>22</v>
      </c>
      <c r="AX528" t="s">
        <v>74</v>
      </c>
      <c r="AY528" t="s">
        <v>74</v>
      </c>
      <c r="AZ528" t="s">
        <v>74</v>
      </c>
      <c r="BA528" t="s">
        <v>74</v>
      </c>
      <c r="BB528">
        <v>7935</v>
      </c>
      <c r="BC528">
        <v>7949</v>
      </c>
      <c r="BD528" t="s">
        <v>74</v>
      </c>
      <c r="BE528" t="s">
        <v>10648</v>
      </c>
      <c r="BF528" t="str">
        <f>HYPERLINK("http://dx.doi.org/10.1175/JCLI-D-19-0149.1","http://dx.doi.org/10.1175/JCLI-D-19-0149.1")</f>
        <v>http://dx.doi.org/10.1175/JCLI-D-19-0149.1</v>
      </c>
      <c r="BG528" t="s">
        <v>74</v>
      </c>
      <c r="BH528" t="s">
        <v>74</v>
      </c>
      <c r="BI528">
        <v>15</v>
      </c>
      <c r="BJ528" t="s">
        <v>1024</v>
      </c>
      <c r="BK528" t="s">
        <v>294</v>
      </c>
      <c r="BL528" t="s">
        <v>1024</v>
      </c>
      <c r="BM528" t="s">
        <v>10649</v>
      </c>
      <c r="BN528" t="s">
        <v>74</v>
      </c>
      <c r="BO528" t="s">
        <v>588</v>
      </c>
      <c r="BP528" t="s">
        <v>74</v>
      </c>
      <c r="BQ528" t="s">
        <v>74</v>
      </c>
      <c r="BR528" t="s">
        <v>108</v>
      </c>
      <c r="BS528" t="s">
        <v>10650</v>
      </c>
      <c r="BT528" t="str">
        <f>HYPERLINK("https%3A%2F%2Fwww.webofscience.com%2Fwos%2Fwoscc%2Ffull-record%2FWOS:000492863100002","View Full Record in Web of Science")</f>
        <v>View Full Record in Web of Science</v>
      </c>
    </row>
    <row r="529" spans="1:72" x14ac:dyDescent="0.15">
      <c r="A529" t="s">
        <v>133</v>
      </c>
      <c r="B529" t="s">
        <v>10651</v>
      </c>
      <c r="C529" t="s">
        <v>74</v>
      </c>
      <c r="D529" t="s">
        <v>74</v>
      </c>
      <c r="E529" t="s">
        <v>74</v>
      </c>
      <c r="F529" t="s">
        <v>10652</v>
      </c>
      <c r="G529" t="s">
        <v>74</v>
      </c>
      <c r="H529" t="s">
        <v>74</v>
      </c>
      <c r="I529" t="s">
        <v>10653</v>
      </c>
      <c r="J529" t="s">
        <v>4693</v>
      </c>
      <c r="K529" t="s">
        <v>74</v>
      </c>
      <c r="L529" t="s">
        <v>74</v>
      </c>
      <c r="M529" t="s">
        <v>80</v>
      </c>
      <c r="N529" t="s">
        <v>138</v>
      </c>
      <c r="O529" t="s">
        <v>74</v>
      </c>
      <c r="P529" t="s">
        <v>74</v>
      </c>
      <c r="Q529" t="s">
        <v>74</v>
      </c>
      <c r="R529" t="s">
        <v>74</v>
      </c>
      <c r="S529" t="s">
        <v>74</v>
      </c>
      <c r="T529" t="s">
        <v>10654</v>
      </c>
      <c r="U529" t="s">
        <v>10655</v>
      </c>
      <c r="V529" t="s">
        <v>10656</v>
      </c>
      <c r="W529" t="s">
        <v>10657</v>
      </c>
      <c r="X529" t="s">
        <v>10658</v>
      </c>
      <c r="Y529" t="s">
        <v>10659</v>
      </c>
      <c r="Z529" t="s">
        <v>10660</v>
      </c>
      <c r="AA529" t="s">
        <v>10661</v>
      </c>
      <c r="AB529" t="s">
        <v>10662</v>
      </c>
      <c r="AC529" t="s">
        <v>10663</v>
      </c>
      <c r="AD529" t="s">
        <v>10664</v>
      </c>
      <c r="AE529" t="s">
        <v>10665</v>
      </c>
      <c r="AF529" t="s">
        <v>74</v>
      </c>
      <c r="AG529">
        <v>71</v>
      </c>
      <c r="AH529">
        <v>30</v>
      </c>
      <c r="AI529">
        <v>35</v>
      </c>
      <c r="AJ529">
        <v>1</v>
      </c>
      <c r="AK529">
        <v>15</v>
      </c>
      <c r="AL529" t="s">
        <v>1016</v>
      </c>
      <c r="AM529" t="s">
        <v>1017</v>
      </c>
      <c r="AN529" t="s">
        <v>4703</v>
      </c>
      <c r="AO529" t="s">
        <v>4704</v>
      </c>
      <c r="AP529" t="s">
        <v>4705</v>
      </c>
      <c r="AQ529" t="s">
        <v>74</v>
      </c>
      <c r="AR529" t="s">
        <v>4706</v>
      </c>
      <c r="AS529" t="s">
        <v>4707</v>
      </c>
      <c r="AT529" t="s">
        <v>3457</v>
      </c>
      <c r="AU529">
        <v>2019</v>
      </c>
      <c r="AV529">
        <v>49</v>
      </c>
      <c r="AW529">
        <v>11</v>
      </c>
      <c r="AX529" t="s">
        <v>74</v>
      </c>
      <c r="AY529" t="s">
        <v>74</v>
      </c>
      <c r="AZ529" t="s">
        <v>74</v>
      </c>
      <c r="BA529" t="s">
        <v>74</v>
      </c>
      <c r="BB529">
        <v>2829</v>
      </c>
      <c r="BC529">
        <v>2849</v>
      </c>
      <c r="BD529" t="s">
        <v>74</v>
      </c>
      <c r="BE529" t="s">
        <v>10666</v>
      </c>
      <c r="BF529" t="str">
        <f>HYPERLINK("http://dx.doi.org/10.1175/JPO-D-19-0064.1","http://dx.doi.org/10.1175/JPO-D-19-0064.1")</f>
        <v>http://dx.doi.org/10.1175/JPO-D-19-0064.1</v>
      </c>
      <c r="BG529" t="s">
        <v>74</v>
      </c>
      <c r="BH529" t="s">
        <v>74</v>
      </c>
      <c r="BI529">
        <v>21</v>
      </c>
      <c r="BJ529" t="s">
        <v>1945</v>
      </c>
      <c r="BK529" t="s">
        <v>294</v>
      </c>
      <c r="BL529" t="s">
        <v>1945</v>
      </c>
      <c r="BM529" t="s">
        <v>10667</v>
      </c>
      <c r="BN529" t="s">
        <v>74</v>
      </c>
      <c r="BO529" t="s">
        <v>10668</v>
      </c>
      <c r="BP529" t="s">
        <v>74</v>
      </c>
      <c r="BQ529" t="s">
        <v>74</v>
      </c>
      <c r="BR529" t="s">
        <v>108</v>
      </c>
      <c r="BS529" t="s">
        <v>10669</v>
      </c>
      <c r="BT529" t="str">
        <f>HYPERLINK("https%3A%2F%2Fwww.webofscience.com%2Fwos%2Fwoscc%2Ffull-record%2FWOS:000492886000001","View Full Record in Web of Science")</f>
        <v>View Full Record in Web of Science</v>
      </c>
    </row>
    <row r="530" spans="1:72" x14ac:dyDescent="0.15">
      <c r="A530" t="s">
        <v>133</v>
      </c>
      <c r="B530" t="s">
        <v>10670</v>
      </c>
      <c r="C530" t="s">
        <v>74</v>
      </c>
      <c r="D530" t="s">
        <v>74</v>
      </c>
      <c r="E530" t="s">
        <v>74</v>
      </c>
      <c r="F530" t="s">
        <v>10671</v>
      </c>
      <c r="G530" t="s">
        <v>74</v>
      </c>
      <c r="H530" t="s">
        <v>74</v>
      </c>
      <c r="I530" t="s">
        <v>10672</v>
      </c>
      <c r="J530" t="s">
        <v>929</v>
      </c>
      <c r="K530" t="s">
        <v>74</v>
      </c>
      <c r="L530" t="s">
        <v>74</v>
      </c>
      <c r="M530" t="s">
        <v>80</v>
      </c>
      <c r="N530" t="s">
        <v>930</v>
      </c>
      <c r="O530" t="s">
        <v>74</v>
      </c>
      <c r="P530" t="s">
        <v>74</v>
      </c>
      <c r="Q530" t="s">
        <v>74</v>
      </c>
      <c r="R530" t="s">
        <v>74</v>
      </c>
      <c r="S530" t="s">
        <v>74</v>
      </c>
      <c r="T530" t="s">
        <v>74</v>
      </c>
      <c r="U530" t="s">
        <v>10673</v>
      </c>
      <c r="V530" t="s">
        <v>10674</v>
      </c>
      <c r="W530" t="s">
        <v>10675</v>
      </c>
      <c r="X530" t="s">
        <v>10676</v>
      </c>
      <c r="Y530" t="s">
        <v>10677</v>
      </c>
      <c r="Z530" t="s">
        <v>10678</v>
      </c>
      <c r="AA530" t="s">
        <v>10679</v>
      </c>
      <c r="AB530" t="s">
        <v>10680</v>
      </c>
      <c r="AC530" t="s">
        <v>74</v>
      </c>
      <c r="AD530" t="s">
        <v>74</v>
      </c>
      <c r="AE530" t="s">
        <v>74</v>
      </c>
      <c r="AF530" t="s">
        <v>74</v>
      </c>
      <c r="AG530">
        <v>60</v>
      </c>
      <c r="AH530">
        <v>147</v>
      </c>
      <c r="AI530">
        <v>158</v>
      </c>
      <c r="AJ530">
        <v>8</v>
      </c>
      <c r="AK530">
        <v>73</v>
      </c>
      <c r="AL530" t="s">
        <v>942</v>
      </c>
      <c r="AM530" t="s">
        <v>606</v>
      </c>
      <c r="AN530" t="s">
        <v>943</v>
      </c>
      <c r="AO530" t="s">
        <v>944</v>
      </c>
      <c r="AP530" t="s">
        <v>945</v>
      </c>
      <c r="AQ530" t="s">
        <v>74</v>
      </c>
      <c r="AR530" t="s">
        <v>946</v>
      </c>
      <c r="AS530" t="s">
        <v>947</v>
      </c>
      <c r="AT530" t="s">
        <v>3457</v>
      </c>
      <c r="AU530">
        <v>2019</v>
      </c>
      <c r="AV530">
        <v>34</v>
      </c>
      <c r="AW530">
        <v>11</v>
      </c>
      <c r="AX530" t="s">
        <v>74</v>
      </c>
      <c r="AY530" t="s">
        <v>74</v>
      </c>
      <c r="AZ530" t="s">
        <v>74</v>
      </c>
      <c r="BA530" t="s">
        <v>74</v>
      </c>
      <c r="BB530">
        <v>977</v>
      </c>
      <c r="BC530">
        <v>986</v>
      </c>
      <c r="BD530" t="s">
        <v>74</v>
      </c>
      <c r="BE530" t="s">
        <v>10681</v>
      </c>
      <c r="BF530" t="str">
        <f>HYPERLINK("http://dx.doi.org/10.1016/j.tree.2019.06.009","http://dx.doi.org/10.1016/j.tree.2019.06.009")</f>
        <v>http://dx.doi.org/10.1016/j.tree.2019.06.009</v>
      </c>
      <c r="BG530" t="s">
        <v>74</v>
      </c>
      <c r="BH530" t="s">
        <v>74</v>
      </c>
      <c r="BI530">
        <v>10</v>
      </c>
      <c r="BJ530" t="s">
        <v>949</v>
      </c>
      <c r="BK530" t="s">
        <v>294</v>
      </c>
      <c r="BL530" t="s">
        <v>950</v>
      </c>
      <c r="BM530" t="s">
        <v>10682</v>
      </c>
      <c r="BN530">
        <v>31324345</v>
      </c>
      <c r="BO530" t="s">
        <v>2403</v>
      </c>
      <c r="BP530" t="s">
        <v>74</v>
      </c>
      <c r="BQ530" t="s">
        <v>74</v>
      </c>
      <c r="BR530" t="s">
        <v>108</v>
      </c>
      <c r="BS530" t="s">
        <v>10683</v>
      </c>
      <c r="BT530" t="str">
        <f>HYPERLINK("https%3A%2F%2Fwww.webofscience.com%2Fwos%2Fwoscc%2Ffull-record%2FWOS:000492691100006","View Full Record in Web of Science")</f>
        <v>View Full Record in Web of Science</v>
      </c>
    </row>
    <row r="531" spans="1:72" x14ac:dyDescent="0.15">
      <c r="A531" t="s">
        <v>133</v>
      </c>
      <c r="B531" t="s">
        <v>10684</v>
      </c>
      <c r="C531" t="s">
        <v>74</v>
      </c>
      <c r="D531" t="s">
        <v>74</v>
      </c>
      <c r="E531" t="s">
        <v>74</v>
      </c>
      <c r="F531" t="s">
        <v>10685</v>
      </c>
      <c r="G531" t="s">
        <v>74</v>
      </c>
      <c r="H531" t="s">
        <v>74</v>
      </c>
      <c r="I531" t="s">
        <v>10686</v>
      </c>
      <c r="J531" t="s">
        <v>10687</v>
      </c>
      <c r="K531" t="s">
        <v>74</v>
      </c>
      <c r="L531" t="s">
        <v>74</v>
      </c>
      <c r="M531" t="s">
        <v>80</v>
      </c>
      <c r="N531" t="s">
        <v>930</v>
      </c>
      <c r="O531" t="s">
        <v>74</v>
      </c>
      <c r="P531" t="s">
        <v>74</v>
      </c>
      <c r="Q531" t="s">
        <v>74</v>
      </c>
      <c r="R531" t="s">
        <v>74</v>
      </c>
      <c r="S531" t="s">
        <v>74</v>
      </c>
      <c r="T531" t="s">
        <v>10688</v>
      </c>
      <c r="U531" t="s">
        <v>10689</v>
      </c>
      <c r="V531" t="s">
        <v>10690</v>
      </c>
      <c r="W531" t="s">
        <v>10691</v>
      </c>
      <c r="X531" t="s">
        <v>10692</v>
      </c>
      <c r="Y531" t="s">
        <v>10693</v>
      </c>
      <c r="Z531" t="s">
        <v>10694</v>
      </c>
      <c r="AA531" t="s">
        <v>10695</v>
      </c>
      <c r="AB531" t="s">
        <v>10696</v>
      </c>
      <c r="AC531" t="s">
        <v>74</v>
      </c>
      <c r="AD531" t="s">
        <v>74</v>
      </c>
      <c r="AE531" t="s">
        <v>74</v>
      </c>
      <c r="AF531" t="s">
        <v>74</v>
      </c>
      <c r="AG531">
        <v>307</v>
      </c>
      <c r="AH531">
        <v>46</v>
      </c>
      <c r="AI531">
        <v>48</v>
      </c>
      <c r="AJ531">
        <v>1</v>
      </c>
      <c r="AK531">
        <v>24</v>
      </c>
      <c r="AL531" t="s">
        <v>1964</v>
      </c>
      <c r="AM531" t="s">
        <v>4096</v>
      </c>
      <c r="AN531" t="s">
        <v>4097</v>
      </c>
      <c r="AO531" t="s">
        <v>10697</v>
      </c>
      <c r="AP531" t="s">
        <v>10698</v>
      </c>
      <c r="AQ531" t="s">
        <v>74</v>
      </c>
      <c r="AR531" t="s">
        <v>10699</v>
      </c>
      <c r="AS531" t="s">
        <v>10700</v>
      </c>
      <c r="AT531" t="s">
        <v>3457</v>
      </c>
      <c r="AU531">
        <v>2019</v>
      </c>
      <c r="AV531">
        <v>40</v>
      </c>
      <c r="AW531">
        <v>6</v>
      </c>
      <c r="AX531" t="s">
        <v>74</v>
      </c>
      <c r="AY531" t="s">
        <v>74</v>
      </c>
      <c r="AZ531" t="s">
        <v>555</v>
      </c>
      <c r="BA531" t="s">
        <v>74</v>
      </c>
      <c r="BB531">
        <v>1493</v>
      </c>
      <c r="BC531">
        <v>1541</v>
      </c>
      <c r="BD531" t="s">
        <v>74</v>
      </c>
      <c r="BE531" t="s">
        <v>10701</v>
      </c>
      <c r="BF531" t="str">
        <f>HYPERLINK("http://dx.doi.org/10.1007/s10712-019-09562-8","http://dx.doi.org/10.1007/s10712-019-09562-8")</f>
        <v>http://dx.doi.org/10.1007/s10712-019-09562-8</v>
      </c>
      <c r="BG531" t="s">
        <v>74</v>
      </c>
      <c r="BH531" t="s">
        <v>74</v>
      </c>
      <c r="BI531">
        <v>49</v>
      </c>
      <c r="BJ531" t="s">
        <v>1067</v>
      </c>
      <c r="BK531" t="s">
        <v>294</v>
      </c>
      <c r="BL531" t="s">
        <v>1067</v>
      </c>
      <c r="BM531" t="s">
        <v>10702</v>
      </c>
      <c r="BN531">
        <v>31708599</v>
      </c>
      <c r="BO531" t="s">
        <v>2237</v>
      </c>
      <c r="BP531" t="s">
        <v>74</v>
      </c>
      <c r="BQ531" t="s">
        <v>74</v>
      </c>
      <c r="BR531" t="s">
        <v>108</v>
      </c>
      <c r="BS531" t="s">
        <v>10703</v>
      </c>
      <c r="BT531" t="str">
        <f>HYPERLINK("https%3A%2F%2Fwww.webofscience.com%2Fwos%2Fwoscc%2Ffull-record%2FWOS:000492421700010","View Full Record in Web of Science")</f>
        <v>View Full Record in Web of Science</v>
      </c>
    </row>
    <row r="532" spans="1:72" x14ac:dyDescent="0.15">
      <c r="A532" t="s">
        <v>133</v>
      </c>
      <c r="B532" t="s">
        <v>10704</v>
      </c>
      <c r="C532" t="s">
        <v>74</v>
      </c>
      <c r="D532" t="s">
        <v>74</v>
      </c>
      <c r="E532" t="s">
        <v>74</v>
      </c>
      <c r="F532" t="s">
        <v>10705</v>
      </c>
      <c r="G532" t="s">
        <v>74</v>
      </c>
      <c r="H532" t="s">
        <v>74</v>
      </c>
      <c r="I532" t="s">
        <v>10706</v>
      </c>
      <c r="J532" t="s">
        <v>10707</v>
      </c>
      <c r="K532" t="s">
        <v>74</v>
      </c>
      <c r="L532" t="s">
        <v>74</v>
      </c>
      <c r="M532" t="s">
        <v>80</v>
      </c>
      <c r="N532" t="s">
        <v>138</v>
      </c>
      <c r="O532" t="s">
        <v>74</v>
      </c>
      <c r="P532" t="s">
        <v>74</v>
      </c>
      <c r="Q532" t="s">
        <v>74</v>
      </c>
      <c r="R532" t="s">
        <v>74</v>
      </c>
      <c r="S532" t="s">
        <v>74</v>
      </c>
      <c r="T532" t="s">
        <v>10708</v>
      </c>
      <c r="U532" t="s">
        <v>10709</v>
      </c>
      <c r="V532" t="s">
        <v>10710</v>
      </c>
      <c r="W532" t="s">
        <v>10711</v>
      </c>
      <c r="X532" t="s">
        <v>10712</v>
      </c>
      <c r="Y532" t="s">
        <v>10713</v>
      </c>
      <c r="Z532" t="s">
        <v>10714</v>
      </c>
      <c r="AA532" t="s">
        <v>10715</v>
      </c>
      <c r="AB532" t="s">
        <v>10716</v>
      </c>
      <c r="AC532" t="s">
        <v>10717</v>
      </c>
      <c r="AD532" t="s">
        <v>10718</v>
      </c>
      <c r="AE532" t="s">
        <v>10719</v>
      </c>
      <c r="AF532" t="s">
        <v>74</v>
      </c>
      <c r="AG532">
        <v>66</v>
      </c>
      <c r="AH532">
        <v>6</v>
      </c>
      <c r="AI532">
        <v>6</v>
      </c>
      <c r="AJ532">
        <v>0</v>
      </c>
      <c r="AK532">
        <v>6</v>
      </c>
      <c r="AL532" t="s">
        <v>10720</v>
      </c>
      <c r="AM532" t="s">
        <v>1706</v>
      </c>
      <c r="AN532" t="s">
        <v>10721</v>
      </c>
      <c r="AO532" t="s">
        <v>10722</v>
      </c>
      <c r="AP532" t="s">
        <v>10723</v>
      </c>
      <c r="AQ532" t="s">
        <v>74</v>
      </c>
      <c r="AR532" t="s">
        <v>10724</v>
      </c>
      <c r="AS532" t="s">
        <v>10725</v>
      </c>
      <c r="AT532" t="s">
        <v>3457</v>
      </c>
      <c r="AU532">
        <v>2019</v>
      </c>
      <c r="AV532">
        <v>55</v>
      </c>
      <c r="AW532">
        <v>4</v>
      </c>
      <c r="AX532" t="s">
        <v>74</v>
      </c>
      <c r="AY532" t="s">
        <v>74</v>
      </c>
      <c r="AZ532" t="s">
        <v>74</v>
      </c>
      <c r="BA532" t="s">
        <v>74</v>
      </c>
      <c r="BB532">
        <v>589</v>
      </c>
      <c r="BC532">
        <v>608</v>
      </c>
      <c r="BD532" t="s">
        <v>74</v>
      </c>
      <c r="BE532" t="s">
        <v>10726</v>
      </c>
      <c r="BF532" t="str">
        <f>HYPERLINK("http://dx.doi.org/10.1007/s13143-019-00104-1","http://dx.doi.org/10.1007/s13143-019-00104-1")</f>
        <v>http://dx.doi.org/10.1007/s13143-019-00104-1</v>
      </c>
      <c r="BG532" t="s">
        <v>74</v>
      </c>
      <c r="BH532" t="s">
        <v>74</v>
      </c>
      <c r="BI532">
        <v>20</v>
      </c>
      <c r="BJ532" t="s">
        <v>1024</v>
      </c>
      <c r="BK532" t="s">
        <v>294</v>
      </c>
      <c r="BL532" t="s">
        <v>1024</v>
      </c>
      <c r="BM532" t="s">
        <v>10727</v>
      </c>
      <c r="BN532" t="s">
        <v>74</v>
      </c>
      <c r="BO532" t="s">
        <v>74</v>
      </c>
      <c r="BP532" t="s">
        <v>74</v>
      </c>
      <c r="BQ532" t="s">
        <v>74</v>
      </c>
      <c r="BR532" t="s">
        <v>108</v>
      </c>
      <c r="BS532" t="s">
        <v>10728</v>
      </c>
      <c r="BT532" t="str">
        <f>HYPERLINK("https%3A%2F%2Fwww.webofscience.com%2Fwos%2Fwoscc%2Ffull-record%2FWOS:000491562300004","View Full Record in Web of Science")</f>
        <v>View Full Record in Web of Science</v>
      </c>
    </row>
    <row r="533" spans="1:72" x14ac:dyDescent="0.15">
      <c r="A533" t="s">
        <v>133</v>
      </c>
      <c r="B533" t="s">
        <v>10729</v>
      </c>
      <c r="C533" t="s">
        <v>74</v>
      </c>
      <c r="D533" t="s">
        <v>74</v>
      </c>
      <c r="E533" t="s">
        <v>74</v>
      </c>
      <c r="F533" t="s">
        <v>10730</v>
      </c>
      <c r="G533" t="s">
        <v>74</v>
      </c>
      <c r="H533" t="s">
        <v>74</v>
      </c>
      <c r="I533" t="s">
        <v>10731</v>
      </c>
      <c r="J533" t="s">
        <v>10732</v>
      </c>
      <c r="K533" t="s">
        <v>74</v>
      </c>
      <c r="L533" t="s">
        <v>74</v>
      </c>
      <c r="M533" t="s">
        <v>80</v>
      </c>
      <c r="N533" t="s">
        <v>10733</v>
      </c>
      <c r="O533" t="s">
        <v>74</v>
      </c>
      <c r="P533" t="s">
        <v>74</v>
      </c>
      <c r="Q533" t="s">
        <v>74</v>
      </c>
      <c r="R533" t="s">
        <v>74</v>
      </c>
      <c r="S533" t="s">
        <v>74</v>
      </c>
      <c r="T533" t="s">
        <v>10734</v>
      </c>
      <c r="U533" t="s">
        <v>10735</v>
      </c>
      <c r="V533" t="s">
        <v>10736</v>
      </c>
      <c r="W533" t="s">
        <v>10737</v>
      </c>
      <c r="X533" t="s">
        <v>10738</v>
      </c>
      <c r="Y533" t="s">
        <v>10739</v>
      </c>
      <c r="Z533" t="s">
        <v>10740</v>
      </c>
      <c r="AA533" t="s">
        <v>10741</v>
      </c>
      <c r="AB533" t="s">
        <v>10742</v>
      </c>
      <c r="AC533" t="s">
        <v>10743</v>
      </c>
      <c r="AD533" t="s">
        <v>10744</v>
      </c>
      <c r="AE533" t="s">
        <v>10745</v>
      </c>
      <c r="AF533" t="s">
        <v>74</v>
      </c>
      <c r="AG533">
        <v>50</v>
      </c>
      <c r="AH533">
        <v>3</v>
      </c>
      <c r="AI533">
        <v>3</v>
      </c>
      <c r="AJ533">
        <v>1</v>
      </c>
      <c r="AK533">
        <v>33</v>
      </c>
      <c r="AL533" t="s">
        <v>1964</v>
      </c>
      <c r="AM533" t="s">
        <v>1965</v>
      </c>
      <c r="AN533" t="s">
        <v>1966</v>
      </c>
      <c r="AO533" t="s">
        <v>10746</v>
      </c>
      <c r="AP533" t="s">
        <v>10747</v>
      </c>
      <c r="AQ533" t="s">
        <v>74</v>
      </c>
      <c r="AR533" t="s">
        <v>10732</v>
      </c>
      <c r="AS533" t="s">
        <v>10748</v>
      </c>
      <c r="AT533" t="s">
        <v>3457</v>
      </c>
      <c r="AU533">
        <v>2019</v>
      </c>
      <c r="AV533">
        <v>22</v>
      </c>
      <c r="AW533">
        <v>7</v>
      </c>
      <c r="AX533" t="s">
        <v>74</v>
      </c>
      <c r="AY533" t="s">
        <v>74</v>
      </c>
      <c r="AZ533" t="s">
        <v>74</v>
      </c>
      <c r="BA533" t="s">
        <v>74</v>
      </c>
      <c r="BB533">
        <v>1573</v>
      </c>
      <c r="BC533">
        <v>1591</v>
      </c>
      <c r="BD533" t="s">
        <v>74</v>
      </c>
      <c r="BE533" t="s">
        <v>10749</v>
      </c>
      <c r="BF533" t="str">
        <f>HYPERLINK("http://dx.doi.org/10.1007/s10021-019-00358-w","http://dx.doi.org/10.1007/s10021-019-00358-w")</f>
        <v>http://dx.doi.org/10.1007/s10021-019-00358-w</v>
      </c>
      <c r="BG533" t="s">
        <v>74</v>
      </c>
      <c r="BH533" t="s">
        <v>74</v>
      </c>
      <c r="BI533">
        <v>19</v>
      </c>
      <c r="BJ533" t="s">
        <v>437</v>
      </c>
      <c r="BK533" t="s">
        <v>360</v>
      </c>
      <c r="BL533" t="s">
        <v>388</v>
      </c>
      <c r="BM533" t="s">
        <v>10750</v>
      </c>
      <c r="BN533" t="s">
        <v>74</v>
      </c>
      <c r="BO533" t="s">
        <v>666</v>
      </c>
      <c r="BP533" t="s">
        <v>74</v>
      </c>
      <c r="BQ533" t="s">
        <v>74</v>
      </c>
      <c r="BR533" t="s">
        <v>108</v>
      </c>
      <c r="BS533" t="s">
        <v>10751</v>
      </c>
      <c r="BT533" t="str">
        <f>HYPERLINK("https%3A%2F%2Fwww.webofscience.com%2Fwos%2Fwoscc%2Ffull-record%2FWOS:000491597900010","View Full Record in Web of Science")</f>
        <v>View Full Record in Web of Science</v>
      </c>
    </row>
    <row r="534" spans="1:72" x14ac:dyDescent="0.15">
      <c r="A534" t="s">
        <v>133</v>
      </c>
      <c r="B534" t="s">
        <v>10752</v>
      </c>
      <c r="C534" t="s">
        <v>74</v>
      </c>
      <c r="D534" t="s">
        <v>74</v>
      </c>
      <c r="E534" t="s">
        <v>74</v>
      </c>
      <c r="F534" t="s">
        <v>10753</v>
      </c>
      <c r="G534" t="s">
        <v>74</v>
      </c>
      <c r="H534" t="s">
        <v>74</v>
      </c>
      <c r="I534" t="s">
        <v>10754</v>
      </c>
      <c r="J534" t="s">
        <v>10755</v>
      </c>
      <c r="K534" t="s">
        <v>74</v>
      </c>
      <c r="L534" t="s">
        <v>74</v>
      </c>
      <c r="M534" t="s">
        <v>80</v>
      </c>
      <c r="N534" t="s">
        <v>138</v>
      </c>
      <c r="O534" t="s">
        <v>74</v>
      </c>
      <c r="P534" t="s">
        <v>74</v>
      </c>
      <c r="Q534" t="s">
        <v>74</v>
      </c>
      <c r="R534" t="s">
        <v>74</v>
      </c>
      <c r="S534" t="s">
        <v>74</v>
      </c>
      <c r="T534" t="s">
        <v>10756</v>
      </c>
      <c r="U534" t="s">
        <v>10757</v>
      </c>
      <c r="V534" t="s">
        <v>10758</v>
      </c>
      <c r="W534" t="s">
        <v>10759</v>
      </c>
      <c r="X534" t="s">
        <v>10760</v>
      </c>
      <c r="Y534" t="s">
        <v>10761</v>
      </c>
      <c r="Z534" t="s">
        <v>10762</v>
      </c>
      <c r="AA534" t="s">
        <v>10763</v>
      </c>
      <c r="AB534" t="s">
        <v>10764</v>
      </c>
      <c r="AC534" t="s">
        <v>10765</v>
      </c>
      <c r="AD534" t="s">
        <v>10765</v>
      </c>
      <c r="AE534" t="s">
        <v>10766</v>
      </c>
      <c r="AF534" t="s">
        <v>74</v>
      </c>
      <c r="AG534">
        <v>64</v>
      </c>
      <c r="AH534">
        <v>25</v>
      </c>
      <c r="AI534">
        <v>25</v>
      </c>
      <c r="AJ534">
        <v>0</v>
      </c>
      <c r="AK534">
        <v>8</v>
      </c>
      <c r="AL534" t="s">
        <v>5898</v>
      </c>
      <c r="AM534" t="s">
        <v>1965</v>
      </c>
      <c r="AN534" t="s">
        <v>5899</v>
      </c>
      <c r="AO534" t="s">
        <v>10767</v>
      </c>
      <c r="AP534" t="s">
        <v>10768</v>
      </c>
      <c r="AQ534" t="s">
        <v>74</v>
      </c>
      <c r="AR534" t="s">
        <v>10769</v>
      </c>
      <c r="AS534" t="s">
        <v>10770</v>
      </c>
      <c r="AT534" t="s">
        <v>3457</v>
      </c>
      <c r="AU534">
        <v>2019</v>
      </c>
      <c r="AV534">
        <v>225</v>
      </c>
      <c r="AW534" t="s">
        <v>74</v>
      </c>
      <c r="AX534" t="s">
        <v>74</v>
      </c>
      <c r="AY534" t="s">
        <v>74</v>
      </c>
      <c r="AZ534" t="s">
        <v>74</v>
      </c>
      <c r="BA534" t="s">
        <v>74</v>
      </c>
      <c r="BB534" t="s">
        <v>74</v>
      </c>
      <c r="BC534" t="s">
        <v>74</v>
      </c>
      <c r="BD534">
        <v>108580</v>
      </c>
      <c r="BE534" t="s">
        <v>10771</v>
      </c>
      <c r="BF534" t="str">
        <f>HYPERLINK("http://dx.doi.org/10.1016/j.cbpc.2019.108580","http://dx.doi.org/10.1016/j.cbpc.2019.108580")</f>
        <v>http://dx.doi.org/10.1016/j.cbpc.2019.108580</v>
      </c>
      <c r="BG534" t="s">
        <v>74</v>
      </c>
      <c r="BH534" t="s">
        <v>74</v>
      </c>
      <c r="BI534">
        <v>12</v>
      </c>
      <c r="BJ534" t="s">
        <v>10772</v>
      </c>
      <c r="BK534" t="s">
        <v>294</v>
      </c>
      <c r="BL534" t="s">
        <v>10772</v>
      </c>
      <c r="BM534" t="s">
        <v>10773</v>
      </c>
      <c r="BN534">
        <v>31374295</v>
      </c>
      <c r="BO534" t="s">
        <v>74</v>
      </c>
      <c r="BP534" t="s">
        <v>74</v>
      </c>
      <c r="BQ534" t="s">
        <v>74</v>
      </c>
      <c r="BR534" t="s">
        <v>108</v>
      </c>
      <c r="BS534" t="s">
        <v>10774</v>
      </c>
      <c r="BT534" t="str">
        <f>HYPERLINK("https%3A%2F%2Fwww.webofscience.com%2Fwos%2Fwoscc%2Ffull-record%2FWOS:000488304600013","View Full Record in Web of Science")</f>
        <v>View Full Record in Web of Science</v>
      </c>
    </row>
    <row r="535" spans="1:72" x14ac:dyDescent="0.15">
      <c r="A535" t="s">
        <v>133</v>
      </c>
      <c r="B535" t="s">
        <v>10775</v>
      </c>
      <c r="C535" t="s">
        <v>74</v>
      </c>
      <c r="D535" t="s">
        <v>74</v>
      </c>
      <c r="E535" t="s">
        <v>74</v>
      </c>
      <c r="F535" t="s">
        <v>10776</v>
      </c>
      <c r="G535" t="s">
        <v>74</v>
      </c>
      <c r="H535" t="s">
        <v>74</v>
      </c>
      <c r="I535" t="s">
        <v>10777</v>
      </c>
      <c r="J535" t="s">
        <v>10778</v>
      </c>
      <c r="K535" t="s">
        <v>74</v>
      </c>
      <c r="L535" t="s">
        <v>74</v>
      </c>
      <c r="M535" t="s">
        <v>80</v>
      </c>
      <c r="N535" t="s">
        <v>1996</v>
      </c>
      <c r="O535" t="s">
        <v>10779</v>
      </c>
      <c r="P535" t="s">
        <v>10780</v>
      </c>
      <c r="Q535" t="s">
        <v>10781</v>
      </c>
      <c r="R535" t="s">
        <v>74</v>
      </c>
      <c r="S535" t="s">
        <v>10782</v>
      </c>
      <c r="T535" t="s">
        <v>74</v>
      </c>
      <c r="U535" t="s">
        <v>10783</v>
      </c>
      <c r="V535" t="s">
        <v>10784</v>
      </c>
      <c r="W535" t="s">
        <v>10785</v>
      </c>
      <c r="X535" t="s">
        <v>10786</v>
      </c>
      <c r="Y535" t="s">
        <v>10787</v>
      </c>
      <c r="Z535" t="s">
        <v>10788</v>
      </c>
      <c r="AA535" t="s">
        <v>10789</v>
      </c>
      <c r="AB535" t="s">
        <v>10790</v>
      </c>
      <c r="AC535" t="s">
        <v>10791</v>
      </c>
      <c r="AD535" t="s">
        <v>10792</v>
      </c>
      <c r="AE535" t="s">
        <v>10793</v>
      </c>
      <c r="AF535" t="s">
        <v>74</v>
      </c>
      <c r="AG535">
        <v>72</v>
      </c>
      <c r="AH535">
        <v>10</v>
      </c>
      <c r="AI535">
        <v>11</v>
      </c>
      <c r="AJ535">
        <v>3</v>
      </c>
      <c r="AK535">
        <v>27</v>
      </c>
      <c r="AL535" t="s">
        <v>379</v>
      </c>
      <c r="AM535" t="s">
        <v>380</v>
      </c>
      <c r="AN535" t="s">
        <v>381</v>
      </c>
      <c r="AO535" t="s">
        <v>10794</v>
      </c>
      <c r="AP535" t="s">
        <v>10795</v>
      </c>
      <c r="AQ535" t="s">
        <v>74</v>
      </c>
      <c r="AR535" t="s">
        <v>10796</v>
      </c>
      <c r="AS535" t="s">
        <v>10797</v>
      </c>
      <c r="AT535" t="s">
        <v>9473</v>
      </c>
      <c r="AU535">
        <v>2019</v>
      </c>
      <c r="AV535">
        <v>169</v>
      </c>
      <c r="AW535" t="s">
        <v>74</v>
      </c>
      <c r="AX535" t="s">
        <v>74</v>
      </c>
      <c r="AY535" t="s">
        <v>74</v>
      </c>
      <c r="AZ535" t="s">
        <v>555</v>
      </c>
      <c r="BA535" t="s">
        <v>74</v>
      </c>
      <c r="BB535" t="s">
        <v>74</v>
      </c>
      <c r="BC535" t="s">
        <v>74</v>
      </c>
      <c r="BD535">
        <v>104680</v>
      </c>
      <c r="BE535" t="s">
        <v>10798</v>
      </c>
      <c r="BF535" t="str">
        <f>HYPERLINK("http://dx.doi.org/10.1016/j.dsr2.2019.104680","http://dx.doi.org/10.1016/j.dsr2.2019.104680")</f>
        <v>http://dx.doi.org/10.1016/j.dsr2.2019.104680</v>
      </c>
      <c r="BG535" t="s">
        <v>74</v>
      </c>
      <c r="BH535" t="s">
        <v>74</v>
      </c>
      <c r="BI535">
        <v>14</v>
      </c>
      <c r="BJ535" t="s">
        <v>1945</v>
      </c>
      <c r="BK535" t="s">
        <v>2020</v>
      </c>
      <c r="BL535" t="s">
        <v>1945</v>
      </c>
      <c r="BM535" t="s">
        <v>10799</v>
      </c>
      <c r="BN535" t="s">
        <v>74</v>
      </c>
      <c r="BO535" t="s">
        <v>2403</v>
      </c>
      <c r="BP535" t="s">
        <v>74</v>
      </c>
      <c r="BQ535" t="s">
        <v>74</v>
      </c>
      <c r="BR535" t="s">
        <v>108</v>
      </c>
      <c r="BS535" t="s">
        <v>10800</v>
      </c>
      <c r="BT535" t="str">
        <f>HYPERLINK("https%3A%2F%2Fwww.webofscience.com%2Fwos%2Fwoscc%2Ffull-record%2FWOS:000504782200011","View Full Record in Web of Science")</f>
        <v>View Full Record in Web of Science</v>
      </c>
    </row>
    <row r="536" spans="1:72" x14ac:dyDescent="0.15">
      <c r="A536" t="s">
        <v>133</v>
      </c>
      <c r="B536" t="s">
        <v>10801</v>
      </c>
      <c r="C536" t="s">
        <v>74</v>
      </c>
      <c r="D536" t="s">
        <v>74</v>
      </c>
      <c r="E536" t="s">
        <v>74</v>
      </c>
      <c r="F536" t="s">
        <v>10802</v>
      </c>
      <c r="G536" t="s">
        <v>74</v>
      </c>
      <c r="H536" t="s">
        <v>74</v>
      </c>
      <c r="I536" t="s">
        <v>10803</v>
      </c>
      <c r="J536" t="s">
        <v>10804</v>
      </c>
      <c r="K536" t="s">
        <v>74</v>
      </c>
      <c r="L536" t="s">
        <v>74</v>
      </c>
      <c r="M536" t="s">
        <v>80</v>
      </c>
      <c r="N536" t="s">
        <v>138</v>
      </c>
      <c r="O536" t="s">
        <v>74</v>
      </c>
      <c r="P536" t="s">
        <v>74</v>
      </c>
      <c r="Q536" t="s">
        <v>74</v>
      </c>
      <c r="R536" t="s">
        <v>74</v>
      </c>
      <c r="S536" t="s">
        <v>74</v>
      </c>
      <c r="T536" t="s">
        <v>10805</v>
      </c>
      <c r="U536" t="s">
        <v>10806</v>
      </c>
      <c r="V536" t="s">
        <v>10807</v>
      </c>
      <c r="W536" t="s">
        <v>10808</v>
      </c>
      <c r="X536" t="s">
        <v>10809</v>
      </c>
      <c r="Y536" t="s">
        <v>10810</v>
      </c>
      <c r="Z536" t="s">
        <v>10811</v>
      </c>
      <c r="AA536" t="s">
        <v>10812</v>
      </c>
      <c r="AB536" t="s">
        <v>10813</v>
      </c>
      <c r="AC536" t="s">
        <v>10814</v>
      </c>
      <c r="AD536" t="s">
        <v>10815</v>
      </c>
      <c r="AE536" t="s">
        <v>10816</v>
      </c>
      <c r="AF536" t="s">
        <v>74</v>
      </c>
      <c r="AG536">
        <v>26</v>
      </c>
      <c r="AH536">
        <v>5</v>
      </c>
      <c r="AI536">
        <v>5</v>
      </c>
      <c r="AJ536">
        <v>0</v>
      </c>
      <c r="AK536">
        <v>4</v>
      </c>
      <c r="AL536" t="s">
        <v>96</v>
      </c>
      <c r="AM536" t="s">
        <v>97</v>
      </c>
      <c r="AN536" t="s">
        <v>3769</v>
      </c>
      <c r="AO536" t="s">
        <v>10817</v>
      </c>
      <c r="AP536" t="s">
        <v>74</v>
      </c>
      <c r="AQ536" t="s">
        <v>74</v>
      </c>
      <c r="AR536" t="s">
        <v>10818</v>
      </c>
      <c r="AS536" t="s">
        <v>10819</v>
      </c>
      <c r="AT536" t="s">
        <v>3457</v>
      </c>
      <c r="AU536">
        <v>2019</v>
      </c>
      <c r="AV536">
        <v>1</v>
      </c>
      <c r="AW536">
        <v>11</v>
      </c>
      <c r="AX536" t="s">
        <v>74</v>
      </c>
      <c r="AY536" t="s">
        <v>74</v>
      </c>
      <c r="AZ536" t="s">
        <v>74</v>
      </c>
      <c r="BA536" t="s">
        <v>74</v>
      </c>
      <c r="BB536" t="s">
        <v>74</v>
      </c>
      <c r="BC536" t="s">
        <v>74</v>
      </c>
      <c r="BD536">
        <v>111007</v>
      </c>
      <c r="BE536" t="s">
        <v>10820</v>
      </c>
      <c r="BF536" t="str">
        <f>HYPERLINK("http://dx.doi.org/10.1088/2515-7620/ab4a84","http://dx.doi.org/10.1088/2515-7620/ab4a84")</f>
        <v>http://dx.doi.org/10.1088/2515-7620/ab4a84</v>
      </c>
      <c r="BG536" t="s">
        <v>74</v>
      </c>
      <c r="BH536" t="s">
        <v>74</v>
      </c>
      <c r="BI536">
        <v>10</v>
      </c>
      <c r="BJ536" t="s">
        <v>387</v>
      </c>
      <c r="BK536" t="s">
        <v>294</v>
      </c>
      <c r="BL536" t="s">
        <v>388</v>
      </c>
      <c r="BM536" t="s">
        <v>10821</v>
      </c>
      <c r="BN536" t="s">
        <v>74</v>
      </c>
      <c r="BO536" t="s">
        <v>2261</v>
      </c>
      <c r="BP536" t="s">
        <v>74</v>
      </c>
      <c r="BQ536" t="s">
        <v>74</v>
      </c>
      <c r="BR536" t="s">
        <v>108</v>
      </c>
      <c r="BS536" t="s">
        <v>10822</v>
      </c>
      <c r="BT536" t="str">
        <f>HYPERLINK("https%3A%2F%2Fwww.webofscience.com%2Fwos%2Fwoscc%2Ffull-record%2FWOS:000579510600007","View Full Record in Web of Science")</f>
        <v>View Full Record in Web of Science</v>
      </c>
    </row>
    <row r="537" spans="1:72" x14ac:dyDescent="0.15">
      <c r="A537" t="s">
        <v>133</v>
      </c>
      <c r="B537" t="s">
        <v>10823</v>
      </c>
      <c r="C537" t="s">
        <v>74</v>
      </c>
      <c r="D537" t="s">
        <v>74</v>
      </c>
      <c r="E537" t="s">
        <v>74</v>
      </c>
      <c r="F537" t="s">
        <v>10824</v>
      </c>
      <c r="G537" t="s">
        <v>74</v>
      </c>
      <c r="H537" t="s">
        <v>74</v>
      </c>
      <c r="I537" t="s">
        <v>10825</v>
      </c>
      <c r="J537" t="s">
        <v>566</v>
      </c>
      <c r="K537" t="s">
        <v>74</v>
      </c>
      <c r="L537" t="s">
        <v>74</v>
      </c>
      <c r="M537" t="s">
        <v>80</v>
      </c>
      <c r="N537" t="s">
        <v>138</v>
      </c>
      <c r="O537" t="s">
        <v>74</v>
      </c>
      <c r="P537" t="s">
        <v>74</v>
      </c>
      <c r="Q537" t="s">
        <v>74</v>
      </c>
      <c r="R537" t="s">
        <v>74</v>
      </c>
      <c r="S537" t="s">
        <v>74</v>
      </c>
      <c r="T537" t="s">
        <v>10826</v>
      </c>
      <c r="U537" t="s">
        <v>10827</v>
      </c>
      <c r="V537" t="s">
        <v>10828</v>
      </c>
      <c r="W537" t="s">
        <v>10829</v>
      </c>
      <c r="X537" t="s">
        <v>10830</v>
      </c>
      <c r="Y537" t="s">
        <v>10831</v>
      </c>
      <c r="Z537" t="s">
        <v>10832</v>
      </c>
      <c r="AA537" t="s">
        <v>10833</v>
      </c>
      <c r="AB537" t="s">
        <v>74</v>
      </c>
      <c r="AC537" t="s">
        <v>74</v>
      </c>
      <c r="AD537" t="s">
        <v>74</v>
      </c>
      <c r="AE537" t="s">
        <v>74</v>
      </c>
      <c r="AF537" t="s">
        <v>74</v>
      </c>
      <c r="AG537">
        <v>94</v>
      </c>
      <c r="AH537">
        <v>3</v>
      </c>
      <c r="AI537">
        <v>4</v>
      </c>
      <c r="AJ537">
        <v>3</v>
      </c>
      <c r="AK537">
        <v>21</v>
      </c>
      <c r="AL537" t="s">
        <v>578</v>
      </c>
      <c r="AM537" t="s">
        <v>380</v>
      </c>
      <c r="AN537" t="s">
        <v>579</v>
      </c>
      <c r="AO537" t="s">
        <v>580</v>
      </c>
      <c r="AP537" t="s">
        <v>581</v>
      </c>
      <c r="AQ537" t="s">
        <v>74</v>
      </c>
      <c r="AR537" t="s">
        <v>582</v>
      </c>
      <c r="AS537" t="s">
        <v>583</v>
      </c>
      <c r="AT537" t="s">
        <v>9473</v>
      </c>
      <c r="AU537">
        <v>2019</v>
      </c>
      <c r="AV537">
        <v>76</v>
      </c>
      <c r="AW537">
        <v>6</v>
      </c>
      <c r="AX537" t="s">
        <v>74</v>
      </c>
      <c r="AY537" t="s">
        <v>74</v>
      </c>
      <c r="AZ537" t="s">
        <v>74</v>
      </c>
      <c r="BA537" t="s">
        <v>74</v>
      </c>
      <c r="BB537">
        <v>1436</v>
      </c>
      <c r="BC537">
        <v>1452</v>
      </c>
      <c r="BD537" t="s">
        <v>74</v>
      </c>
      <c r="BE537" t="s">
        <v>10834</v>
      </c>
      <c r="BF537" t="str">
        <f>HYPERLINK("http://dx.doi.org/10.1093/icesjms/fsz065","http://dx.doi.org/10.1093/icesjms/fsz065")</f>
        <v>http://dx.doi.org/10.1093/icesjms/fsz065</v>
      </c>
      <c r="BG537" t="s">
        <v>74</v>
      </c>
      <c r="BH537" t="s">
        <v>74</v>
      </c>
      <c r="BI537">
        <v>17</v>
      </c>
      <c r="BJ537" t="s">
        <v>586</v>
      </c>
      <c r="BK537" t="s">
        <v>360</v>
      </c>
      <c r="BL537" t="s">
        <v>586</v>
      </c>
      <c r="BM537" t="s">
        <v>9805</v>
      </c>
      <c r="BN537" t="s">
        <v>74</v>
      </c>
      <c r="BO537" t="s">
        <v>74</v>
      </c>
      <c r="BP537" t="s">
        <v>74</v>
      </c>
      <c r="BQ537" t="s">
        <v>74</v>
      </c>
      <c r="BR537" t="s">
        <v>108</v>
      </c>
      <c r="BS537" t="s">
        <v>10835</v>
      </c>
      <c r="BT537" t="str">
        <f>HYPERLINK("https%3A%2F%2Fwww.webofscience.com%2Fwos%2Fwoscc%2Ffull-record%2FWOS:000501732500007","View Full Record in Web of Science")</f>
        <v>View Full Record in Web of Science</v>
      </c>
    </row>
    <row r="538" spans="1:72" x14ac:dyDescent="0.15">
      <c r="A538" t="s">
        <v>133</v>
      </c>
      <c r="B538" t="s">
        <v>10836</v>
      </c>
      <c r="C538" t="s">
        <v>74</v>
      </c>
      <c r="D538" t="s">
        <v>74</v>
      </c>
      <c r="E538" t="s">
        <v>74</v>
      </c>
      <c r="F538" t="s">
        <v>10837</v>
      </c>
      <c r="G538" t="s">
        <v>74</v>
      </c>
      <c r="H538" t="s">
        <v>74</v>
      </c>
      <c r="I538" t="s">
        <v>10838</v>
      </c>
      <c r="J538" t="s">
        <v>566</v>
      </c>
      <c r="K538" t="s">
        <v>74</v>
      </c>
      <c r="L538" t="s">
        <v>74</v>
      </c>
      <c r="M538" t="s">
        <v>80</v>
      </c>
      <c r="N538" t="s">
        <v>138</v>
      </c>
      <c r="O538" t="s">
        <v>74</v>
      </c>
      <c r="P538" t="s">
        <v>74</v>
      </c>
      <c r="Q538" t="s">
        <v>74</v>
      </c>
      <c r="R538" t="s">
        <v>74</v>
      </c>
      <c r="S538" t="s">
        <v>74</v>
      </c>
      <c r="T538" t="s">
        <v>10839</v>
      </c>
      <c r="U538" t="s">
        <v>10840</v>
      </c>
      <c r="V538" t="s">
        <v>10841</v>
      </c>
      <c r="W538" t="s">
        <v>10842</v>
      </c>
      <c r="X538" t="s">
        <v>10843</v>
      </c>
      <c r="Y538" t="s">
        <v>10844</v>
      </c>
      <c r="Z538" t="s">
        <v>5548</v>
      </c>
      <c r="AA538" t="s">
        <v>10845</v>
      </c>
      <c r="AB538" t="s">
        <v>10846</v>
      </c>
      <c r="AC538" t="s">
        <v>10847</v>
      </c>
      <c r="AD538" t="s">
        <v>10848</v>
      </c>
      <c r="AE538" t="s">
        <v>10849</v>
      </c>
      <c r="AF538" t="s">
        <v>74</v>
      </c>
      <c r="AG538">
        <v>62</v>
      </c>
      <c r="AH538">
        <v>11</v>
      </c>
      <c r="AI538">
        <v>11</v>
      </c>
      <c r="AJ538">
        <v>1</v>
      </c>
      <c r="AK538">
        <v>14</v>
      </c>
      <c r="AL538" t="s">
        <v>578</v>
      </c>
      <c r="AM538" t="s">
        <v>380</v>
      </c>
      <c r="AN538" t="s">
        <v>579</v>
      </c>
      <c r="AO538" t="s">
        <v>580</v>
      </c>
      <c r="AP538" t="s">
        <v>581</v>
      </c>
      <c r="AQ538" t="s">
        <v>74</v>
      </c>
      <c r="AR538" t="s">
        <v>582</v>
      </c>
      <c r="AS538" t="s">
        <v>583</v>
      </c>
      <c r="AT538" t="s">
        <v>9473</v>
      </c>
      <c r="AU538">
        <v>2019</v>
      </c>
      <c r="AV538">
        <v>76</v>
      </c>
      <c r="AW538">
        <v>6</v>
      </c>
      <c r="AX538" t="s">
        <v>74</v>
      </c>
      <c r="AY538" t="s">
        <v>74</v>
      </c>
      <c r="AZ538" t="s">
        <v>74</v>
      </c>
      <c r="BA538" t="s">
        <v>74</v>
      </c>
      <c r="BB538">
        <v>1678</v>
      </c>
      <c r="BC538">
        <v>1689</v>
      </c>
      <c r="BD538" t="s">
        <v>74</v>
      </c>
      <c r="BE538" t="s">
        <v>10850</v>
      </c>
      <c r="BF538" t="str">
        <f>HYPERLINK("http://dx.doi.org/10.1093/icesjms/fsz022","http://dx.doi.org/10.1093/icesjms/fsz022")</f>
        <v>http://dx.doi.org/10.1093/icesjms/fsz022</v>
      </c>
      <c r="BG538" t="s">
        <v>74</v>
      </c>
      <c r="BH538" t="s">
        <v>74</v>
      </c>
      <c r="BI538">
        <v>12</v>
      </c>
      <c r="BJ538" t="s">
        <v>586</v>
      </c>
      <c r="BK538" t="s">
        <v>294</v>
      </c>
      <c r="BL538" t="s">
        <v>586</v>
      </c>
      <c r="BM538" t="s">
        <v>9805</v>
      </c>
      <c r="BN538" t="s">
        <v>74</v>
      </c>
      <c r="BO538" t="s">
        <v>74</v>
      </c>
      <c r="BP538" t="s">
        <v>74</v>
      </c>
      <c r="BQ538" t="s">
        <v>74</v>
      </c>
      <c r="BR538" t="s">
        <v>108</v>
      </c>
      <c r="BS538" t="s">
        <v>10851</v>
      </c>
      <c r="BT538" t="str">
        <f>HYPERLINK("https%3A%2F%2Fwww.webofscience.com%2Fwos%2Fwoscc%2Ffull-record%2FWOS:000501732500026","View Full Record in Web of Science")</f>
        <v>View Full Record in Web of Science</v>
      </c>
    </row>
    <row r="539" spans="1:72" x14ac:dyDescent="0.15">
      <c r="A539" t="s">
        <v>133</v>
      </c>
      <c r="B539" t="s">
        <v>10852</v>
      </c>
      <c r="C539" t="s">
        <v>74</v>
      </c>
      <c r="D539" t="s">
        <v>74</v>
      </c>
      <c r="E539" t="s">
        <v>74</v>
      </c>
      <c r="F539" t="s">
        <v>10853</v>
      </c>
      <c r="G539" t="s">
        <v>74</v>
      </c>
      <c r="H539" t="s">
        <v>74</v>
      </c>
      <c r="I539" t="s">
        <v>10854</v>
      </c>
      <c r="J539" t="s">
        <v>10855</v>
      </c>
      <c r="K539" t="s">
        <v>74</v>
      </c>
      <c r="L539" t="s">
        <v>74</v>
      </c>
      <c r="M539" t="s">
        <v>80</v>
      </c>
      <c r="N539" t="s">
        <v>138</v>
      </c>
      <c r="O539" t="s">
        <v>74</v>
      </c>
      <c r="P539" t="s">
        <v>74</v>
      </c>
      <c r="Q539" t="s">
        <v>74</v>
      </c>
      <c r="R539" t="s">
        <v>74</v>
      </c>
      <c r="S539" t="s">
        <v>74</v>
      </c>
      <c r="T539" t="s">
        <v>10856</v>
      </c>
      <c r="U539" t="s">
        <v>10857</v>
      </c>
      <c r="V539" t="s">
        <v>10858</v>
      </c>
      <c r="W539" t="s">
        <v>10859</v>
      </c>
      <c r="X539" t="s">
        <v>10860</v>
      </c>
      <c r="Y539" t="s">
        <v>10861</v>
      </c>
      <c r="Z539" t="s">
        <v>10862</v>
      </c>
      <c r="AA539" t="s">
        <v>10863</v>
      </c>
      <c r="AB539" t="s">
        <v>10864</v>
      </c>
      <c r="AC539" t="s">
        <v>74</v>
      </c>
      <c r="AD539" t="s">
        <v>74</v>
      </c>
      <c r="AE539" t="s">
        <v>74</v>
      </c>
      <c r="AF539" t="s">
        <v>74</v>
      </c>
      <c r="AG539">
        <v>68</v>
      </c>
      <c r="AH539">
        <v>29</v>
      </c>
      <c r="AI539">
        <v>29</v>
      </c>
      <c r="AJ539">
        <v>5</v>
      </c>
      <c r="AK539">
        <v>45</v>
      </c>
      <c r="AL539" t="s">
        <v>429</v>
      </c>
      <c r="AM539" t="s">
        <v>430</v>
      </c>
      <c r="AN539" t="s">
        <v>431</v>
      </c>
      <c r="AO539" t="s">
        <v>10865</v>
      </c>
      <c r="AP539" t="s">
        <v>10866</v>
      </c>
      <c r="AQ539" t="s">
        <v>74</v>
      </c>
      <c r="AR539" t="s">
        <v>10867</v>
      </c>
      <c r="AS539" t="s">
        <v>10868</v>
      </c>
      <c r="AT539" t="s">
        <v>3457</v>
      </c>
      <c r="AU539">
        <v>2019</v>
      </c>
      <c r="AV539">
        <v>88</v>
      </c>
      <c r="AW539">
        <v>11</v>
      </c>
      <c r="AX539" t="s">
        <v>74</v>
      </c>
      <c r="AY539" t="s">
        <v>74</v>
      </c>
      <c r="AZ539" t="s">
        <v>74</v>
      </c>
      <c r="BA539" t="s">
        <v>74</v>
      </c>
      <c r="BB539">
        <v>1645</v>
      </c>
      <c r="BC539">
        <v>1656</v>
      </c>
      <c r="BD539" t="s">
        <v>74</v>
      </c>
      <c r="BE539" t="s">
        <v>10869</v>
      </c>
      <c r="BF539" t="str">
        <f>HYPERLINK("http://dx.doi.org/10.1111/1365-2656.12999","http://dx.doi.org/10.1111/1365-2656.12999")</f>
        <v>http://dx.doi.org/10.1111/1365-2656.12999</v>
      </c>
      <c r="BG539" t="s">
        <v>74</v>
      </c>
      <c r="BH539" t="s">
        <v>74</v>
      </c>
      <c r="BI539">
        <v>12</v>
      </c>
      <c r="BJ539" t="s">
        <v>10870</v>
      </c>
      <c r="BK539" t="s">
        <v>294</v>
      </c>
      <c r="BL539" t="s">
        <v>10871</v>
      </c>
      <c r="BM539" t="s">
        <v>10872</v>
      </c>
      <c r="BN539">
        <v>31034605</v>
      </c>
      <c r="BO539" t="s">
        <v>1482</v>
      </c>
      <c r="BP539" t="s">
        <v>74</v>
      </c>
      <c r="BQ539" t="s">
        <v>74</v>
      </c>
      <c r="BR539" t="s">
        <v>108</v>
      </c>
      <c r="BS539" t="s">
        <v>10873</v>
      </c>
      <c r="BT539" t="str">
        <f>HYPERLINK("https%3A%2F%2Fwww.webofscience.com%2Fwos%2Fwoscc%2Ffull-record%2FWOS:000494336600002","View Full Record in Web of Science")</f>
        <v>View Full Record in Web of Science</v>
      </c>
    </row>
    <row r="540" spans="1:72" x14ac:dyDescent="0.15">
      <c r="A540" t="s">
        <v>133</v>
      </c>
      <c r="B540" t="s">
        <v>10874</v>
      </c>
      <c r="C540" t="s">
        <v>74</v>
      </c>
      <c r="D540" t="s">
        <v>74</v>
      </c>
      <c r="E540" t="s">
        <v>74</v>
      </c>
      <c r="F540" t="s">
        <v>10875</v>
      </c>
      <c r="G540" t="s">
        <v>74</v>
      </c>
      <c r="H540" t="s">
        <v>74</v>
      </c>
      <c r="I540" t="s">
        <v>10876</v>
      </c>
      <c r="J540" t="s">
        <v>4693</v>
      </c>
      <c r="K540" t="s">
        <v>74</v>
      </c>
      <c r="L540" t="s">
        <v>74</v>
      </c>
      <c r="M540" t="s">
        <v>80</v>
      </c>
      <c r="N540" t="s">
        <v>138</v>
      </c>
      <c r="O540" t="s">
        <v>74</v>
      </c>
      <c r="P540" t="s">
        <v>74</v>
      </c>
      <c r="Q540" t="s">
        <v>74</v>
      </c>
      <c r="R540" t="s">
        <v>74</v>
      </c>
      <c r="S540" t="s">
        <v>74</v>
      </c>
      <c r="T540" t="s">
        <v>10877</v>
      </c>
      <c r="U540" t="s">
        <v>10878</v>
      </c>
      <c r="V540" t="s">
        <v>10879</v>
      </c>
      <c r="W540" t="s">
        <v>10880</v>
      </c>
      <c r="X540" t="s">
        <v>10881</v>
      </c>
      <c r="Y540" t="s">
        <v>10882</v>
      </c>
      <c r="Z540" t="s">
        <v>10883</v>
      </c>
      <c r="AA540" t="s">
        <v>74</v>
      </c>
      <c r="AB540" t="s">
        <v>74</v>
      </c>
      <c r="AC540" t="s">
        <v>10884</v>
      </c>
      <c r="AD540" t="s">
        <v>7088</v>
      </c>
      <c r="AE540" t="s">
        <v>10885</v>
      </c>
      <c r="AF540" t="s">
        <v>74</v>
      </c>
      <c r="AG540">
        <v>70</v>
      </c>
      <c r="AH540">
        <v>33</v>
      </c>
      <c r="AI540">
        <v>36</v>
      </c>
      <c r="AJ540">
        <v>0</v>
      </c>
      <c r="AK540">
        <v>5</v>
      </c>
      <c r="AL540" t="s">
        <v>1016</v>
      </c>
      <c r="AM540" t="s">
        <v>1017</v>
      </c>
      <c r="AN540" t="s">
        <v>4703</v>
      </c>
      <c r="AO540" t="s">
        <v>4704</v>
      </c>
      <c r="AP540" t="s">
        <v>4705</v>
      </c>
      <c r="AQ540" t="s">
        <v>74</v>
      </c>
      <c r="AR540" t="s">
        <v>4706</v>
      </c>
      <c r="AS540" t="s">
        <v>4707</v>
      </c>
      <c r="AT540" t="s">
        <v>3457</v>
      </c>
      <c r="AU540">
        <v>2019</v>
      </c>
      <c r="AV540">
        <v>49</v>
      </c>
      <c r="AW540">
        <v>11</v>
      </c>
      <c r="AX540" t="s">
        <v>74</v>
      </c>
      <c r="AY540" t="s">
        <v>74</v>
      </c>
      <c r="AZ540" t="s">
        <v>74</v>
      </c>
      <c r="BA540" t="s">
        <v>74</v>
      </c>
      <c r="BB540">
        <v>2851</v>
      </c>
      <c r="BC540">
        <v>2865</v>
      </c>
      <c r="BD540" t="s">
        <v>74</v>
      </c>
      <c r="BE540" t="s">
        <v>10886</v>
      </c>
      <c r="BF540" t="str">
        <f>HYPERLINK("http://dx.doi.org/10.1175/JPO-D-19-0052.1","http://dx.doi.org/10.1175/JPO-D-19-0052.1")</f>
        <v>http://dx.doi.org/10.1175/JPO-D-19-0052.1</v>
      </c>
      <c r="BG540" t="s">
        <v>74</v>
      </c>
      <c r="BH540" t="s">
        <v>74</v>
      </c>
      <c r="BI540">
        <v>15</v>
      </c>
      <c r="BJ540" t="s">
        <v>1945</v>
      </c>
      <c r="BK540" t="s">
        <v>294</v>
      </c>
      <c r="BL540" t="s">
        <v>1945</v>
      </c>
      <c r="BM540" t="s">
        <v>10409</v>
      </c>
      <c r="BN540" t="s">
        <v>74</v>
      </c>
      <c r="BO540" t="s">
        <v>588</v>
      </c>
      <c r="BP540" t="s">
        <v>74</v>
      </c>
      <c r="BQ540" t="s">
        <v>74</v>
      </c>
      <c r="BR540" t="s">
        <v>108</v>
      </c>
      <c r="BS540" t="s">
        <v>10887</v>
      </c>
      <c r="BT540" t="str">
        <f>HYPERLINK("https%3A%2F%2Fwww.webofscience.com%2Fwos%2Fwoscc%2Ffull-record%2FWOS:000494441400001","View Full Record in Web of Science")</f>
        <v>View Full Record in Web of Science</v>
      </c>
    </row>
    <row r="541" spans="1:72" x14ac:dyDescent="0.15">
      <c r="A541" t="s">
        <v>133</v>
      </c>
      <c r="B541" t="s">
        <v>10888</v>
      </c>
      <c r="C541" t="s">
        <v>74</v>
      </c>
      <c r="D541" t="s">
        <v>74</v>
      </c>
      <c r="E541" t="s">
        <v>74</v>
      </c>
      <c r="F541" t="s">
        <v>10889</v>
      </c>
      <c r="G541" t="s">
        <v>74</v>
      </c>
      <c r="H541" t="s">
        <v>74</v>
      </c>
      <c r="I541" t="s">
        <v>10890</v>
      </c>
      <c r="J541" t="s">
        <v>10891</v>
      </c>
      <c r="K541" t="s">
        <v>74</v>
      </c>
      <c r="L541" t="s">
        <v>74</v>
      </c>
      <c r="M541" t="s">
        <v>80</v>
      </c>
      <c r="N541" t="s">
        <v>1333</v>
      </c>
      <c r="O541" t="s">
        <v>74</v>
      </c>
      <c r="P541" t="s">
        <v>74</v>
      </c>
      <c r="Q541" t="s">
        <v>74</v>
      </c>
      <c r="R541" t="s">
        <v>74</v>
      </c>
      <c r="S541" t="s">
        <v>74</v>
      </c>
      <c r="T541" t="s">
        <v>10892</v>
      </c>
      <c r="U541" t="s">
        <v>74</v>
      </c>
      <c r="V541" t="s">
        <v>10893</v>
      </c>
      <c r="W541" t="s">
        <v>10894</v>
      </c>
      <c r="X541" t="s">
        <v>10895</v>
      </c>
      <c r="Y541" t="s">
        <v>10896</v>
      </c>
      <c r="Z541" t="s">
        <v>74</v>
      </c>
      <c r="AA541" t="s">
        <v>10897</v>
      </c>
      <c r="AB541" t="s">
        <v>10898</v>
      </c>
      <c r="AC541" t="s">
        <v>74</v>
      </c>
      <c r="AD541" t="s">
        <v>74</v>
      </c>
      <c r="AE541" t="s">
        <v>74</v>
      </c>
      <c r="AF541" t="s">
        <v>74</v>
      </c>
      <c r="AG541">
        <v>0</v>
      </c>
      <c r="AH541">
        <v>0</v>
      </c>
      <c r="AI541">
        <v>0</v>
      </c>
      <c r="AJ541">
        <v>0</v>
      </c>
      <c r="AK541">
        <v>2</v>
      </c>
      <c r="AL541" t="s">
        <v>379</v>
      </c>
      <c r="AM541" t="s">
        <v>380</v>
      </c>
      <c r="AN541" t="s">
        <v>381</v>
      </c>
      <c r="AO541" t="s">
        <v>10899</v>
      </c>
      <c r="AP541" t="s">
        <v>74</v>
      </c>
      <c r="AQ541" t="s">
        <v>74</v>
      </c>
      <c r="AR541" t="s">
        <v>10900</v>
      </c>
      <c r="AS541" t="s">
        <v>10901</v>
      </c>
      <c r="AT541" t="s">
        <v>3457</v>
      </c>
      <c r="AU541">
        <v>2019</v>
      </c>
      <c r="AV541">
        <v>95</v>
      </c>
      <c r="AW541" t="s">
        <v>74</v>
      </c>
      <c r="AX541" t="s">
        <v>74</v>
      </c>
      <c r="AY541" t="s">
        <v>74</v>
      </c>
      <c r="AZ541" t="s">
        <v>74</v>
      </c>
      <c r="BA541" t="s">
        <v>74</v>
      </c>
      <c r="BB541" t="s">
        <v>74</v>
      </c>
      <c r="BC541" t="s">
        <v>74</v>
      </c>
      <c r="BD541">
        <v>102282</v>
      </c>
      <c r="BE541" t="s">
        <v>10902</v>
      </c>
      <c r="BF541" t="str">
        <f>HYPERLINK("http://dx.doi.org/10.1016/j.jsames.2019.102282","http://dx.doi.org/10.1016/j.jsames.2019.102282")</f>
        <v>http://dx.doi.org/10.1016/j.jsames.2019.102282</v>
      </c>
      <c r="BG541" t="s">
        <v>74</v>
      </c>
      <c r="BH541" t="s">
        <v>74</v>
      </c>
      <c r="BI541">
        <v>3</v>
      </c>
      <c r="BJ541" t="s">
        <v>849</v>
      </c>
      <c r="BK541" t="s">
        <v>294</v>
      </c>
      <c r="BL541" t="s">
        <v>850</v>
      </c>
      <c r="BM541" t="s">
        <v>10903</v>
      </c>
      <c r="BN541" t="s">
        <v>74</v>
      </c>
      <c r="BO541" t="s">
        <v>74</v>
      </c>
      <c r="BP541" t="s">
        <v>74</v>
      </c>
      <c r="BQ541" t="s">
        <v>74</v>
      </c>
      <c r="BR541" t="s">
        <v>108</v>
      </c>
      <c r="BS541" t="s">
        <v>10904</v>
      </c>
      <c r="BT541" t="str">
        <f>HYPERLINK("https%3A%2F%2Fwww.webofscience.com%2Fwos%2Fwoscc%2Ffull-record%2FWOS:000488136300044","View Full Record in Web of Science")</f>
        <v>View Full Record in Web of Science</v>
      </c>
    </row>
    <row r="542" spans="1:72" x14ac:dyDescent="0.15">
      <c r="A542" t="s">
        <v>133</v>
      </c>
      <c r="B542" t="s">
        <v>10905</v>
      </c>
      <c r="C542" t="s">
        <v>74</v>
      </c>
      <c r="D542" t="s">
        <v>74</v>
      </c>
      <c r="E542" t="s">
        <v>74</v>
      </c>
      <c r="F542" t="s">
        <v>10906</v>
      </c>
      <c r="G542" t="s">
        <v>74</v>
      </c>
      <c r="H542" t="s">
        <v>74</v>
      </c>
      <c r="I542" t="s">
        <v>10907</v>
      </c>
      <c r="J542" t="s">
        <v>10908</v>
      </c>
      <c r="K542" t="s">
        <v>74</v>
      </c>
      <c r="L542" t="s">
        <v>74</v>
      </c>
      <c r="M542" t="s">
        <v>80</v>
      </c>
      <c r="N542" t="s">
        <v>138</v>
      </c>
      <c r="O542" t="s">
        <v>74</v>
      </c>
      <c r="P542" t="s">
        <v>74</v>
      </c>
      <c r="Q542" t="s">
        <v>74</v>
      </c>
      <c r="R542" t="s">
        <v>74</v>
      </c>
      <c r="S542" t="s">
        <v>74</v>
      </c>
      <c r="T542" t="s">
        <v>10909</v>
      </c>
      <c r="U542" t="s">
        <v>10910</v>
      </c>
      <c r="V542" t="s">
        <v>10911</v>
      </c>
      <c r="W542" t="s">
        <v>10912</v>
      </c>
      <c r="X542" t="s">
        <v>10913</v>
      </c>
      <c r="Y542" t="s">
        <v>10914</v>
      </c>
      <c r="Z542" t="s">
        <v>10915</v>
      </c>
      <c r="AA542" t="s">
        <v>10916</v>
      </c>
      <c r="AB542" t="s">
        <v>10917</v>
      </c>
      <c r="AC542" t="s">
        <v>10918</v>
      </c>
      <c r="AD542" t="s">
        <v>10919</v>
      </c>
      <c r="AE542" t="s">
        <v>74</v>
      </c>
      <c r="AF542" t="s">
        <v>74</v>
      </c>
      <c r="AG542">
        <v>31</v>
      </c>
      <c r="AH542">
        <v>8</v>
      </c>
      <c r="AI542">
        <v>8</v>
      </c>
      <c r="AJ542">
        <v>1</v>
      </c>
      <c r="AK542">
        <v>8</v>
      </c>
      <c r="AL542" t="s">
        <v>10920</v>
      </c>
      <c r="AM542" t="s">
        <v>10921</v>
      </c>
      <c r="AN542" t="s">
        <v>10922</v>
      </c>
      <c r="AO542" t="s">
        <v>10923</v>
      </c>
      <c r="AP542" t="s">
        <v>10924</v>
      </c>
      <c r="AQ542" t="s">
        <v>74</v>
      </c>
      <c r="AR542" t="s">
        <v>10925</v>
      </c>
      <c r="AS542" t="s">
        <v>10926</v>
      </c>
      <c r="AT542" t="s">
        <v>10331</v>
      </c>
      <c r="AU542">
        <v>2019</v>
      </c>
      <c r="AV542">
        <v>26</v>
      </c>
      <c r="AW542" t="s">
        <v>74</v>
      </c>
      <c r="AX542">
        <v>6</v>
      </c>
      <c r="AY542" t="s">
        <v>74</v>
      </c>
      <c r="AZ542" t="s">
        <v>74</v>
      </c>
      <c r="BA542" t="s">
        <v>74</v>
      </c>
      <c r="BB542">
        <v>2033</v>
      </c>
      <c r="BC542">
        <v>2039</v>
      </c>
      <c r="BD542" t="s">
        <v>74</v>
      </c>
      <c r="BE542" t="s">
        <v>10927</v>
      </c>
      <c r="BF542" t="str">
        <f>HYPERLINK("http://dx.doi.org/10.1107/S160057751901230X","http://dx.doi.org/10.1107/S160057751901230X")</f>
        <v>http://dx.doi.org/10.1107/S160057751901230X</v>
      </c>
      <c r="BG542" t="s">
        <v>74</v>
      </c>
      <c r="BH542" t="s">
        <v>74</v>
      </c>
      <c r="BI542">
        <v>7</v>
      </c>
      <c r="BJ542" t="s">
        <v>10928</v>
      </c>
      <c r="BK542" t="s">
        <v>294</v>
      </c>
      <c r="BL542" t="s">
        <v>10929</v>
      </c>
      <c r="BM542" t="s">
        <v>10930</v>
      </c>
      <c r="BN542">
        <v>31721748</v>
      </c>
      <c r="BO542" t="s">
        <v>1482</v>
      </c>
      <c r="BP542" t="s">
        <v>74</v>
      </c>
      <c r="BQ542" t="s">
        <v>74</v>
      </c>
      <c r="BR542" t="s">
        <v>108</v>
      </c>
      <c r="BS542" t="s">
        <v>10931</v>
      </c>
      <c r="BT542" t="str">
        <f>HYPERLINK("https%3A%2F%2Fwww.webofscience.com%2Fwos%2Fwoscc%2Ffull-record%2FWOS:000496973400022","View Full Record in Web of Science")</f>
        <v>View Full Record in Web of Science</v>
      </c>
    </row>
    <row r="543" spans="1:72" x14ac:dyDescent="0.15">
      <c r="A543" t="s">
        <v>133</v>
      </c>
      <c r="B543" t="s">
        <v>10932</v>
      </c>
      <c r="C543" t="s">
        <v>74</v>
      </c>
      <c r="D543" t="s">
        <v>74</v>
      </c>
      <c r="E543" t="s">
        <v>74</v>
      </c>
      <c r="F543" t="s">
        <v>10933</v>
      </c>
      <c r="G543" t="s">
        <v>74</v>
      </c>
      <c r="H543" t="s">
        <v>74</v>
      </c>
      <c r="I543" t="s">
        <v>10934</v>
      </c>
      <c r="J543" t="s">
        <v>1796</v>
      </c>
      <c r="K543" t="s">
        <v>74</v>
      </c>
      <c r="L543" t="s">
        <v>74</v>
      </c>
      <c r="M543" t="s">
        <v>80</v>
      </c>
      <c r="N543" t="s">
        <v>138</v>
      </c>
      <c r="O543" t="s">
        <v>74</v>
      </c>
      <c r="P543" t="s">
        <v>74</v>
      </c>
      <c r="Q543" t="s">
        <v>74</v>
      </c>
      <c r="R543" t="s">
        <v>74</v>
      </c>
      <c r="S543" t="s">
        <v>74</v>
      </c>
      <c r="T543" t="s">
        <v>74</v>
      </c>
      <c r="U543" t="s">
        <v>10935</v>
      </c>
      <c r="V543" t="s">
        <v>10936</v>
      </c>
      <c r="W543" t="s">
        <v>10937</v>
      </c>
      <c r="X543" t="s">
        <v>10938</v>
      </c>
      <c r="Y543" t="s">
        <v>10939</v>
      </c>
      <c r="Z543" t="s">
        <v>10940</v>
      </c>
      <c r="AA543" t="s">
        <v>10941</v>
      </c>
      <c r="AB543" t="s">
        <v>10942</v>
      </c>
      <c r="AC543" t="s">
        <v>74</v>
      </c>
      <c r="AD543" t="s">
        <v>74</v>
      </c>
      <c r="AE543" t="s">
        <v>74</v>
      </c>
      <c r="AF543" t="s">
        <v>74</v>
      </c>
      <c r="AG543">
        <v>73</v>
      </c>
      <c r="AH543">
        <v>22</v>
      </c>
      <c r="AI543">
        <v>23</v>
      </c>
      <c r="AJ543">
        <v>0</v>
      </c>
      <c r="AK543">
        <v>16</v>
      </c>
      <c r="AL543" t="s">
        <v>429</v>
      </c>
      <c r="AM543" t="s">
        <v>430</v>
      </c>
      <c r="AN543" t="s">
        <v>431</v>
      </c>
      <c r="AO543" t="s">
        <v>1808</v>
      </c>
      <c r="AP543" t="s">
        <v>1809</v>
      </c>
      <c r="AQ543" t="s">
        <v>74</v>
      </c>
      <c r="AR543" t="s">
        <v>1810</v>
      </c>
      <c r="AS543" t="s">
        <v>1811</v>
      </c>
      <c r="AT543" t="s">
        <v>3457</v>
      </c>
      <c r="AU543">
        <v>2019</v>
      </c>
      <c r="AV543">
        <v>64</v>
      </c>
      <c r="AW543">
        <v>6</v>
      </c>
      <c r="AX543" t="s">
        <v>74</v>
      </c>
      <c r="AY543" t="s">
        <v>74</v>
      </c>
      <c r="AZ543" t="s">
        <v>74</v>
      </c>
      <c r="BA543" t="s">
        <v>74</v>
      </c>
      <c r="BB543">
        <v>2341</v>
      </c>
      <c r="BC543">
        <v>2357</v>
      </c>
      <c r="BD543" t="s">
        <v>74</v>
      </c>
      <c r="BE543" t="s">
        <v>10943</v>
      </c>
      <c r="BF543" t="str">
        <f>HYPERLINK("http://dx.doi.org/10.1002/lno.11187","http://dx.doi.org/10.1002/lno.11187")</f>
        <v>http://dx.doi.org/10.1002/lno.11187</v>
      </c>
      <c r="BG543" t="s">
        <v>74</v>
      </c>
      <c r="BH543" t="s">
        <v>74</v>
      </c>
      <c r="BI543">
        <v>17</v>
      </c>
      <c r="BJ543" t="s">
        <v>1813</v>
      </c>
      <c r="BK543" t="s">
        <v>294</v>
      </c>
      <c r="BL543" t="s">
        <v>1814</v>
      </c>
      <c r="BM543" t="s">
        <v>10944</v>
      </c>
      <c r="BN543" t="s">
        <v>74</v>
      </c>
      <c r="BO543" t="s">
        <v>2403</v>
      </c>
      <c r="BP543" t="s">
        <v>74</v>
      </c>
      <c r="BQ543" t="s">
        <v>74</v>
      </c>
      <c r="BR543" t="s">
        <v>108</v>
      </c>
      <c r="BS543" t="s">
        <v>10945</v>
      </c>
      <c r="BT543" t="str">
        <f>HYPERLINK("https%3A%2F%2Fwww.webofscience.com%2Fwos%2Fwoscc%2Ffull-record%2FWOS:000495506200003","View Full Record in Web of Science")</f>
        <v>View Full Record in Web of Science</v>
      </c>
    </row>
    <row r="544" spans="1:72" x14ac:dyDescent="0.15">
      <c r="A544" t="s">
        <v>133</v>
      </c>
      <c r="B544" t="s">
        <v>10946</v>
      </c>
      <c r="C544" t="s">
        <v>74</v>
      </c>
      <c r="D544" t="s">
        <v>74</v>
      </c>
      <c r="E544" t="s">
        <v>74</v>
      </c>
      <c r="F544" t="s">
        <v>10947</v>
      </c>
      <c r="G544" t="s">
        <v>74</v>
      </c>
      <c r="H544" t="s">
        <v>74</v>
      </c>
      <c r="I544" t="s">
        <v>10948</v>
      </c>
      <c r="J544" t="s">
        <v>10949</v>
      </c>
      <c r="K544" t="s">
        <v>74</v>
      </c>
      <c r="L544" t="s">
        <v>74</v>
      </c>
      <c r="M544" t="s">
        <v>80</v>
      </c>
      <c r="N544" t="s">
        <v>138</v>
      </c>
      <c r="O544" t="s">
        <v>74</v>
      </c>
      <c r="P544" t="s">
        <v>74</v>
      </c>
      <c r="Q544" t="s">
        <v>74</v>
      </c>
      <c r="R544" t="s">
        <v>74</v>
      </c>
      <c r="S544" t="s">
        <v>74</v>
      </c>
      <c r="T544" t="s">
        <v>10950</v>
      </c>
      <c r="U544" t="s">
        <v>10951</v>
      </c>
      <c r="V544" t="s">
        <v>10952</v>
      </c>
      <c r="W544" t="s">
        <v>10953</v>
      </c>
      <c r="X544" t="s">
        <v>10954</v>
      </c>
      <c r="Y544" t="s">
        <v>10955</v>
      </c>
      <c r="Z544" t="s">
        <v>10956</v>
      </c>
      <c r="AA544" t="s">
        <v>74</v>
      </c>
      <c r="AB544" t="s">
        <v>10957</v>
      </c>
      <c r="AC544" t="s">
        <v>10958</v>
      </c>
      <c r="AD544" t="s">
        <v>3210</v>
      </c>
      <c r="AE544" t="s">
        <v>74</v>
      </c>
      <c r="AF544" t="s">
        <v>74</v>
      </c>
      <c r="AG544">
        <v>96</v>
      </c>
      <c r="AH544">
        <v>9</v>
      </c>
      <c r="AI544">
        <v>12</v>
      </c>
      <c r="AJ544">
        <v>0</v>
      </c>
      <c r="AK544">
        <v>11</v>
      </c>
      <c r="AL544" t="s">
        <v>429</v>
      </c>
      <c r="AM544" t="s">
        <v>430</v>
      </c>
      <c r="AN544" t="s">
        <v>431</v>
      </c>
      <c r="AO544" t="s">
        <v>10959</v>
      </c>
      <c r="AP544" t="s">
        <v>10960</v>
      </c>
      <c r="AQ544" t="s">
        <v>74</v>
      </c>
      <c r="AR544" t="s">
        <v>10949</v>
      </c>
      <c r="AS544" t="s">
        <v>3501</v>
      </c>
      <c r="AT544" t="s">
        <v>3457</v>
      </c>
      <c r="AU544">
        <v>2019</v>
      </c>
      <c r="AV544">
        <v>62</v>
      </c>
      <c r="AW544">
        <v>6</v>
      </c>
      <c r="AX544" t="s">
        <v>74</v>
      </c>
      <c r="AY544" t="s">
        <v>74</v>
      </c>
      <c r="AZ544" t="s">
        <v>74</v>
      </c>
      <c r="BA544" t="s">
        <v>74</v>
      </c>
      <c r="BB544">
        <v>919</v>
      </c>
      <c r="BC544">
        <v>934</v>
      </c>
      <c r="BD544" t="s">
        <v>74</v>
      </c>
      <c r="BE544" t="s">
        <v>10961</v>
      </c>
      <c r="BF544" t="str">
        <f>HYPERLINK("http://dx.doi.org/10.1111/pala.12434","http://dx.doi.org/10.1111/pala.12434")</f>
        <v>http://dx.doi.org/10.1111/pala.12434</v>
      </c>
      <c r="BG544" t="s">
        <v>74</v>
      </c>
      <c r="BH544" t="s">
        <v>74</v>
      </c>
      <c r="BI544">
        <v>16</v>
      </c>
      <c r="BJ544" t="s">
        <v>3501</v>
      </c>
      <c r="BK544" t="s">
        <v>294</v>
      </c>
      <c r="BL544" t="s">
        <v>3501</v>
      </c>
      <c r="BM544" t="s">
        <v>10962</v>
      </c>
      <c r="BN544" t="s">
        <v>74</v>
      </c>
      <c r="BO544" t="s">
        <v>2237</v>
      </c>
      <c r="BP544" t="s">
        <v>74</v>
      </c>
      <c r="BQ544" t="s">
        <v>74</v>
      </c>
      <c r="BR544" t="s">
        <v>108</v>
      </c>
      <c r="BS544" t="s">
        <v>10963</v>
      </c>
      <c r="BT544" t="str">
        <f>HYPERLINK("https%3A%2F%2Fwww.webofscience.com%2Fwos%2Fwoscc%2Ffull-record%2FWOS:000501381000003","View Full Record in Web of Science")</f>
        <v>View Full Record in Web of Science</v>
      </c>
    </row>
    <row r="545" spans="1:72" x14ac:dyDescent="0.15">
      <c r="A545" t="s">
        <v>133</v>
      </c>
      <c r="B545" t="s">
        <v>10964</v>
      </c>
      <c r="C545" t="s">
        <v>74</v>
      </c>
      <c r="D545" t="s">
        <v>74</v>
      </c>
      <c r="E545" t="s">
        <v>74</v>
      </c>
      <c r="F545" t="s">
        <v>10965</v>
      </c>
      <c r="G545" t="s">
        <v>74</v>
      </c>
      <c r="H545" t="s">
        <v>74</v>
      </c>
      <c r="I545" t="s">
        <v>10966</v>
      </c>
      <c r="J545" t="s">
        <v>3507</v>
      </c>
      <c r="K545" t="s">
        <v>74</v>
      </c>
      <c r="L545" t="s">
        <v>74</v>
      </c>
      <c r="M545" t="s">
        <v>80</v>
      </c>
      <c r="N545" t="s">
        <v>138</v>
      </c>
      <c r="O545" t="s">
        <v>74</v>
      </c>
      <c r="P545" t="s">
        <v>74</v>
      </c>
      <c r="Q545" t="s">
        <v>74</v>
      </c>
      <c r="R545" t="s">
        <v>74</v>
      </c>
      <c r="S545" t="s">
        <v>74</v>
      </c>
      <c r="T545" t="s">
        <v>10967</v>
      </c>
      <c r="U545" t="s">
        <v>10968</v>
      </c>
      <c r="V545" t="s">
        <v>10969</v>
      </c>
      <c r="W545" t="s">
        <v>10970</v>
      </c>
      <c r="X545" t="s">
        <v>10971</v>
      </c>
      <c r="Y545" t="s">
        <v>10972</v>
      </c>
      <c r="Z545" t="s">
        <v>10973</v>
      </c>
      <c r="AA545" t="s">
        <v>10974</v>
      </c>
      <c r="AB545" t="s">
        <v>10975</v>
      </c>
      <c r="AC545" t="s">
        <v>10976</v>
      </c>
      <c r="AD545" t="s">
        <v>10977</v>
      </c>
      <c r="AE545" t="s">
        <v>10978</v>
      </c>
      <c r="AF545" t="s">
        <v>74</v>
      </c>
      <c r="AG545">
        <v>58</v>
      </c>
      <c r="AH545">
        <v>12</v>
      </c>
      <c r="AI545">
        <v>13</v>
      </c>
      <c r="AJ545">
        <v>4</v>
      </c>
      <c r="AK545">
        <v>25</v>
      </c>
      <c r="AL545" t="s">
        <v>1964</v>
      </c>
      <c r="AM545" t="s">
        <v>1965</v>
      </c>
      <c r="AN545" t="s">
        <v>1966</v>
      </c>
      <c r="AO545" t="s">
        <v>3519</v>
      </c>
      <c r="AP545" t="s">
        <v>3520</v>
      </c>
      <c r="AQ545" t="s">
        <v>74</v>
      </c>
      <c r="AR545" t="s">
        <v>3521</v>
      </c>
      <c r="AS545" t="s">
        <v>3522</v>
      </c>
      <c r="AT545" t="s">
        <v>3457</v>
      </c>
      <c r="AU545">
        <v>2019</v>
      </c>
      <c r="AV545">
        <v>42</v>
      </c>
      <c r="AW545">
        <v>11</v>
      </c>
      <c r="AX545" t="s">
        <v>74</v>
      </c>
      <c r="AY545" t="s">
        <v>74</v>
      </c>
      <c r="AZ545" t="s">
        <v>74</v>
      </c>
      <c r="BA545" t="s">
        <v>74</v>
      </c>
      <c r="BB545">
        <v>1973</v>
      </c>
      <c r="BC545">
        <v>1984</v>
      </c>
      <c r="BD545" t="s">
        <v>74</v>
      </c>
      <c r="BE545" t="s">
        <v>10979</v>
      </c>
      <c r="BF545" t="str">
        <f>HYPERLINK("http://dx.doi.org/10.1007/s00300-019-02572-7","http://dx.doi.org/10.1007/s00300-019-02572-7")</f>
        <v>http://dx.doi.org/10.1007/s00300-019-02572-7</v>
      </c>
      <c r="BG545" t="s">
        <v>74</v>
      </c>
      <c r="BH545" t="s">
        <v>74</v>
      </c>
      <c r="BI545">
        <v>12</v>
      </c>
      <c r="BJ545" t="s">
        <v>3524</v>
      </c>
      <c r="BK545" t="s">
        <v>294</v>
      </c>
      <c r="BL545" t="s">
        <v>295</v>
      </c>
      <c r="BM545" t="s">
        <v>10980</v>
      </c>
      <c r="BN545" t="s">
        <v>74</v>
      </c>
      <c r="BO545" t="s">
        <v>74</v>
      </c>
      <c r="BP545" t="s">
        <v>74</v>
      </c>
      <c r="BQ545" t="s">
        <v>74</v>
      </c>
      <c r="BR545" t="s">
        <v>108</v>
      </c>
      <c r="BS545" t="s">
        <v>10981</v>
      </c>
      <c r="BT545" t="str">
        <f>HYPERLINK("https%3A%2F%2Fwww.webofscience.com%2Fwos%2Fwoscc%2Ffull-record%2FWOS:000490956900002","View Full Record in Web of Science")</f>
        <v>View Full Record in Web of Science</v>
      </c>
    </row>
    <row r="546" spans="1:72" x14ac:dyDescent="0.15">
      <c r="A546" t="s">
        <v>133</v>
      </c>
      <c r="B546" t="s">
        <v>10982</v>
      </c>
      <c r="C546" t="s">
        <v>74</v>
      </c>
      <c r="D546" t="s">
        <v>74</v>
      </c>
      <c r="E546" t="s">
        <v>74</v>
      </c>
      <c r="F546" t="s">
        <v>10983</v>
      </c>
      <c r="G546" t="s">
        <v>74</v>
      </c>
      <c r="H546" t="s">
        <v>74</v>
      </c>
      <c r="I546" t="s">
        <v>10984</v>
      </c>
      <c r="J546" t="s">
        <v>3507</v>
      </c>
      <c r="K546" t="s">
        <v>74</v>
      </c>
      <c r="L546" t="s">
        <v>74</v>
      </c>
      <c r="M546" t="s">
        <v>80</v>
      </c>
      <c r="N546" t="s">
        <v>138</v>
      </c>
      <c r="O546" t="s">
        <v>74</v>
      </c>
      <c r="P546" t="s">
        <v>74</v>
      </c>
      <c r="Q546" t="s">
        <v>74</v>
      </c>
      <c r="R546" t="s">
        <v>74</v>
      </c>
      <c r="S546" t="s">
        <v>74</v>
      </c>
      <c r="T546" t="s">
        <v>10985</v>
      </c>
      <c r="U546" t="s">
        <v>10986</v>
      </c>
      <c r="V546" t="s">
        <v>10987</v>
      </c>
      <c r="W546" t="s">
        <v>10988</v>
      </c>
      <c r="X546" t="s">
        <v>10989</v>
      </c>
      <c r="Y546" t="s">
        <v>10990</v>
      </c>
      <c r="Z546" t="s">
        <v>10991</v>
      </c>
      <c r="AA546" t="s">
        <v>10992</v>
      </c>
      <c r="AB546" t="s">
        <v>10993</v>
      </c>
      <c r="AC546" t="s">
        <v>10994</v>
      </c>
      <c r="AD546" t="s">
        <v>10995</v>
      </c>
      <c r="AE546" t="s">
        <v>10996</v>
      </c>
      <c r="AF546" t="s">
        <v>74</v>
      </c>
      <c r="AG546">
        <v>62</v>
      </c>
      <c r="AH546">
        <v>6</v>
      </c>
      <c r="AI546">
        <v>6</v>
      </c>
      <c r="AJ546">
        <v>1</v>
      </c>
      <c r="AK546">
        <v>11</v>
      </c>
      <c r="AL546" t="s">
        <v>1964</v>
      </c>
      <c r="AM546" t="s">
        <v>1965</v>
      </c>
      <c r="AN546" t="s">
        <v>3452</v>
      </c>
      <c r="AO546" t="s">
        <v>3519</v>
      </c>
      <c r="AP546" t="s">
        <v>3520</v>
      </c>
      <c r="AQ546" t="s">
        <v>74</v>
      </c>
      <c r="AR546" t="s">
        <v>3521</v>
      </c>
      <c r="AS546" t="s">
        <v>3522</v>
      </c>
      <c r="AT546" t="s">
        <v>3457</v>
      </c>
      <c r="AU546">
        <v>2019</v>
      </c>
      <c r="AV546">
        <v>42</v>
      </c>
      <c r="AW546">
        <v>11</v>
      </c>
      <c r="AX546" t="s">
        <v>74</v>
      </c>
      <c r="AY546" t="s">
        <v>74</v>
      </c>
      <c r="AZ546" t="s">
        <v>74</v>
      </c>
      <c r="BA546" t="s">
        <v>74</v>
      </c>
      <c r="BB546">
        <v>2017</v>
      </c>
      <c r="BC546">
        <v>2030</v>
      </c>
      <c r="BD546" t="s">
        <v>74</v>
      </c>
      <c r="BE546" t="s">
        <v>10997</v>
      </c>
      <c r="BF546" t="str">
        <f>HYPERLINK("http://dx.doi.org/10.1007/s00300-019-02577-2","http://dx.doi.org/10.1007/s00300-019-02577-2")</f>
        <v>http://dx.doi.org/10.1007/s00300-019-02577-2</v>
      </c>
      <c r="BG546" t="s">
        <v>74</v>
      </c>
      <c r="BH546" t="s">
        <v>74</v>
      </c>
      <c r="BI546">
        <v>14</v>
      </c>
      <c r="BJ546" t="s">
        <v>3524</v>
      </c>
      <c r="BK546" t="s">
        <v>294</v>
      </c>
      <c r="BL546" t="s">
        <v>295</v>
      </c>
      <c r="BM546" t="s">
        <v>10980</v>
      </c>
      <c r="BN546" t="s">
        <v>74</v>
      </c>
      <c r="BO546" t="s">
        <v>4773</v>
      </c>
      <c r="BP546" t="s">
        <v>74</v>
      </c>
      <c r="BQ546" t="s">
        <v>74</v>
      </c>
      <c r="BR546" t="s">
        <v>108</v>
      </c>
      <c r="BS546" t="s">
        <v>10998</v>
      </c>
      <c r="BT546" t="str">
        <f>HYPERLINK("https%3A%2F%2Fwww.webofscience.com%2Fwos%2Fwoscc%2Ffull-record%2FWOS:000490956900005","View Full Record in Web of Science")</f>
        <v>View Full Record in Web of Science</v>
      </c>
    </row>
    <row r="547" spans="1:72" x14ac:dyDescent="0.15">
      <c r="A547" t="s">
        <v>133</v>
      </c>
      <c r="B547" t="s">
        <v>10999</v>
      </c>
      <c r="C547" t="s">
        <v>74</v>
      </c>
      <c r="D547" t="s">
        <v>74</v>
      </c>
      <c r="E547" t="s">
        <v>74</v>
      </c>
      <c r="F547" t="s">
        <v>11000</v>
      </c>
      <c r="G547" t="s">
        <v>74</v>
      </c>
      <c r="H547" t="s">
        <v>74</v>
      </c>
      <c r="I547" t="s">
        <v>11001</v>
      </c>
      <c r="J547" t="s">
        <v>3507</v>
      </c>
      <c r="K547" t="s">
        <v>74</v>
      </c>
      <c r="L547" t="s">
        <v>74</v>
      </c>
      <c r="M547" t="s">
        <v>80</v>
      </c>
      <c r="N547" t="s">
        <v>138</v>
      </c>
      <c r="O547" t="s">
        <v>74</v>
      </c>
      <c r="P547" t="s">
        <v>74</v>
      </c>
      <c r="Q547" t="s">
        <v>74</v>
      </c>
      <c r="R547" t="s">
        <v>74</v>
      </c>
      <c r="S547" t="s">
        <v>74</v>
      </c>
      <c r="T547" t="s">
        <v>11002</v>
      </c>
      <c r="U547" t="s">
        <v>11003</v>
      </c>
      <c r="V547" t="s">
        <v>11004</v>
      </c>
      <c r="W547" t="s">
        <v>11005</v>
      </c>
      <c r="X547" t="s">
        <v>11006</v>
      </c>
      <c r="Y547" t="s">
        <v>11007</v>
      </c>
      <c r="Z547" t="s">
        <v>11008</v>
      </c>
      <c r="AA547" t="s">
        <v>74</v>
      </c>
      <c r="AB547" t="s">
        <v>11009</v>
      </c>
      <c r="AC547" t="s">
        <v>11010</v>
      </c>
      <c r="AD547" t="s">
        <v>11011</v>
      </c>
      <c r="AE547" t="s">
        <v>11012</v>
      </c>
      <c r="AF547" t="s">
        <v>74</v>
      </c>
      <c r="AG547">
        <v>77</v>
      </c>
      <c r="AH547">
        <v>2</v>
      </c>
      <c r="AI547">
        <v>2</v>
      </c>
      <c r="AJ547">
        <v>0</v>
      </c>
      <c r="AK547">
        <v>32</v>
      </c>
      <c r="AL547" t="s">
        <v>1964</v>
      </c>
      <c r="AM547" t="s">
        <v>1965</v>
      </c>
      <c r="AN547" t="s">
        <v>3452</v>
      </c>
      <c r="AO547" t="s">
        <v>3519</v>
      </c>
      <c r="AP547" t="s">
        <v>3520</v>
      </c>
      <c r="AQ547" t="s">
        <v>74</v>
      </c>
      <c r="AR547" t="s">
        <v>3521</v>
      </c>
      <c r="AS547" t="s">
        <v>3522</v>
      </c>
      <c r="AT547" t="s">
        <v>3457</v>
      </c>
      <c r="AU547">
        <v>2019</v>
      </c>
      <c r="AV547">
        <v>42</v>
      </c>
      <c r="AW547">
        <v>11</v>
      </c>
      <c r="AX547" t="s">
        <v>74</v>
      </c>
      <c r="AY547" t="s">
        <v>74</v>
      </c>
      <c r="AZ547" t="s">
        <v>74</v>
      </c>
      <c r="BA547" t="s">
        <v>74</v>
      </c>
      <c r="BB547">
        <v>2031</v>
      </c>
      <c r="BC547">
        <v>2044</v>
      </c>
      <c r="BD547" t="s">
        <v>74</v>
      </c>
      <c r="BE547" t="s">
        <v>11013</v>
      </c>
      <c r="BF547" t="str">
        <f>HYPERLINK("http://dx.doi.org/10.1007/s00300-019-02578-1","http://dx.doi.org/10.1007/s00300-019-02578-1")</f>
        <v>http://dx.doi.org/10.1007/s00300-019-02578-1</v>
      </c>
      <c r="BG547" t="s">
        <v>74</v>
      </c>
      <c r="BH547" t="s">
        <v>74</v>
      </c>
      <c r="BI547">
        <v>14</v>
      </c>
      <c r="BJ547" t="s">
        <v>3524</v>
      </c>
      <c r="BK547" t="s">
        <v>294</v>
      </c>
      <c r="BL547" t="s">
        <v>295</v>
      </c>
      <c r="BM547" t="s">
        <v>10980</v>
      </c>
      <c r="BN547" t="s">
        <v>74</v>
      </c>
      <c r="BO547" t="s">
        <v>666</v>
      </c>
      <c r="BP547" t="s">
        <v>74</v>
      </c>
      <c r="BQ547" t="s">
        <v>74</v>
      </c>
      <c r="BR547" t="s">
        <v>108</v>
      </c>
      <c r="BS547" t="s">
        <v>11014</v>
      </c>
      <c r="BT547" t="str">
        <f>HYPERLINK("https%3A%2F%2Fwww.webofscience.com%2Fwos%2Fwoscc%2Ffull-record%2FWOS:000490956900006","View Full Record in Web of Science")</f>
        <v>View Full Record in Web of Science</v>
      </c>
    </row>
    <row r="548" spans="1:72" x14ac:dyDescent="0.15">
      <c r="A548" t="s">
        <v>133</v>
      </c>
      <c r="B548" t="s">
        <v>11015</v>
      </c>
      <c r="C548" t="s">
        <v>74</v>
      </c>
      <c r="D548" t="s">
        <v>74</v>
      </c>
      <c r="E548" t="s">
        <v>74</v>
      </c>
      <c r="F548" t="s">
        <v>11016</v>
      </c>
      <c r="G548" t="s">
        <v>74</v>
      </c>
      <c r="H548" t="s">
        <v>74</v>
      </c>
      <c r="I548" t="s">
        <v>11017</v>
      </c>
      <c r="J548" t="s">
        <v>3507</v>
      </c>
      <c r="K548" t="s">
        <v>74</v>
      </c>
      <c r="L548" t="s">
        <v>74</v>
      </c>
      <c r="M548" t="s">
        <v>80</v>
      </c>
      <c r="N548" t="s">
        <v>138</v>
      </c>
      <c r="O548" t="s">
        <v>74</v>
      </c>
      <c r="P548" t="s">
        <v>74</v>
      </c>
      <c r="Q548" t="s">
        <v>74</v>
      </c>
      <c r="R548" t="s">
        <v>74</v>
      </c>
      <c r="S548" t="s">
        <v>74</v>
      </c>
      <c r="T548" t="s">
        <v>11018</v>
      </c>
      <c r="U548" t="s">
        <v>11019</v>
      </c>
      <c r="V548" t="s">
        <v>11020</v>
      </c>
      <c r="W548" t="s">
        <v>11021</v>
      </c>
      <c r="X548" t="s">
        <v>11022</v>
      </c>
      <c r="Y548" t="s">
        <v>11023</v>
      </c>
      <c r="Z548" t="s">
        <v>11024</v>
      </c>
      <c r="AA548" t="s">
        <v>74</v>
      </c>
      <c r="AB548" t="s">
        <v>11025</v>
      </c>
      <c r="AC548" t="s">
        <v>11026</v>
      </c>
      <c r="AD548" t="s">
        <v>1522</v>
      </c>
      <c r="AE548" t="s">
        <v>11027</v>
      </c>
      <c r="AF548" t="s">
        <v>74</v>
      </c>
      <c r="AG548">
        <v>64</v>
      </c>
      <c r="AH548">
        <v>2</v>
      </c>
      <c r="AI548">
        <v>3</v>
      </c>
      <c r="AJ548">
        <v>0</v>
      </c>
      <c r="AK548">
        <v>23</v>
      </c>
      <c r="AL548" t="s">
        <v>1964</v>
      </c>
      <c r="AM548" t="s">
        <v>1965</v>
      </c>
      <c r="AN548" t="s">
        <v>1966</v>
      </c>
      <c r="AO548" t="s">
        <v>3519</v>
      </c>
      <c r="AP548" t="s">
        <v>3520</v>
      </c>
      <c r="AQ548" t="s">
        <v>74</v>
      </c>
      <c r="AR548" t="s">
        <v>3521</v>
      </c>
      <c r="AS548" t="s">
        <v>3522</v>
      </c>
      <c r="AT548" t="s">
        <v>3457</v>
      </c>
      <c r="AU548">
        <v>2019</v>
      </c>
      <c r="AV548">
        <v>42</v>
      </c>
      <c r="AW548">
        <v>11</v>
      </c>
      <c r="AX548" t="s">
        <v>74</v>
      </c>
      <c r="AY548" t="s">
        <v>74</v>
      </c>
      <c r="AZ548" t="s">
        <v>74</v>
      </c>
      <c r="BA548" t="s">
        <v>74</v>
      </c>
      <c r="BB548">
        <v>2075</v>
      </c>
      <c r="BC548">
        <v>2085</v>
      </c>
      <c r="BD548" t="s">
        <v>74</v>
      </c>
      <c r="BE548" t="s">
        <v>11028</v>
      </c>
      <c r="BF548" t="str">
        <f>HYPERLINK("http://dx.doi.org/10.1007/s00300-019-02582-5","http://dx.doi.org/10.1007/s00300-019-02582-5")</f>
        <v>http://dx.doi.org/10.1007/s00300-019-02582-5</v>
      </c>
      <c r="BG548" t="s">
        <v>74</v>
      </c>
      <c r="BH548" t="s">
        <v>74</v>
      </c>
      <c r="BI548">
        <v>11</v>
      </c>
      <c r="BJ548" t="s">
        <v>3524</v>
      </c>
      <c r="BK548" t="s">
        <v>294</v>
      </c>
      <c r="BL548" t="s">
        <v>295</v>
      </c>
      <c r="BM548" t="s">
        <v>10980</v>
      </c>
      <c r="BN548" t="s">
        <v>74</v>
      </c>
      <c r="BO548" t="s">
        <v>74</v>
      </c>
      <c r="BP548" t="s">
        <v>74</v>
      </c>
      <c r="BQ548" t="s">
        <v>74</v>
      </c>
      <c r="BR548" t="s">
        <v>108</v>
      </c>
      <c r="BS548" t="s">
        <v>11029</v>
      </c>
      <c r="BT548" t="str">
        <f>HYPERLINK("https%3A%2F%2Fwww.webofscience.com%2Fwos%2Fwoscc%2Ffull-record%2FWOS:000490956900010","View Full Record in Web of Science")</f>
        <v>View Full Record in Web of Science</v>
      </c>
    </row>
    <row r="549" spans="1:72" x14ac:dyDescent="0.15">
      <c r="A549" t="s">
        <v>133</v>
      </c>
      <c r="B549" t="s">
        <v>11030</v>
      </c>
      <c r="C549" t="s">
        <v>74</v>
      </c>
      <c r="D549" t="s">
        <v>74</v>
      </c>
      <c r="E549" t="s">
        <v>74</v>
      </c>
      <c r="F549" t="s">
        <v>11031</v>
      </c>
      <c r="G549" t="s">
        <v>74</v>
      </c>
      <c r="H549" t="s">
        <v>74</v>
      </c>
      <c r="I549" t="s">
        <v>11032</v>
      </c>
      <c r="J549" t="s">
        <v>3507</v>
      </c>
      <c r="K549" t="s">
        <v>74</v>
      </c>
      <c r="L549" t="s">
        <v>74</v>
      </c>
      <c r="M549" t="s">
        <v>80</v>
      </c>
      <c r="N549" t="s">
        <v>138</v>
      </c>
      <c r="O549" t="s">
        <v>74</v>
      </c>
      <c r="P549" t="s">
        <v>74</v>
      </c>
      <c r="Q549" t="s">
        <v>74</v>
      </c>
      <c r="R549" t="s">
        <v>74</v>
      </c>
      <c r="S549" t="s">
        <v>74</v>
      </c>
      <c r="T549" t="s">
        <v>11033</v>
      </c>
      <c r="U549" t="s">
        <v>11034</v>
      </c>
      <c r="V549" t="s">
        <v>11035</v>
      </c>
      <c r="W549" t="s">
        <v>11036</v>
      </c>
      <c r="X549" t="s">
        <v>11037</v>
      </c>
      <c r="Y549" t="s">
        <v>11038</v>
      </c>
      <c r="Z549" t="s">
        <v>11039</v>
      </c>
      <c r="AA549" t="s">
        <v>11040</v>
      </c>
      <c r="AB549" t="s">
        <v>11041</v>
      </c>
      <c r="AC549" t="s">
        <v>11042</v>
      </c>
      <c r="AD549" t="s">
        <v>11043</v>
      </c>
      <c r="AE549" t="s">
        <v>11044</v>
      </c>
      <c r="AF549" t="s">
        <v>74</v>
      </c>
      <c r="AG549">
        <v>69</v>
      </c>
      <c r="AH549">
        <v>10</v>
      </c>
      <c r="AI549">
        <v>10</v>
      </c>
      <c r="AJ549">
        <v>1</v>
      </c>
      <c r="AK549">
        <v>23</v>
      </c>
      <c r="AL549" t="s">
        <v>1964</v>
      </c>
      <c r="AM549" t="s">
        <v>1965</v>
      </c>
      <c r="AN549" t="s">
        <v>1966</v>
      </c>
      <c r="AO549" t="s">
        <v>3519</v>
      </c>
      <c r="AP549" t="s">
        <v>3520</v>
      </c>
      <c r="AQ549" t="s">
        <v>74</v>
      </c>
      <c r="AR549" t="s">
        <v>3521</v>
      </c>
      <c r="AS549" t="s">
        <v>3522</v>
      </c>
      <c r="AT549" t="s">
        <v>3457</v>
      </c>
      <c r="AU549">
        <v>2019</v>
      </c>
      <c r="AV549">
        <v>42</v>
      </c>
      <c r="AW549">
        <v>11</v>
      </c>
      <c r="AX549" t="s">
        <v>74</v>
      </c>
      <c r="AY549" t="s">
        <v>74</v>
      </c>
      <c r="AZ549" t="s">
        <v>74</v>
      </c>
      <c r="BA549" t="s">
        <v>74</v>
      </c>
      <c r="BB549">
        <v>2149</v>
      </c>
      <c r="BC549">
        <v>2164</v>
      </c>
      <c r="BD549" t="s">
        <v>74</v>
      </c>
      <c r="BE549" t="s">
        <v>11045</v>
      </c>
      <c r="BF549" t="str">
        <f>HYPERLINK("http://dx.doi.org/10.1007/s00300-019-02589-y","http://dx.doi.org/10.1007/s00300-019-02589-y")</f>
        <v>http://dx.doi.org/10.1007/s00300-019-02589-y</v>
      </c>
      <c r="BG549" t="s">
        <v>74</v>
      </c>
      <c r="BH549" t="s">
        <v>74</v>
      </c>
      <c r="BI549">
        <v>16</v>
      </c>
      <c r="BJ549" t="s">
        <v>3524</v>
      </c>
      <c r="BK549" t="s">
        <v>294</v>
      </c>
      <c r="BL549" t="s">
        <v>295</v>
      </c>
      <c r="BM549" t="s">
        <v>11046</v>
      </c>
      <c r="BN549" t="s">
        <v>74</v>
      </c>
      <c r="BO549" t="s">
        <v>2403</v>
      </c>
      <c r="BP549" t="s">
        <v>74</v>
      </c>
      <c r="BQ549" t="s">
        <v>74</v>
      </c>
      <c r="BR549" t="s">
        <v>108</v>
      </c>
      <c r="BS549" t="s">
        <v>11047</v>
      </c>
      <c r="BT549" t="str">
        <f>HYPERLINK("https%3A%2F%2Fwww.webofscience.com%2Fwos%2Fwoscc%2Ffull-record%2FWOS:000507398200002","View Full Record in Web of Science")</f>
        <v>View Full Record in Web of Science</v>
      </c>
    </row>
    <row r="550" spans="1:72" x14ac:dyDescent="0.15">
      <c r="A550" t="s">
        <v>133</v>
      </c>
      <c r="B550" t="s">
        <v>11048</v>
      </c>
      <c r="C550" t="s">
        <v>74</v>
      </c>
      <c r="D550" t="s">
        <v>74</v>
      </c>
      <c r="E550" t="s">
        <v>74</v>
      </c>
      <c r="F550" t="s">
        <v>11049</v>
      </c>
      <c r="G550" t="s">
        <v>74</v>
      </c>
      <c r="H550" t="s">
        <v>74</v>
      </c>
      <c r="I550" t="s">
        <v>11050</v>
      </c>
      <c r="J550" t="s">
        <v>10103</v>
      </c>
      <c r="K550" t="s">
        <v>74</v>
      </c>
      <c r="L550" t="s">
        <v>74</v>
      </c>
      <c r="M550" t="s">
        <v>80</v>
      </c>
      <c r="N550" t="s">
        <v>930</v>
      </c>
      <c r="O550" t="s">
        <v>74</v>
      </c>
      <c r="P550" t="s">
        <v>74</v>
      </c>
      <c r="Q550" t="s">
        <v>74</v>
      </c>
      <c r="R550" t="s">
        <v>74</v>
      </c>
      <c r="S550" t="s">
        <v>74</v>
      </c>
      <c r="T550" t="s">
        <v>11051</v>
      </c>
      <c r="U550" t="s">
        <v>11052</v>
      </c>
      <c r="V550" t="s">
        <v>11053</v>
      </c>
      <c r="W550" t="s">
        <v>11054</v>
      </c>
      <c r="X550" t="s">
        <v>11055</v>
      </c>
      <c r="Y550" t="s">
        <v>11056</v>
      </c>
      <c r="Z550" t="s">
        <v>11057</v>
      </c>
      <c r="AA550" t="s">
        <v>11058</v>
      </c>
      <c r="AB550" t="s">
        <v>11059</v>
      </c>
      <c r="AC550" t="s">
        <v>11060</v>
      </c>
      <c r="AD550" t="s">
        <v>11061</v>
      </c>
      <c r="AE550" t="s">
        <v>11062</v>
      </c>
      <c r="AF550" t="s">
        <v>74</v>
      </c>
      <c r="AG550">
        <v>105</v>
      </c>
      <c r="AH550">
        <v>14</v>
      </c>
      <c r="AI550">
        <v>14</v>
      </c>
      <c r="AJ550">
        <v>0</v>
      </c>
      <c r="AK550">
        <v>14</v>
      </c>
      <c r="AL550" t="s">
        <v>379</v>
      </c>
      <c r="AM550" t="s">
        <v>380</v>
      </c>
      <c r="AN550" t="s">
        <v>381</v>
      </c>
      <c r="AO550" t="s">
        <v>10115</v>
      </c>
      <c r="AP550" t="s">
        <v>74</v>
      </c>
      <c r="AQ550" t="s">
        <v>74</v>
      </c>
      <c r="AR550" t="s">
        <v>10116</v>
      </c>
      <c r="AS550" t="s">
        <v>10117</v>
      </c>
      <c r="AT550" t="s">
        <v>3457</v>
      </c>
      <c r="AU550">
        <v>2019</v>
      </c>
      <c r="AV550">
        <v>178</v>
      </c>
      <c r="AW550" t="s">
        <v>74</v>
      </c>
      <c r="AX550" t="s">
        <v>74</v>
      </c>
      <c r="AY550" t="s">
        <v>74</v>
      </c>
      <c r="AZ550" t="s">
        <v>74</v>
      </c>
      <c r="BA550" t="s">
        <v>74</v>
      </c>
      <c r="BB550" t="s">
        <v>74</v>
      </c>
      <c r="BC550" t="s">
        <v>74</v>
      </c>
      <c r="BD550">
        <v>102144</v>
      </c>
      <c r="BE550" t="s">
        <v>11063</v>
      </c>
      <c r="BF550" t="str">
        <f>HYPERLINK("http://dx.doi.org/10.1016/j.pocean.2019.102144","http://dx.doi.org/10.1016/j.pocean.2019.102144")</f>
        <v>http://dx.doi.org/10.1016/j.pocean.2019.102144</v>
      </c>
      <c r="BG550" t="s">
        <v>74</v>
      </c>
      <c r="BH550" t="s">
        <v>74</v>
      </c>
      <c r="BI550">
        <v>15</v>
      </c>
      <c r="BJ550" t="s">
        <v>1945</v>
      </c>
      <c r="BK550" t="s">
        <v>294</v>
      </c>
      <c r="BL550" t="s">
        <v>1945</v>
      </c>
      <c r="BM550" t="s">
        <v>10119</v>
      </c>
      <c r="BN550" t="s">
        <v>74</v>
      </c>
      <c r="BO550" t="s">
        <v>74</v>
      </c>
      <c r="BP550" t="s">
        <v>74</v>
      </c>
      <c r="BQ550" t="s">
        <v>74</v>
      </c>
      <c r="BR550" t="s">
        <v>108</v>
      </c>
      <c r="BS550" t="s">
        <v>11064</v>
      </c>
      <c r="BT550" t="str">
        <f>HYPERLINK("https%3A%2F%2Fwww.webofscience.com%2Fwos%2Fwoscc%2Ffull-record%2FWOS:000496861900022","View Full Record in Web of Science")</f>
        <v>View Full Record in Web of Science</v>
      </c>
    </row>
    <row r="551" spans="1:72" x14ac:dyDescent="0.15">
      <c r="A551" t="s">
        <v>133</v>
      </c>
      <c r="B551" t="s">
        <v>11065</v>
      </c>
      <c r="C551" t="s">
        <v>74</v>
      </c>
      <c r="D551" t="s">
        <v>74</v>
      </c>
      <c r="E551" t="s">
        <v>74</v>
      </c>
      <c r="F551" t="s">
        <v>11066</v>
      </c>
      <c r="G551" t="s">
        <v>74</v>
      </c>
      <c r="H551" t="s">
        <v>74</v>
      </c>
      <c r="I551" t="s">
        <v>11067</v>
      </c>
      <c r="J551" t="s">
        <v>11068</v>
      </c>
      <c r="K551" t="s">
        <v>74</v>
      </c>
      <c r="L551" t="s">
        <v>74</v>
      </c>
      <c r="M551" t="s">
        <v>80</v>
      </c>
      <c r="N551" t="s">
        <v>138</v>
      </c>
      <c r="O551" t="s">
        <v>74</v>
      </c>
      <c r="P551" t="s">
        <v>74</v>
      </c>
      <c r="Q551" t="s">
        <v>74</v>
      </c>
      <c r="R551" t="s">
        <v>74</v>
      </c>
      <c r="S551" t="s">
        <v>74</v>
      </c>
      <c r="T551" t="s">
        <v>11069</v>
      </c>
      <c r="U551" t="s">
        <v>11070</v>
      </c>
      <c r="V551" t="s">
        <v>11071</v>
      </c>
      <c r="W551" t="s">
        <v>11072</v>
      </c>
      <c r="X551" t="s">
        <v>11073</v>
      </c>
      <c r="Y551" t="s">
        <v>11074</v>
      </c>
      <c r="Z551" t="s">
        <v>11075</v>
      </c>
      <c r="AA551" t="s">
        <v>11076</v>
      </c>
      <c r="AB551" t="s">
        <v>11077</v>
      </c>
      <c r="AC551" t="s">
        <v>11078</v>
      </c>
      <c r="AD551" t="s">
        <v>11079</v>
      </c>
      <c r="AE551" t="s">
        <v>11080</v>
      </c>
      <c r="AF551" t="s">
        <v>74</v>
      </c>
      <c r="AG551">
        <v>59</v>
      </c>
      <c r="AH551">
        <v>20</v>
      </c>
      <c r="AI551">
        <v>20</v>
      </c>
      <c r="AJ551">
        <v>0</v>
      </c>
      <c r="AK551">
        <v>10</v>
      </c>
      <c r="AL551" t="s">
        <v>5962</v>
      </c>
      <c r="AM551" t="s">
        <v>5963</v>
      </c>
      <c r="AN551" t="s">
        <v>5964</v>
      </c>
      <c r="AO551" t="s">
        <v>11081</v>
      </c>
      <c r="AP551" t="s">
        <v>11082</v>
      </c>
      <c r="AQ551" t="s">
        <v>74</v>
      </c>
      <c r="AR551" t="s">
        <v>11068</v>
      </c>
      <c r="AS551" t="s">
        <v>11083</v>
      </c>
      <c r="AT551" t="s">
        <v>3457</v>
      </c>
      <c r="AU551">
        <v>2019</v>
      </c>
      <c r="AV551">
        <v>256</v>
      </c>
      <c r="AW551">
        <v>6</v>
      </c>
      <c r="AX551" t="s">
        <v>74</v>
      </c>
      <c r="AY551" t="s">
        <v>74</v>
      </c>
      <c r="AZ551" t="s">
        <v>74</v>
      </c>
      <c r="BA551" t="s">
        <v>74</v>
      </c>
      <c r="BB551">
        <v>1681</v>
      </c>
      <c r="BC551">
        <v>1694</v>
      </c>
      <c r="BD551" t="s">
        <v>74</v>
      </c>
      <c r="BE551" t="s">
        <v>11084</v>
      </c>
      <c r="BF551" t="str">
        <f>HYPERLINK("http://dx.doi.org/10.1007/s00709-019-01404-z","http://dx.doi.org/10.1007/s00709-019-01404-z")</f>
        <v>http://dx.doi.org/10.1007/s00709-019-01404-z</v>
      </c>
      <c r="BG551" t="s">
        <v>74</v>
      </c>
      <c r="BH551" t="s">
        <v>74</v>
      </c>
      <c r="BI551">
        <v>14</v>
      </c>
      <c r="BJ551" t="s">
        <v>901</v>
      </c>
      <c r="BK551" t="s">
        <v>294</v>
      </c>
      <c r="BL551" t="s">
        <v>901</v>
      </c>
      <c r="BM551" t="s">
        <v>11085</v>
      </c>
      <c r="BN551">
        <v>31292718</v>
      </c>
      <c r="BO551" t="s">
        <v>2237</v>
      </c>
      <c r="BP551" t="s">
        <v>74</v>
      </c>
      <c r="BQ551" t="s">
        <v>74</v>
      </c>
      <c r="BR551" t="s">
        <v>108</v>
      </c>
      <c r="BS551" t="s">
        <v>11086</v>
      </c>
      <c r="BT551" t="str">
        <f>HYPERLINK("https%3A%2F%2Fwww.webofscience.com%2Fwos%2Fwoscc%2Ffull-record%2FWOS:000500030400018","View Full Record in Web of Science")</f>
        <v>View Full Record in Web of Science</v>
      </c>
    </row>
    <row r="552" spans="1:72" x14ac:dyDescent="0.15">
      <c r="A552" t="s">
        <v>133</v>
      </c>
      <c r="B552" t="s">
        <v>11087</v>
      </c>
      <c r="C552" t="s">
        <v>74</v>
      </c>
      <c r="D552" t="s">
        <v>74</v>
      </c>
      <c r="E552" t="s">
        <v>74</v>
      </c>
      <c r="F552" t="s">
        <v>11088</v>
      </c>
      <c r="G552" t="s">
        <v>74</v>
      </c>
      <c r="H552" t="s">
        <v>74</v>
      </c>
      <c r="I552" t="s">
        <v>11089</v>
      </c>
      <c r="J552" t="s">
        <v>9564</v>
      </c>
      <c r="K552" t="s">
        <v>74</v>
      </c>
      <c r="L552" t="s">
        <v>74</v>
      </c>
      <c r="M552" t="s">
        <v>80</v>
      </c>
      <c r="N552" t="s">
        <v>138</v>
      </c>
      <c r="O552" t="s">
        <v>74</v>
      </c>
      <c r="P552" t="s">
        <v>74</v>
      </c>
      <c r="Q552" t="s">
        <v>74</v>
      </c>
      <c r="R552" t="s">
        <v>74</v>
      </c>
      <c r="S552" t="s">
        <v>74</v>
      </c>
      <c r="T552" t="s">
        <v>11090</v>
      </c>
      <c r="U552" t="s">
        <v>11091</v>
      </c>
      <c r="V552" t="s">
        <v>11092</v>
      </c>
      <c r="W552" t="s">
        <v>11093</v>
      </c>
      <c r="X552" t="s">
        <v>11094</v>
      </c>
      <c r="Y552" t="s">
        <v>11095</v>
      </c>
      <c r="Z552" t="s">
        <v>11096</v>
      </c>
      <c r="AA552" t="s">
        <v>11097</v>
      </c>
      <c r="AB552" t="s">
        <v>11098</v>
      </c>
      <c r="AC552" t="s">
        <v>11099</v>
      </c>
      <c r="AD552" t="s">
        <v>11100</v>
      </c>
      <c r="AE552" t="s">
        <v>11101</v>
      </c>
      <c r="AF552" t="s">
        <v>74</v>
      </c>
      <c r="AG552">
        <v>78</v>
      </c>
      <c r="AH552">
        <v>18</v>
      </c>
      <c r="AI552">
        <v>22</v>
      </c>
      <c r="AJ552">
        <v>12</v>
      </c>
      <c r="AK552">
        <v>54</v>
      </c>
      <c r="AL552" t="s">
        <v>1729</v>
      </c>
      <c r="AM552" t="s">
        <v>1730</v>
      </c>
      <c r="AN552" t="s">
        <v>1731</v>
      </c>
      <c r="AO552" t="s">
        <v>9575</v>
      </c>
      <c r="AP552" t="s">
        <v>74</v>
      </c>
      <c r="AQ552" t="s">
        <v>74</v>
      </c>
      <c r="AR552" t="s">
        <v>9576</v>
      </c>
      <c r="AS552" t="s">
        <v>9577</v>
      </c>
      <c r="AT552" t="s">
        <v>3457</v>
      </c>
      <c r="AU552">
        <v>2019</v>
      </c>
      <c r="AV552">
        <v>6</v>
      </c>
      <c r="AW552">
        <v>11</v>
      </c>
      <c r="AX552" t="s">
        <v>74</v>
      </c>
      <c r="AY552" t="s">
        <v>74</v>
      </c>
      <c r="AZ552" t="s">
        <v>74</v>
      </c>
      <c r="BA552" t="s">
        <v>74</v>
      </c>
      <c r="BB552" t="s">
        <v>74</v>
      </c>
      <c r="BC552" t="s">
        <v>74</v>
      </c>
      <c r="BD552">
        <v>190744</v>
      </c>
      <c r="BE552" t="s">
        <v>11102</v>
      </c>
      <c r="BF552" t="str">
        <f>HYPERLINK("http://dx.doi.org/10.1098/rsos.190744","http://dx.doi.org/10.1098/rsos.190744")</f>
        <v>http://dx.doi.org/10.1098/rsos.190744</v>
      </c>
      <c r="BG552" t="s">
        <v>74</v>
      </c>
      <c r="BH552" t="s">
        <v>74</v>
      </c>
      <c r="BI552">
        <v>13</v>
      </c>
      <c r="BJ552" t="s">
        <v>1245</v>
      </c>
      <c r="BK552" t="s">
        <v>294</v>
      </c>
      <c r="BL552" t="s">
        <v>1246</v>
      </c>
      <c r="BM552" t="s">
        <v>9579</v>
      </c>
      <c r="BN552">
        <v>31827828</v>
      </c>
      <c r="BO552" t="s">
        <v>2934</v>
      </c>
      <c r="BP552" t="s">
        <v>74</v>
      </c>
      <c r="BQ552" t="s">
        <v>74</v>
      </c>
      <c r="BR552" t="s">
        <v>108</v>
      </c>
      <c r="BS552" t="s">
        <v>11103</v>
      </c>
      <c r="BT552" t="str">
        <f>HYPERLINK("https%3A%2F%2Fwww.webofscience.com%2Fwos%2Fwoscc%2Ffull-record%2FWOS:000504006900017","View Full Record in Web of Science")</f>
        <v>View Full Record in Web of Science</v>
      </c>
    </row>
    <row r="553" spans="1:72" x14ac:dyDescent="0.15">
      <c r="A553" t="s">
        <v>133</v>
      </c>
      <c r="B553" t="s">
        <v>11104</v>
      </c>
      <c r="C553" t="s">
        <v>74</v>
      </c>
      <c r="D553" t="s">
        <v>74</v>
      </c>
      <c r="E553" t="s">
        <v>74</v>
      </c>
      <c r="F553" t="s">
        <v>11105</v>
      </c>
      <c r="G553" t="s">
        <v>74</v>
      </c>
      <c r="H553" t="s">
        <v>74</v>
      </c>
      <c r="I553" t="s">
        <v>11106</v>
      </c>
      <c r="J553" t="s">
        <v>5864</v>
      </c>
      <c r="K553" t="s">
        <v>74</v>
      </c>
      <c r="L553" t="s">
        <v>74</v>
      </c>
      <c r="M553" t="s">
        <v>80</v>
      </c>
      <c r="N553" t="s">
        <v>930</v>
      </c>
      <c r="O553" t="s">
        <v>74</v>
      </c>
      <c r="P553" t="s">
        <v>74</v>
      </c>
      <c r="Q553" t="s">
        <v>74</v>
      </c>
      <c r="R553" t="s">
        <v>74</v>
      </c>
      <c r="S553" t="s">
        <v>74</v>
      </c>
      <c r="T553" t="s">
        <v>74</v>
      </c>
      <c r="U553" t="s">
        <v>11107</v>
      </c>
      <c r="V553" t="s">
        <v>11108</v>
      </c>
      <c r="W553" t="s">
        <v>11109</v>
      </c>
      <c r="X553" t="s">
        <v>8612</v>
      </c>
      <c r="Y553" t="s">
        <v>11110</v>
      </c>
      <c r="Z553" t="s">
        <v>11111</v>
      </c>
      <c r="AA553" t="s">
        <v>11112</v>
      </c>
      <c r="AB553" t="s">
        <v>11113</v>
      </c>
      <c r="AC553" t="s">
        <v>11114</v>
      </c>
      <c r="AD553" t="s">
        <v>11115</v>
      </c>
      <c r="AE553" t="s">
        <v>11116</v>
      </c>
      <c r="AF553" t="s">
        <v>74</v>
      </c>
      <c r="AG553">
        <v>264</v>
      </c>
      <c r="AH553">
        <v>205</v>
      </c>
      <c r="AI553">
        <v>212</v>
      </c>
      <c r="AJ553">
        <v>22</v>
      </c>
      <c r="AK553">
        <v>96</v>
      </c>
      <c r="AL553" t="s">
        <v>1892</v>
      </c>
      <c r="AM553" t="s">
        <v>1265</v>
      </c>
      <c r="AN553" t="s">
        <v>1893</v>
      </c>
      <c r="AO553" t="s">
        <v>5876</v>
      </c>
      <c r="AP553" t="s">
        <v>74</v>
      </c>
      <c r="AQ553" t="s">
        <v>74</v>
      </c>
      <c r="AR553" t="s">
        <v>5877</v>
      </c>
      <c r="AS553" t="s">
        <v>5878</v>
      </c>
      <c r="AT553" t="s">
        <v>3457</v>
      </c>
      <c r="AU553">
        <v>2019</v>
      </c>
      <c r="AV553">
        <v>5</v>
      </c>
      <c r="AW553">
        <v>11</v>
      </c>
      <c r="AX553" t="s">
        <v>74</v>
      </c>
      <c r="AY553" t="s">
        <v>74</v>
      </c>
      <c r="AZ553" t="s">
        <v>74</v>
      </c>
      <c r="BA553" t="s">
        <v>74</v>
      </c>
      <c r="BB553" t="s">
        <v>74</v>
      </c>
      <c r="BC553" t="s">
        <v>74</v>
      </c>
      <c r="BD553" t="s">
        <v>11117</v>
      </c>
      <c r="BE553" t="s">
        <v>11118</v>
      </c>
      <c r="BF553" t="str">
        <f>HYPERLINK("http://dx.doi.org/10.1126/sciadv.aaz0888","http://dx.doi.org/10.1126/sciadv.aaz0888")</f>
        <v>http://dx.doi.org/10.1126/sciadv.aaz0888</v>
      </c>
      <c r="BG553" t="s">
        <v>74</v>
      </c>
      <c r="BH553" t="s">
        <v>74</v>
      </c>
      <c r="BI553">
        <v>16</v>
      </c>
      <c r="BJ553" t="s">
        <v>1245</v>
      </c>
      <c r="BK553" t="s">
        <v>294</v>
      </c>
      <c r="BL553" t="s">
        <v>1246</v>
      </c>
      <c r="BM553" t="s">
        <v>9973</v>
      </c>
      <c r="BN553">
        <v>31807713</v>
      </c>
      <c r="BO553" t="s">
        <v>1688</v>
      </c>
      <c r="BP553" t="s">
        <v>560</v>
      </c>
      <c r="BQ553" t="s">
        <v>561</v>
      </c>
      <c r="BR553" t="s">
        <v>108</v>
      </c>
      <c r="BS553" t="s">
        <v>11119</v>
      </c>
      <c r="BT553" t="str">
        <f>HYPERLINK("https%3A%2F%2Fwww.webofscience.com%2Fwos%2Fwoscc%2Ffull-record%2FWOS:000499736100103","View Full Record in Web of Science")</f>
        <v>View Full Record in Web of Science</v>
      </c>
    </row>
    <row r="554" spans="1:72" x14ac:dyDescent="0.15">
      <c r="A554" t="s">
        <v>133</v>
      </c>
      <c r="B554" t="s">
        <v>11120</v>
      </c>
      <c r="C554" t="s">
        <v>74</v>
      </c>
      <c r="D554" t="s">
        <v>74</v>
      </c>
      <c r="E554" t="s">
        <v>74</v>
      </c>
      <c r="F554" t="s">
        <v>11121</v>
      </c>
      <c r="G554" t="s">
        <v>74</v>
      </c>
      <c r="H554" t="s">
        <v>74</v>
      </c>
      <c r="I554" t="s">
        <v>11122</v>
      </c>
      <c r="J554" t="s">
        <v>5864</v>
      </c>
      <c r="K554" t="s">
        <v>74</v>
      </c>
      <c r="L554" t="s">
        <v>74</v>
      </c>
      <c r="M554" t="s">
        <v>80</v>
      </c>
      <c r="N554" t="s">
        <v>138</v>
      </c>
      <c r="O554" t="s">
        <v>74</v>
      </c>
      <c r="P554" t="s">
        <v>74</v>
      </c>
      <c r="Q554" t="s">
        <v>74</v>
      </c>
      <c r="R554" t="s">
        <v>74</v>
      </c>
      <c r="S554" t="s">
        <v>74</v>
      </c>
      <c r="T554" t="s">
        <v>74</v>
      </c>
      <c r="U554" t="s">
        <v>11123</v>
      </c>
      <c r="V554" t="s">
        <v>11124</v>
      </c>
      <c r="W554" t="s">
        <v>11125</v>
      </c>
      <c r="X554" t="s">
        <v>11126</v>
      </c>
      <c r="Y554" t="s">
        <v>11127</v>
      </c>
      <c r="Z554" t="s">
        <v>11128</v>
      </c>
      <c r="AA554" t="s">
        <v>11129</v>
      </c>
      <c r="AB554" t="s">
        <v>11130</v>
      </c>
      <c r="AC554" t="s">
        <v>11131</v>
      </c>
      <c r="AD554" t="s">
        <v>11132</v>
      </c>
      <c r="AE554" t="s">
        <v>11133</v>
      </c>
      <c r="AF554" t="s">
        <v>74</v>
      </c>
      <c r="AG554">
        <v>167</v>
      </c>
      <c r="AH554">
        <v>114</v>
      </c>
      <c r="AI554">
        <v>119</v>
      </c>
      <c r="AJ554">
        <v>15</v>
      </c>
      <c r="AK554">
        <v>87</v>
      </c>
      <c r="AL554" t="s">
        <v>1892</v>
      </c>
      <c r="AM554" t="s">
        <v>1265</v>
      </c>
      <c r="AN554" t="s">
        <v>1893</v>
      </c>
      <c r="AO554" t="s">
        <v>5876</v>
      </c>
      <c r="AP554" t="s">
        <v>74</v>
      </c>
      <c r="AQ554" t="s">
        <v>74</v>
      </c>
      <c r="AR554" t="s">
        <v>5877</v>
      </c>
      <c r="AS554" t="s">
        <v>5878</v>
      </c>
      <c r="AT554" t="s">
        <v>3457</v>
      </c>
      <c r="AU554">
        <v>2019</v>
      </c>
      <c r="AV554">
        <v>5</v>
      </c>
      <c r="AW554">
        <v>11</v>
      </c>
      <c r="AX554" t="s">
        <v>74</v>
      </c>
      <c r="AY554" t="s">
        <v>74</v>
      </c>
      <c r="AZ554" t="s">
        <v>74</v>
      </c>
      <c r="BA554" t="s">
        <v>74</v>
      </c>
      <c r="BB554" t="s">
        <v>74</v>
      </c>
      <c r="BC554" t="s">
        <v>74</v>
      </c>
      <c r="BD554" t="s">
        <v>11134</v>
      </c>
      <c r="BE554" t="s">
        <v>11135</v>
      </c>
      <c r="BF554" t="str">
        <f>HYPERLINK("http://dx.doi.org/10.1126/sciadv.aay9969","http://dx.doi.org/10.1126/sciadv.aay9969")</f>
        <v>http://dx.doi.org/10.1126/sciadv.aay9969</v>
      </c>
      <c r="BG554" t="s">
        <v>74</v>
      </c>
      <c r="BH554" t="s">
        <v>74</v>
      </c>
      <c r="BI554">
        <v>15</v>
      </c>
      <c r="BJ554" t="s">
        <v>1245</v>
      </c>
      <c r="BK554" t="s">
        <v>360</v>
      </c>
      <c r="BL554" t="s">
        <v>1246</v>
      </c>
      <c r="BM554" t="s">
        <v>9973</v>
      </c>
      <c r="BN554">
        <v>31807711</v>
      </c>
      <c r="BO554" t="s">
        <v>1354</v>
      </c>
      <c r="BP554" t="s">
        <v>74</v>
      </c>
      <c r="BQ554" t="s">
        <v>74</v>
      </c>
      <c r="BR554" t="s">
        <v>108</v>
      </c>
      <c r="BS554" t="s">
        <v>11136</v>
      </c>
      <c r="BT554" t="str">
        <f>HYPERLINK("https%3A%2F%2Fwww.webofscience.com%2Fwos%2Fwoscc%2Ffull-record%2FWOS:000499736100101","View Full Record in Web of Science")</f>
        <v>View Full Record in Web of Science</v>
      </c>
    </row>
    <row r="555" spans="1:72" x14ac:dyDescent="0.15">
      <c r="A555" t="s">
        <v>133</v>
      </c>
      <c r="B555" t="s">
        <v>11137</v>
      </c>
      <c r="C555" t="s">
        <v>74</v>
      </c>
      <c r="D555" t="s">
        <v>74</v>
      </c>
      <c r="E555" t="s">
        <v>74</v>
      </c>
      <c r="F555" t="s">
        <v>11138</v>
      </c>
      <c r="G555" t="s">
        <v>74</v>
      </c>
      <c r="H555" t="s">
        <v>74</v>
      </c>
      <c r="I555" t="s">
        <v>11139</v>
      </c>
      <c r="J555" t="s">
        <v>11140</v>
      </c>
      <c r="K555" t="s">
        <v>74</v>
      </c>
      <c r="L555" t="s">
        <v>74</v>
      </c>
      <c r="M555" t="s">
        <v>80</v>
      </c>
      <c r="N555" t="s">
        <v>138</v>
      </c>
      <c r="O555" t="s">
        <v>74</v>
      </c>
      <c r="P555" t="s">
        <v>74</v>
      </c>
      <c r="Q555" t="s">
        <v>74</v>
      </c>
      <c r="R555" t="s">
        <v>74</v>
      </c>
      <c r="S555" t="s">
        <v>74</v>
      </c>
      <c r="T555" t="s">
        <v>74</v>
      </c>
      <c r="U555" t="s">
        <v>11141</v>
      </c>
      <c r="V555" t="s">
        <v>11142</v>
      </c>
      <c r="W555" t="s">
        <v>11143</v>
      </c>
      <c r="X555" t="s">
        <v>11144</v>
      </c>
      <c r="Y555" t="s">
        <v>11145</v>
      </c>
      <c r="Z555" t="s">
        <v>11146</v>
      </c>
      <c r="AA555" t="s">
        <v>11147</v>
      </c>
      <c r="AB555" t="s">
        <v>11148</v>
      </c>
      <c r="AC555" t="s">
        <v>11149</v>
      </c>
      <c r="AD555" t="s">
        <v>11149</v>
      </c>
      <c r="AE555" t="s">
        <v>11150</v>
      </c>
      <c r="AF555" t="s">
        <v>74</v>
      </c>
      <c r="AG555">
        <v>47</v>
      </c>
      <c r="AH555">
        <v>8</v>
      </c>
      <c r="AI555">
        <v>9</v>
      </c>
      <c r="AJ555">
        <v>2</v>
      </c>
      <c r="AK555">
        <v>26</v>
      </c>
      <c r="AL555" t="s">
        <v>11151</v>
      </c>
      <c r="AM555" t="s">
        <v>11152</v>
      </c>
      <c r="AN555" t="s">
        <v>11153</v>
      </c>
      <c r="AO555" t="s">
        <v>11154</v>
      </c>
      <c r="AP555" t="s">
        <v>11155</v>
      </c>
      <c r="AQ555" t="s">
        <v>74</v>
      </c>
      <c r="AR555" t="s">
        <v>11140</v>
      </c>
      <c r="AS555" t="s">
        <v>850</v>
      </c>
      <c r="AT555" t="s">
        <v>3457</v>
      </c>
      <c r="AU555">
        <v>2019</v>
      </c>
      <c r="AV555">
        <v>47</v>
      </c>
      <c r="AW555">
        <v>11</v>
      </c>
      <c r="AX555" t="s">
        <v>74</v>
      </c>
      <c r="AY555" t="s">
        <v>74</v>
      </c>
      <c r="AZ555" t="s">
        <v>74</v>
      </c>
      <c r="BA555" t="s">
        <v>74</v>
      </c>
      <c r="BB555">
        <v>1025</v>
      </c>
      <c r="BC555">
        <v>1028</v>
      </c>
      <c r="BD555" t="s">
        <v>74</v>
      </c>
      <c r="BE555" t="s">
        <v>11156</v>
      </c>
      <c r="BF555" t="str">
        <f>HYPERLINK("http://dx.doi.org/10.1130/G46418.1","http://dx.doi.org/10.1130/G46418.1")</f>
        <v>http://dx.doi.org/10.1130/G46418.1</v>
      </c>
      <c r="BG555" t="s">
        <v>74</v>
      </c>
      <c r="BH555" t="s">
        <v>74</v>
      </c>
      <c r="BI555">
        <v>4</v>
      </c>
      <c r="BJ555" t="s">
        <v>850</v>
      </c>
      <c r="BK555" t="s">
        <v>294</v>
      </c>
      <c r="BL555" t="s">
        <v>850</v>
      </c>
      <c r="BM555" t="s">
        <v>11157</v>
      </c>
      <c r="BN555" t="s">
        <v>74</v>
      </c>
      <c r="BO555" t="s">
        <v>2403</v>
      </c>
      <c r="BP555" t="s">
        <v>74</v>
      </c>
      <c r="BQ555" t="s">
        <v>74</v>
      </c>
      <c r="BR555" t="s">
        <v>108</v>
      </c>
      <c r="BS555" t="s">
        <v>11158</v>
      </c>
      <c r="BT555" t="str">
        <f>HYPERLINK("https%3A%2F%2Fwww.webofscience.com%2Fwos%2Fwoscc%2Ffull-record%2FWOS:000491287900004","View Full Record in Web of Science")</f>
        <v>View Full Record in Web of Science</v>
      </c>
    </row>
    <row r="556" spans="1:72" x14ac:dyDescent="0.15">
      <c r="A556" t="s">
        <v>133</v>
      </c>
      <c r="B556" t="s">
        <v>11159</v>
      </c>
      <c r="C556" t="s">
        <v>74</v>
      </c>
      <c r="D556" t="s">
        <v>74</v>
      </c>
      <c r="E556" t="s">
        <v>74</v>
      </c>
      <c r="F556" t="s">
        <v>11160</v>
      </c>
      <c r="G556" t="s">
        <v>74</v>
      </c>
      <c r="H556" t="s">
        <v>74</v>
      </c>
      <c r="I556" t="s">
        <v>11161</v>
      </c>
      <c r="J556" t="s">
        <v>11140</v>
      </c>
      <c r="K556" t="s">
        <v>74</v>
      </c>
      <c r="L556" t="s">
        <v>74</v>
      </c>
      <c r="M556" t="s">
        <v>80</v>
      </c>
      <c r="N556" t="s">
        <v>138</v>
      </c>
      <c r="O556" t="s">
        <v>74</v>
      </c>
      <c r="P556" t="s">
        <v>74</v>
      </c>
      <c r="Q556" t="s">
        <v>74</v>
      </c>
      <c r="R556" t="s">
        <v>74</v>
      </c>
      <c r="S556" t="s">
        <v>74</v>
      </c>
      <c r="T556" t="s">
        <v>74</v>
      </c>
      <c r="U556" t="s">
        <v>11162</v>
      </c>
      <c r="V556" t="s">
        <v>11163</v>
      </c>
      <c r="W556" t="s">
        <v>11164</v>
      </c>
      <c r="X556" t="s">
        <v>11165</v>
      </c>
      <c r="Y556" t="s">
        <v>11166</v>
      </c>
      <c r="Z556" t="s">
        <v>11167</v>
      </c>
      <c r="AA556" t="s">
        <v>11168</v>
      </c>
      <c r="AB556" t="s">
        <v>11169</v>
      </c>
      <c r="AC556" t="s">
        <v>11170</v>
      </c>
      <c r="AD556" t="s">
        <v>11171</v>
      </c>
      <c r="AE556" t="s">
        <v>11172</v>
      </c>
      <c r="AF556" t="s">
        <v>74</v>
      </c>
      <c r="AG556">
        <v>36</v>
      </c>
      <c r="AH556">
        <v>6</v>
      </c>
      <c r="AI556">
        <v>6</v>
      </c>
      <c r="AJ556">
        <v>0</v>
      </c>
      <c r="AK556">
        <v>14</v>
      </c>
      <c r="AL556" t="s">
        <v>11151</v>
      </c>
      <c r="AM556" t="s">
        <v>11152</v>
      </c>
      <c r="AN556" t="s">
        <v>11153</v>
      </c>
      <c r="AO556" t="s">
        <v>11154</v>
      </c>
      <c r="AP556" t="s">
        <v>11155</v>
      </c>
      <c r="AQ556" t="s">
        <v>74</v>
      </c>
      <c r="AR556" t="s">
        <v>11140</v>
      </c>
      <c r="AS556" t="s">
        <v>850</v>
      </c>
      <c r="AT556" t="s">
        <v>3457</v>
      </c>
      <c r="AU556">
        <v>2019</v>
      </c>
      <c r="AV556">
        <v>47</v>
      </c>
      <c r="AW556">
        <v>11</v>
      </c>
      <c r="AX556" t="s">
        <v>74</v>
      </c>
      <c r="AY556" t="s">
        <v>74</v>
      </c>
      <c r="AZ556" t="s">
        <v>74</v>
      </c>
      <c r="BA556" t="s">
        <v>74</v>
      </c>
      <c r="BB556">
        <v>1064</v>
      </c>
      <c r="BC556">
        <v>1068</v>
      </c>
      <c r="BD556" t="s">
        <v>74</v>
      </c>
      <c r="BE556" t="s">
        <v>11173</v>
      </c>
      <c r="BF556" t="str">
        <f>HYPERLINK("http://dx.doi.org/10.1130/G46649.1","http://dx.doi.org/10.1130/G46649.1")</f>
        <v>http://dx.doi.org/10.1130/G46649.1</v>
      </c>
      <c r="BG556" t="s">
        <v>74</v>
      </c>
      <c r="BH556" t="s">
        <v>74</v>
      </c>
      <c r="BI556">
        <v>5</v>
      </c>
      <c r="BJ556" t="s">
        <v>850</v>
      </c>
      <c r="BK556" t="s">
        <v>294</v>
      </c>
      <c r="BL556" t="s">
        <v>850</v>
      </c>
      <c r="BM556" t="s">
        <v>11157</v>
      </c>
      <c r="BN556" t="s">
        <v>74</v>
      </c>
      <c r="BO556" t="s">
        <v>74</v>
      </c>
      <c r="BP556" t="s">
        <v>74</v>
      </c>
      <c r="BQ556" t="s">
        <v>74</v>
      </c>
      <c r="BR556" t="s">
        <v>108</v>
      </c>
      <c r="BS556" t="s">
        <v>11174</v>
      </c>
      <c r="BT556" t="str">
        <f>HYPERLINK("https%3A%2F%2Fwww.webofscience.com%2Fwos%2Fwoscc%2Ffull-record%2FWOS:000491287900012","View Full Record in Web of Science")</f>
        <v>View Full Record in Web of Science</v>
      </c>
    </row>
    <row r="557" spans="1:72" x14ac:dyDescent="0.15">
      <c r="A557" t="s">
        <v>133</v>
      </c>
      <c r="B557" t="s">
        <v>11175</v>
      </c>
      <c r="C557" t="s">
        <v>74</v>
      </c>
      <c r="D557" t="s">
        <v>74</v>
      </c>
      <c r="E557" t="s">
        <v>74</v>
      </c>
      <c r="F557" t="s">
        <v>11176</v>
      </c>
      <c r="G557" t="s">
        <v>74</v>
      </c>
      <c r="H557" t="s">
        <v>74</v>
      </c>
      <c r="I557" t="s">
        <v>11177</v>
      </c>
      <c r="J557" t="s">
        <v>3507</v>
      </c>
      <c r="K557" t="s">
        <v>74</v>
      </c>
      <c r="L557" t="s">
        <v>74</v>
      </c>
      <c r="M557" t="s">
        <v>80</v>
      </c>
      <c r="N557" t="s">
        <v>138</v>
      </c>
      <c r="O557" t="s">
        <v>74</v>
      </c>
      <c r="P557" t="s">
        <v>74</v>
      </c>
      <c r="Q557" t="s">
        <v>74</v>
      </c>
      <c r="R557" t="s">
        <v>74</v>
      </c>
      <c r="S557" t="s">
        <v>74</v>
      </c>
      <c r="T557" t="s">
        <v>11178</v>
      </c>
      <c r="U557" t="s">
        <v>11179</v>
      </c>
      <c r="V557" t="s">
        <v>11180</v>
      </c>
      <c r="W557" t="s">
        <v>11181</v>
      </c>
      <c r="X557" t="s">
        <v>11182</v>
      </c>
      <c r="Y557" t="s">
        <v>11183</v>
      </c>
      <c r="Z557" t="s">
        <v>11184</v>
      </c>
      <c r="AA557" t="s">
        <v>11185</v>
      </c>
      <c r="AB557" t="s">
        <v>11186</v>
      </c>
      <c r="AC557" t="s">
        <v>11187</v>
      </c>
      <c r="AD557" t="s">
        <v>1589</v>
      </c>
      <c r="AE557" t="s">
        <v>11188</v>
      </c>
      <c r="AF557" t="s">
        <v>74</v>
      </c>
      <c r="AG557">
        <v>50</v>
      </c>
      <c r="AH557">
        <v>10</v>
      </c>
      <c r="AI557">
        <v>10</v>
      </c>
      <c r="AJ557">
        <v>2</v>
      </c>
      <c r="AK557">
        <v>21</v>
      </c>
      <c r="AL557" t="s">
        <v>1964</v>
      </c>
      <c r="AM557" t="s">
        <v>1965</v>
      </c>
      <c r="AN557" t="s">
        <v>3452</v>
      </c>
      <c r="AO557" t="s">
        <v>3519</v>
      </c>
      <c r="AP557" t="s">
        <v>3520</v>
      </c>
      <c r="AQ557" t="s">
        <v>74</v>
      </c>
      <c r="AR557" t="s">
        <v>3521</v>
      </c>
      <c r="AS557" t="s">
        <v>3522</v>
      </c>
      <c r="AT557" t="s">
        <v>3457</v>
      </c>
      <c r="AU557">
        <v>2019</v>
      </c>
      <c r="AV557">
        <v>42</v>
      </c>
      <c r="AW557">
        <v>11</v>
      </c>
      <c r="AX557" t="s">
        <v>74</v>
      </c>
      <c r="AY557" t="s">
        <v>74</v>
      </c>
      <c r="AZ557" t="s">
        <v>74</v>
      </c>
      <c r="BA557" t="s">
        <v>74</v>
      </c>
      <c r="BB557">
        <v>1985</v>
      </c>
      <c r="BC557">
        <v>1996</v>
      </c>
      <c r="BD557" t="s">
        <v>74</v>
      </c>
      <c r="BE557" t="s">
        <v>11189</v>
      </c>
      <c r="BF557" t="str">
        <f>HYPERLINK("http://dx.doi.org/10.1007/s00300-019-02573-6","http://dx.doi.org/10.1007/s00300-019-02573-6")</f>
        <v>http://dx.doi.org/10.1007/s00300-019-02573-6</v>
      </c>
      <c r="BG557" t="s">
        <v>74</v>
      </c>
      <c r="BH557" t="s">
        <v>74</v>
      </c>
      <c r="BI557">
        <v>12</v>
      </c>
      <c r="BJ557" t="s">
        <v>3524</v>
      </c>
      <c r="BK557" t="s">
        <v>294</v>
      </c>
      <c r="BL557" t="s">
        <v>295</v>
      </c>
      <c r="BM557" t="s">
        <v>10980</v>
      </c>
      <c r="BN557" t="s">
        <v>74</v>
      </c>
      <c r="BO557" t="s">
        <v>74</v>
      </c>
      <c r="BP557" t="s">
        <v>74</v>
      </c>
      <c r="BQ557" t="s">
        <v>74</v>
      </c>
      <c r="BR557" t="s">
        <v>108</v>
      </c>
      <c r="BS557" t="s">
        <v>11190</v>
      </c>
      <c r="BT557" t="str">
        <f>HYPERLINK("https%3A%2F%2Fwww.webofscience.com%2Fwos%2Fwoscc%2Ffull-record%2FWOS:000490956900003","View Full Record in Web of Science")</f>
        <v>View Full Record in Web of Science</v>
      </c>
    </row>
    <row r="558" spans="1:72" x14ac:dyDescent="0.15">
      <c r="A558" t="s">
        <v>133</v>
      </c>
      <c r="B558" t="s">
        <v>11191</v>
      </c>
      <c r="C558" t="s">
        <v>74</v>
      </c>
      <c r="D558" t="s">
        <v>74</v>
      </c>
      <c r="E558" t="s">
        <v>74</v>
      </c>
      <c r="F558" t="s">
        <v>11192</v>
      </c>
      <c r="G558" t="s">
        <v>74</v>
      </c>
      <c r="H558" t="s">
        <v>74</v>
      </c>
      <c r="I558" t="s">
        <v>11193</v>
      </c>
      <c r="J558" t="s">
        <v>3507</v>
      </c>
      <c r="K558" t="s">
        <v>74</v>
      </c>
      <c r="L558" t="s">
        <v>74</v>
      </c>
      <c r="M558" t="s">
        <v>80</v>
      </c>
      <c r="N558" t="s">
        <v>138</v>
      </c>
      <c r="O558" t="s">
        <v>74</v>
      </c>
      <c r="P558" t="s">
        <v>74</v>
      </c>
      <c r="Q558" t="s">
        <v>74</v>
      </c>
      <c r="R558" t="s">
        <v>74</v>
      </c>
      <c r="S558" t="s">
        <v>74</v>
      </c>
      <c r="T558" t="s">
        <v>11194</v>
      </c>
      <c r="U558" t="s">
        <v>11195</v>
      </c>
      <c r="V558" t="s">
        <v>11196</v>
      </c>
      <c r="W558" t="s">
        <v>11197</v>
      </c>
      <c r="X558" t="s">
        <v>11198</v>
      </c>
      <c r="Y558" t="s">
        <v>11199</v>
      </c>
      <c r="Z558" t="s">
        <v>11200</v>
      </c>
      <c r="AA558" t="s">
        <v>11201</v>
      </c>
      <c r="AB558" t="s">
        <v>11202</v>
      </c>
      <c r="AC558" t="s">
        <v>11203</v>
      </c>
      <c r="AD558" t="s">
        <v>11204</v>
      </c>
      <c r="AE558" t="s">
        <v>11205</v>
      </c>
      <c r="AF558" t="s">
        <v>74</v>
      </c>
      <c r="AG558">
        <v>101</v>
      </c>
      <c r="AH558">
        <v>27</v>
      </c>
      <c r="AI558">
        <v>34</v>
      </c>
      <c r="AJ558">
        <v>4</v>
      </c>
      <c r="AK558">
        <v>28</v>
      </c>
      <c r="AL558" t="s">
        <v>1964</v>
      </c>
      <c r="AM558" t="s">
        <v>1965</v>
      </c>
      <c r="AN558" t="s">
        <v>1966</v>
      </c>
      <c r="AO558" t="s">
        <v>3519</v>
      </c>
      <c r="AP558" t="s">
        <v>3520</v>
      </c>
      <c r="AQ558" t="s">
        <v>74</v>
      </c>
      <c r="AR558" t="s">
        <v>3521</v>
      </c>
      <c r="AS558" t="s">
        <v>3522</v>
      </c>
      <c r="AT558" t="s">
        <v>3457</v>
      </c>
      <c r="AU558">
        <v>2019</v>
      </c>
      <c r="AV558">
        <v>42</v>
      </c>
      <c r="AW558">
        <v>11</v>
      </c>
      <c r="AX558" t="s">
        <v>74</v>
      </c>
      <c r="AY558" t="s">
        <v>74</v>
      </c>
      <c r="AZ558" t="s">
        <v>74</v>
      </c>
      <c r="BA558" t="s">
        <v>74</v>
      </c>
      <c r="BB558">
        <v>1997</v>
      </c>
      <c r="BC558">
        <v>2015</v>
      </c>
      <c r="BD558" t="s">
        <v>74</v>
      </c>
      <c r="BE558" t="s">
        <v>11206</v>
      </c>
      <c r="BF558" t="str">
        <f>HYPERLINK("http://dx.doi.org/10.1007/s00300-019-02576-3","http://dx.doi.org/10.1007/s00300-019-02576-3")</f>
        <v>http://dx.doi.org/10.1007/s00300-019-02576-3</v>
      </c>
      <c r="BG558" t="s">
        <v>74</v>
      </c>
      <c r="BH558" t="s">
        <v>74</v>
      </c>
      <c r="BI558">
        <v>19</v>
      </c>
      <c r="BJ558" t="s">
        <v>3524</v>
      </c>
      <c r="BK558" t="s">
        <v>294</v>
      </c>
      <c r="BL558" t="s">
        <v>295</v>
      </c>
      <c r="BM558" t="s">
        <v>10980</v>
      </c>
      <c r="BN558" t="s">
        <v>74</v>
      </c>
      <c r="BO558" t="s">
        <v>10615</v>
      </c>
      <c r="BP558" t="s">
        <v>74</v>
      </c>
      <c r="BQ558" t="s">
        <v>74</v>
      </c>
      <c r="BR558" t="s">
        <v>108</v>
      </c>
      <c r="BS558" t="s">
        <v>11207</v>
      </c>
      <c r="BT558" t="str">
        <f>HYPERLINK("https%3A%2F%2Fwww.webofscience.com%2Fwos%2Fwoscc%2Ffull-record%2FWOS:000490956900004","View Full Record in Web of Science")</f>
        <v>View Full Record in Web of Science</v>
      </c>
    </row>
    <row r="559" spans="1:72" x14ac:dyDescent="0.15">
      <c r="A559" t="s">
        <v>133</v>
      </c>
      <c r="B559" t="s">
        <v>11208</v>
      </c>
      <c r="C559" t="s">
        <v>74</v>
      </c>
      <c r="D559" t="s">
        <v>74</v>
      </c>
      <c r="E559" t="s">
        <v>74</v>
      </c>
      <c r="F559" t="s">
        <v>11209</v>
      </c>
      <c r="G559" t="s">
        <v>74</v>
      </c>
      <c r="H559" t="s">
        <v>74</v>
      </c>
      <c r="I559" t="s">
        <v>11210</v>
      </c>
      <c r="J559" t="s">
        <v>3507</v>
      </c>
      <c r="K559" t="s">
        <v>74</v>
      </c>
      <c r="L559" t="s">
        <v>74</v>
      </c>
      <c r="M559" t="s">
        <v>80</v>
      </c>
      <c r="N559" t="s">
        <v>138</v>
      </c>
      <c r="O559" t="s">
        <v>74</v>
      </c>
      <c r="P559" t="s">
        <v>74</v>
      </c>
      <c r="Q559" t="s">
        <v>74</v>
      </c>
      <c r="R559" t="s">
        <v>74</v>
      </c>
      <c r="S559" t="s">
        <v>74</v>
      </c>
      <c r="T559" t="s">
        <v>11211</v>
      </c>
      <c r="U559" t="s">
        <v>11212</v>
      </c>
      <c r="V559" t="s">
        <v>11213</v>
      </c>
      <c r="W559" t="s">
        <v>11214</v>
      </c>
      <c r="X559" t="s">
        <v>11215</v>
      </c>
      <c r="Y559" t="s">
        <v>11216</v>
      </c>
      <c r="Z559" t="s">
        <v>11217</v>
      </c>
      <c r="AA559" t="s">
        <v>11218</v>
      </c>
      <c r="AB559" t="s">
        <v>11219</v>
      </c>
      <c r="AC559" t="s">
        <v>11220</v>
      </c>
      <c r="AD559" t="s">
        <v>11221</v>
      </c>
      <c r="AE559" t="s">
        <v>11222</v>
      </c>
      <c r="AF559" t="s">
        <v>74</v>
      </c>
      <c r="AG559">
        <v>53</v>
      </c>
      <c r="AH559">
        <v>3</v>
      </c>
      <c r="AI559">
        <v>3</v>
      </c>
      <c r="AJ559">
        <v>3</v>
      </c>
      <c r="AK559">
        <v>16</v>
      </c>
      <c r="AL559" t="s">
        <v>1964</v>
      </c>
      <c r="AM559" t="s">
        <v>1965</v>
      </c>
      <c r="AN559" t="s">
        <v>3452</v>
      </c>
      <c r="AO559" t="s">
        <v>3519</v>
      </c>
      <c r="AP559" t="s">
        <v>3520</v>
      </c>
      <c r="AQ559" t="s">
        <v>74</v>
      </c>
      <c r="AR559" t="s">
        <v>3521</v>
      </c>
      <c r="AS559" t="s">
        <v>3522</v>
      </c>
      <c r="AT559" t="s">
        <v>3457</v>
      </c>
      <c r="AU559">
        <v>2019</v>
      </c>
      <c r="AV559">
        <v>42</v>
      </c>
      <c r="AW559">
        <v>11</v>
      </c>
      <c r="AX559" t="s">
        <v>74</v>
      </c>
      <c r="AY559" t="s">
        <v>74</v>
      </c>
      <c r="AZ559" t="s">
        <v>74</v>
      </c>
      <c r="BA559" t="s">
        <v>74</v>
      </c>
      <c r="BB559">
        <v>2045</v>
      </c>
      <c r="BC559">
        <v>2054</v>
      </c>
      <c r="BD559" t="s">
        <v>74</v>
      </c>
      <c r="BE559" t="s">
        <v>11223</v>
      </c>
      <c r="BF559" t="str">
        <f>HYPERLINK("http://dx.doi.org/10.1007/s00300-019-02579-0","http://dx.doi.org/10.1007/s00300-019-02579-0")</f>
        <v>http://dx.doi.org/10.1007/s00300-019-02579-0</v>
      </c>
      <c r="BG559" t="s">
        <v>74</v>
      </c>
      <c r="BH559" t="s">
        <v>74</v>
      </c>
      <c r="BI559">
        <v>10</v>
      </c>
      <c r="BJ559" t="s">
        <v>3524</v>
      </c>
      <c r="BK559" t="s">
        <v>294</v>
      </c>
      <c r="BL559" t="s">
        <v>295</v>
      </c>
      <c r="BM559" t="s">
        <v>10980</v>
      </c>
      <c r="BN559" t="s">
        <v>74</v>
      </c>
      <c r="BO559" t="s">
        <v>74</v>
      </c>
      <c r="BP559" t="s">
        <v>74</v>
      </c>
      <c r="BQ559" t="s">
        <v>74</v>
      </c>
      <c r="BR559" t="s">
        <v>108</v>
      </c>
      <c r="BS559" t="s">
        <v>11224</v>
      </c>
      <c r="BT559" t="str">
        <f>HYPERLINK("https%3A%2F%2Fwww.webofscience.com%2Fwos%2Fwoscc%2Ffull-record%2FWOS:000490956900007","View Full Record in Web of Science")</f>
        <v>View Full Record in Web of Science</v>
      </c>
    </row>
    <row r="560" spans="1:72" x14ac:dyDescent="0.15">
      <c r="A560" t="s">
        <v>133</v>
      </c>
      <c r="B560" t="s">
        <v>11225</v>
      </c>
      <c r="C560" t="s">
        <v>74</v>
      </c>
      <c r="D560" t="s">
        <v>74</v>
      </c>
      <c r="E560" t="s">
        <v>74</v>
      </c>
      <c r="F560" t="s">
        <v>11226</v>
      </c>
      <c r="G560" t="s">
        <v>74</v>
      </c>
      <c r="H560" t="s">
        <v>74</v>
      </c>
      <c r="I560" t="s">
        <v>11227</v>
      </c>
      <c r="J560" t="s">
        <v>3507</v>
      </c>
      <c r="K560" t="s">
        <v>74</v>
      </c>
      <c r="L560" t="s">
        <v>74</v>
      </c>
      <c r="M560" t="s">
        <v>80</v>
      </c>
      <c r="N560" t="s">
        <v>138</v>
      </c>
      <c r="O560" t="s">
        <v>74</v>
      </c>
      <c r="P560" t="s">
        <v>74</v>
      </c>
      <c r="Q560" t="s">
        <v>74</v>
      </c>
      <c r="R560" t="s">
        <v>74</v>
      </c>
      <c r="S560" t="s">
        <v>74</v>
      </c>
      <c r="T560" t="s">
        <v>11228</v>
      </c>
      <c r="U560" t="s">
        <v>11229</v>
      </c>
      <c r="V560" t="s">
        <v>11230</v>
      </c>
      <c r="W560" t="s">
        <v>11231</v>
      </c>
      <c r="X560" t="s">
        <v>11232</v>
      </c>
      <c r="Y560" t="s">
        <v>11233</v>
      </c>
      <c r="Z560" t="s">
        <v>11234</v>
      </c>
      <c r="AA560" t="s">
        <v>74</v>
      </c>
      <c r="AB560" t="s">
        <v>11235</v>
      </c>
      <c r="AC560" t="s">
        <v>11236</v>
      </c>
      <c r="AD560" t="s">
        <v>11237</v>
      </c>
      <c r="AE560" t="s">
        <v>11238</v>
      </c>
      <c r="AF560" t="s">
        <v>74</v>
      </c>
      <c r="AG560">
        <v>24</v>
      </c>
      <c r="AH560">
        <v>4</v>
      </c>
      <c r="AI560">
        <v>4</v>
      </c>
      <c r="AJ560">
        <v>1</v>
      </c>
      <c r="AK560">
        <v>5</v>
      </c>
      <c r="AL560" t="s">
        <v>1964</v>
      </c>
      <c r="AM560" t="s">
        <v>1965</v>
      </c>
      <c r="AN560" t="s">
        <v>3452</v>
      </c>
      <c r="AO560" t="s">
        <v>3519</v>
      </c>
      <c r="AP560" t="s">
        <v>3520</v>
      </c>
      <c r="AQ560" t="s">
        <v>74</v>
      </c>
      <c r="AR560" t="s">
        <v>3521</v>
      </c>
      <c r="AS560" t="s">
        <v>3522</v>
      </c>
      <c r="AT560" t="s">
        <v>3457</v>
      </c>
      <c r="AU560">
        <v>2019</v>
      </c>
      <c r="AV560">
        <v>42</v>
      </c>
      <c r="AW560">
        <v>11</v>
      </c>
      <c r="AX560" t="s">
        <v>74</v>
      </c>
      <c r="AY560" t="s">
        <v>74</v>
      </c>
      <c r="AZ560" t="s">
        <v>74</v>
      </c>
      <c r="BA560" t="s">
        <v>74</v>
      </c>
      <c r="BB560">
        <v>2097</v>
      </c>
      <c r="BC560">
        <v>2103</v>
      </c>
      <c r="BD560" t="s">
        <v>74</v>
      </c>
      <c r="BE560" t="s">
        <v>11239</v>
      </c>
      <c r="BF560" t="str">
        <f>HYPERLINK("http://dx.doi.org/10.1007/s00300-019-02584-3","http://dx.doi.org/10.1007/s00300-019-02584-3")</f>
        <v>http://dx.doi.org/10.1007/s00300-019-02584-3</v>
      </c>
      <c r="BG560" t="s">
        <v>74</v>
      </c>
      <c r="BH560" t="s">
        <v>74</v>
      </c>
      <c r="BI560">
        <v>7</v>
      </c>
      <c r="BJ560" t="s">
        <v>3524</v>
      </c>
      <c r="BK560" t="s">
        <v>294</v>
      </c>
      <c r="BL560" t="s">
        <v>295</v>
      </c>
      <c r="BM560" t="s">
        <v>10980</v>
      </c>
      <c r="BN560" t="s">
        <v>74</v>
      </c>
      <c r="BO560" t="s">
        <v>10615</v>
      </c>
      <c r="BP560" t="s">
        <v>74</v>
      </c>
      <c r="BQ560" t="s">
        <v>74</v>
      </c>
      <c r="BR560" t="s">
        <v>108</v>
      </c>
      <c r="BS560" t="s">
        <v>11240</v>
      </c>
      <c r="BT560" t="str">
        <f>HYPERLINK("https%3A%2F%2Fwww.webofscience.com%2Fwos%2Fwoscc%2Ffull-record%2FWOS:000490956900012","View Full Record in Web of Science")</f>
        <v>View Full Record in Web of Science</v>
      </c>
    </row>
    <row r="561" spans="1:72" x14ac:dyDescent="0.15">
      <c r="A561" t="s">
        <v>133</v>
      </c>
      <c r="B561" t="s">
        <v>11241</v>
      </c>
      <c r="C561" t="s">
        <v>74</v>
      </c>
      <c r="D561" t="s">
        <v>74</v>
      </c>
      <c r="E561" t="s">
        <v>74</v>
      </c>
      <c r="F561" t="s">
        <v>11242</v>
      </c>
      <c r="G561" t="s">
        <v>74</v>
      </c>
      <c r="H561" t="s">
        <v>74</v>
      </c>
      <c r="I561" t="s">
        <v>11243</v>
      </c>
      <c r="J561" t="s">
        <v>5007</v>
      </c>
      <c r="K561" t="s">
        <v>74</v>
      </c>
      <c r="L561" t="s">
        <v>74</v>
      </c>
      <c r="M561" t="s">
        <v>80</v>
      </c>
      <c r="N561" t="s">
        <v>138</v>
      </c>
      <c r="O561" t="s">
        <v>74</v>
      </c>
      <c r="P561" t="s">
        <v>74</v>
      </c>
      <c r="Q561" t="s">
        <v>74</v>
      </c>
      <c r="R561" t="s">
        <v>74</v>
      </c>
      <c r="S561" t="s">
        <v>74</v>
      </c>
      <c r="T561" t="s">
        <v>11244</v>
      </c>
      <c r="U561" t="s">
        <v>11245</v>
      </c>
      <c r="V561" t="s">
        <v>11246</v>
      </c>
      <c r="W561" t="s">
        <v>11247</v>
      </c>
      <c r="X561" t="s">
        <v>11248</v>
      </c>
      <c r="Y561" t="s">
        <v>11249</v>
      </c>
      <c r="Z561" t="s">
        <v>11250</v>
      </c>
      <c r="AA561" t="s">
        <v>11251</v>
      </c>
      <c r="AB561" t="s">
        <v>11252</v>
      </c>
      <c r="AC561" t="s">
        <v>11253</v>
      </c>
      <c r="AD561" t="s">
        <v>11254</v>
      </c>
      <c r="AE561" t="s">
        <v>11255</v>
      </c>
      <c r="AF561" t="s">
        <v>74</v>
      </c>
      <c r="AG561">
        <v>61</v>
      </c>
      <c r="AH561">
        <v>14</v>
      </c>
      <c r="AI561">
        <v>15</v>
      </c>
      <c r="AJ561">
        <v>1</v>
      </c>
      <c r="AK561">
        <v>61</v>
      </c>
      <c r="AL561" t="s">
        <v>284</v>
      </c>
      <c r="AM561" t="s">
        <v>285</v>
      </c>
      <c r="AN561" t="s">
        <v>286</v>
      </c>
      <c r="AO561" t="s">
        <v>5018</v>
      </c>
      <c r="AP561" t="s">
        <v>5019</v>
      </c>
      <c r="AQ561" t="s">
        <v>74</v>
      </c>
      <c r="AR561" t="s">
        <v>5020</v>
      </c>
      <c r="AS561" t="s">
        <v>5021</v>
      </c>
      <c r="AT561" t="s">
        <v>3457</v>
      </c>
      <c r="AU561">
        <v>2019</v>
      </c>
      <c r="AV561">
        <v>417</v>
      </c>
      <c r="AW561" t="s">
        <v>74</v>
      </c>
      <c r="AX561" t="s">
        <v>74</v>
      </c>
      <c r="AY561" t="s">
        <v>74</v>
      </c>
      <c r="AZ561" t="s">
        <v>74</v>
      </c>
      <c r="BA561" t="s">
        <v>74</v>
      </c>
      <c r="BB561" t="s">
        <v>74</v>
      </c>
      <c r="BC561" t="s">
        <v>74</v>
      </c>
      <c r="BD561">
        <v>106009</v>
      </c>
      <c r="BE561" t="s">
        <v>11256</v>
      </c>
      <c r="BF561" t="str">
        <f>HYPERLINK("http://dx.doi.org/10.1016/j.margeo.2019.106009","http://dx.doi.org/10.1016/j.margeo.2019.106009")</f>
        <v>http://dx.doi.org/10.1016/j.margeo.2019.106009</v>
      </c>
      <c r="BG561" t="s">
        <v>74</v>
      </c>
      <c r="BH561" t="s">
        <v>74</v>
      </c>
      <c r="BI561">
        <v>17</v>
      </c>
      <c r="BJ561" t="s">
        <v>5023</v>
      </c>
      <c r="BK561" t="s">
        <v>294</v>
      </c>
      <c r="BL561" t="s">
        <v>5024</v>
      </c>
      <c r="BM561" t="s">
        <v>11257</v>
      </c>
      <c r="BN561" t="s">
        <v>74</v>
      </c>
      <c r="BO561" t="s">
        <v>638</v>
      </c>
      <c r="BP561" t="s">
        <v>74</v>
      </c>
      <c r="BQ561" t="s">
        <v>74</v>
      </c>
      <c r="BR561" t="s">
        <v>108</v>
      </c>
      <c r="BS561" t="s">
        <v>11258</v>
      </c>
      <c r="BT561" t="str">
        <f>HYPERLINK("https%3A%2F%2Fwww.webofscience.com%2Fwos%2Fwoscc%2Ffull-record%2FWOS:000490627500005","View Full Record in Web of Science")</f>
        <v>View Full Record in Web of Science</v>
      </c>
    </row>
    <row r="562" spans="1:72" x14ac:dyDescent="0.15">
      <c r="A562" t="s">
        <v>133</v>
      </c>
      <c r="B562" t="s">
        <v>11259</v>
      </c>
      <c r="C562" t="s">
        <v>74</v>
      </c>
      <c r="D562" t="s">
        <v>74</v>
      </c>
      <c r="E562" t="s">
        <v>74</v>
      </c>
      <c r="F562" t="s">
        <v>11260</v>
      </c>
      <c r="G562" t="s">
        <v>74</v>
      </c>
      <c r="H562" t="s">
        <v>74</v>
      </c>
      <c r="I562" t="s">
        <v>11261</v>
      </c>
      <c r="J562" t="s">
        <v>5007</v>
      </c>
      <c r="K562" t="s">
        <v>74</v>
      </c>
      <c r="L562" t="s">
        <v>74</v>
      </c>
      <c r="M562" t="s">
        <v>80</v>
      </c>
      <c r="N562" t="s">
        <v>138</v>
      </c>
      <c r="O562" t="s">
        <v>74</v>
      </c>
      <c r="P562" t="s">
        <v>74</v>
      </c>
      <c r="Q562" t="s">
        <v>74</v>
      </c>
      <c r="R562" t="s">
        <v>74</v>
      </c>
      <c r="S562" t="s">
        <v>74</v>
      </c>
      <c r="T562" t="s">
        <v>11262</v>
      </c>
      <c r="U562" t="s">
        <v>11263</v>
      </c>
      <c r="V562" t="s">
        <v>11264</v>
      </c>
      <c r="W562" t="s">
        <v>11265</v>
      </c>
      <c r="X562" t="s">
        <v>11266</v>
      </c>
      <c r="Y562" t="s">
        <v>11267</v>
      </c>
      <c r="Z562" t="s">
        <v>11268</v>
      </c>
      <c r="AA562" t="s">
        <v>11269</v>
      </c>
      <c r="AB562" t="s">
        <v>11270</v>
      </c>
      <c r="AC562" t="s">
        <v>11271</v>
      </c>
      <c r="AD562" t="s">
        <v>11272</v>
      </c>
      <c r="AE562" t="s">
        <v>11273</v>
      </c>
      <c r="AF562" t="s">
        <v>74</v>
      </c>
      <c r="AG562">
        <v>83</v>
      </c>
      <c r="AH562">
        <v>1</v>
      </c>
      <c r="AI562">
        <v>1</v>
      </c>
      <c r="AJ562">
        <v>0</v>
      </c>
      <c r="AK562">
        <v>9</v>
      </c>
      <c r="AL562" t="s">
        <v>284</v>
      </c>
      <c r="AM562" t="s">
        <v>285</v>
      </c>
      <c r="AN562" t="s">
        <v>286</v>
      </c>
      <c r="AO562" t="s">
        <v>5018</v>
      </c>
      <c r="AP562" t="s">
        <v>5019</v>
      </c>
      <c r="AQ562" t="s">
        <v>74</v>
      </c>
      <c r="AR562" t="s">
        <v>5020</v>
      </c>
      <c r="AS562" t="s">
        <v>5021</v>
      </c>
      <c r="AT562" t="s">
        <v>3457</v>
      </c>
      <c r="AU562">
        <v>2019</v>
      </c>
      <c r="AV562">
        <v>417</v>
      </c>
      <c r="AW562" t="s">
        <v>74</v>
      </c>
      <c r="AX562" t="s">
        <v>74</v>
      </c>
      <c r="AY562" t="s">
        <v>74</v>
      </c>
      <c r="AZ562" t="s">
        <v>74</v>
      </c>
      <c r="BA562" t="s">
        <v>74</v>
      </c>
      <c r="BB562" t="s">
        <v>74</v>
      </c>
      <c r="BC562" t="s">
        <v>74</v>
      </c>
      <c r="BD562">
        <v>106007</v>
      </c>
      <c r="BE562" t="s">
        <v>11274</v>
      </c>
      <c r="BF562" t="str">
        <f>HYPERLINK("http://dx.doi.org/10.1016/j.margeo.2019.106007","http://dx.doi.org/10.1016/j.margeo.2019.106007")</f>
        <v>http://dx.doi.org/10.1016/j.margeo.2019.106007</v>
      </c>
      <c r="BG562" t="s">
        <v>74</v>
      </c>
      <c r="BH562" t="s">
        <v>74</v>
      </c>
      <c r="BI562">
        <v>12</v>
      </c>
      <c r="BJ562" t="s">
        <v>5023</v>
      </c>
      <c r="BK562" t="s">
        <v>294</v>
      </c>
      <c r="BL562" t="s">
        <v>5024</v>
      </c>
      <c r="BM562" t="s">
        <v>11257</v>
      </c>
      <c r="BN562" t="s">
        <v>74</v>
      </c>
      <c r="BO562" t="s">
        <v>74</v>
      </c>
      <c r="BP562" t="s">
        <v>74</v>
      </c>
      <c r="BQ562" t="s">
        <v>74</v>
      </c>
      <c r="BR562" t="s">
        <v>108</v>
      </c>
      <c r="BS562" t="s">
        <v>11275</v>
      </c>
      <c r="BT562" t="str">
        <f>HYPERLINK("https%3A%2F%2Fwww.webofscience.com%2Fwos%2Fwoscc%2Ffull-record%2FWOS:000490627500011","View Full Record in Web of Science")</f>
        <v>View Full Record in Web of Science</v>
      </c>
    </row>
    <row r="563" spans="1:72" x14ac:dyDescent="0.15">
      <c r="A563" t="s">
        <v>133</v>
      </c>
      <c r="B563" t="s">
        <v>11276</v>
      </c>
      <c r="C563" t="s">
        <v>74</v>
      </c>
      <c r="D563" t="s">
        <v>74</v>
      </c>
      <c r="E563" t="s">
        <v>74</v>
      </c>
      <c r="F563" t="s">
        <v>11277</v>
      </c>
      <c r="G563" t="s">
        <v>74</v>
      </c>
      <c r="H563" t="s">
        <v>74</v>
      </c>
      <c r="I563" t="s">
        <v>11278</v>
      </c>
      <c r="J563" t="s">
        <v>5007</v>
      </c>
      <c r="K563" t="s">
        <v>74</v>
      </c>
      <c r="L563" t="s">
        <v>74</v>
      </c>
      <c r="M563" t="s">
        <v>80</v>
      </c>
      <c r="N563" t="s">
        <v>138</v>
      </c>
      <c r="O563" t="s">
        <v>74</v>
      </c>
      <c r="P563" t="s">
        <v>74</v>
      </c>
      <c r="Q563" t="s">
        <v>74</v>
      </c>
      <c r="R563" t="s">
        <v>74</v>
      </c>
      <c r="S563" t="s">
        <v>74</v>
      </c>
      <c r="T563" t="s">
        <v>11279</v>
      </c>
      <c r="U563" t="s">
        <v>11280</v>
      </c>
      <c r="V563" t="s">
        <v>11281</v>
      </c>
      <c r="W563" t="s">
        <v>11282</v>
      </c>
      <c r="X563" t="s">
        <v>11283</v>
      </c>
      <c r="Y563" t="s">
        <v>11284</v>
      </c>
      <c r="Z563" t="s">
        <v>11285</v>
      </c>
      <c r="AA563" t="s">
        <v>11286</v>
      </c>
      <c r="AB563" t="s">
        <v>11287</v>
      </c>
      <c r="AC563" t="s">
        <v>11288</v>
      </c>
      <c r="AD563" t="s">
        <v>11289</v>
      </c>
      <c r="AE563" t="s">
        <v>11290</v>
      </c>
      <c r="AF563" t="s">
        <v>74</v>
      </c>
      <c r="AG563">
        <v>60</v>
      </c>
      <c r="AH563">
        <v>20</v>
      </c>
      <c r="AI563">
        <v>21</v>
      </c>
      <c r="AJ563">
        <v>0</v>
      </c>
      <c r="AK563">
        <v>16</v>
      </c>
      <c r="AL563" t="s">
        <v>284</v>
      </c>
      <c r="AM563" t="s">
        <v>285</v>
      </c>
      <c r="AN563" t="s">
        <v>286</v>
      </c>
      <c r="AO563" t="s">
        <v>5018</v>
      </c>
      <c r="AP563" t="s">
        <v>5019</v>
      </c>
      <c r="AQ563" t="s">
        <v>74</v>
      </c>
      <c r="AR563" t="s">
        <v>5020</v>
      </c>
      <c r="AS563" t="s">
        <v>5021</v>
      </c>
      <c r="AT563" t="s">
        <v>3457</v>
      </c>
      <c r="AU563">
        <v>2019</v>
      </c>
      <c r="AV563">
        <v>417</v>
      </c>
      <c r="AW563" t="s">
        <v>74</v>
      </c>
      <c r="AX563" t="s">
        <v>74</v>
      </c>
      <c r="AY563" t="s">
        <v>74</v>
      </c>
      <c r="AZ563" t="s">
        <v>74</v>
      </c>
      <c r="BA563" t="s">
        <v>74</v>
      </c>
      <c r="BB563" t="s">
        <v>74</v>
      </c>
      <c r="BC563" t="s">
        <v>74</v>
      </c>
      <c r="BD563">
        <v>106002</v>
      </c>
      <c r="BE563" t="s">
        <v>11291</v>
      </c>
      <c r="BF563" t="str">
        <f>HYPERLINK("http://dx.doi.org/10.1016/j.margeo.2019.106002","http://dx.doi.org/10.1016/j.margeo.2019.106002")</f>
        <v>http://dx.doi.org/10.1016/j.margeo.2019.106002</v>
      </c>
      <c r="BG563" t="s">
        <v>74</v>
      </c>
      <c r="BH563" t="s">
        <v>74</v>
      </c>
      <c r="BI563">
        <v>15</v>
      </c>
      <c r="BJ563" t="s">
        <v>5023</v>
      </c>
      <c r="BK563" t="s">
        <v>294</v>
      </c>
      <c r="BL563" t="s">
        <v>5024</v>
      </c>
      <c r="BM563" t="s">
        <v>11257</v>
      </c>
      <c r="BN563" t="s">
        <v>74</v>
      </c>
      <c r="BO563" t="s">
        <v>74</v>
      </c>
      <c r="BP563" t="s">
        <v>74</v>
      </c>
      <c r="BQ563" t="s">
        <v>74</v>
      </c>
      <c r="BR563" t="s">
        <v>108</v>
      </c>
      <c r="BS563" t="s">
        <v>11292</v>
      </c>
      <c r="BT563" t="str">
        <f>HYPERLINK("https%3A%2F%2Fwww.webofscience.com%2Fwos%2Fwoscc%2Ffull-record%2FWOS:000490627500007","View Full Record in Web of Science")</f>
        <v>View Full Record in Web of Science</v>
      </c>
    </row>
    <row r="564" spans="1:72" x14ac:dyDescent="0.15">
      <c r="A564" t="s">
        <v>133</v>
      </c>
      <c r="B564" t="s">
        <v>11293</v>
      </c>
      <c r="C564" t="s">
        <v>74</v>
      </c>
      <c r="D564" t="s">
        <v>74</v>
      </c>
      <c r="E564" t="s">
        <v>74</v>
      </c>
      <c r="F564" t="s">
        <v>11294</v>
      </c>
      <c r="G564" t="s">
        <v>74</v>
      </c>
      <c r="H564" t="s">
        <v>74</v>
      </c>
      <c r="I564" t="s">
        <v>11295</v>
      </c>
      <c r="J564" t="s">
        <v>11296</v>
      </c>
      <c r="K564" t="s">
        <v>74</v>
      </c>
      <c r="L564" t="s">
        <v>74</v>
      </c>
      <c r="M564" t="s">
        <v>80</v>
      </c>
      <c r="N564" t="s">
        <v>138</v>
      </c>
      <c r="O564" t="s">
        <v>74</v>
      </c>
      <c r="P564" t="s">
        <v>74</v>
      </c>
      <c r="Q564" t="s">
        <v>74</v>
      </c>
      <c r="R564" t="s">
        <v>74</v>
      </c>
      <c r="S564" t="s">
        <v>74</v>
      </c>
      <c r="T564" t="s">
        <v>11297</v>
      </c>
      <c r="U564" t="s">
        <v>11298</v>
      </c>
      <c r="V564" t="s">
        <v>11299</v>
      </c>
      <c r="W564" t="s">
        <v>11300</v>
      </c>
      <c r="X564" t="s">
        <v>11301</v>
      </c>
      <c r="Y564" t="s">
        <v>11302</v>
      </c>
      <c r="Z564" t="s">
        <v>11303</v>
      </c>
      <c r="AA564" t="s">
        <v>11304</v>
      </c>
      <c r="AB564" t="s">
        <v>11305</v>
      </c>
      <c r="AC564" t="s">
        <v>11306</v>
      </c>
      <c r="AD564" t="s">
        <v>11307</v>
      </c>
      <c r="AE564" t="s">
        <v>11308</v>
      </c>
      <c r="AF564" t="s">
        <v>74</v>
      </c>
      <c r="AG564">
        <v>100</v>
      </c>
      <c r="AH564">
        <v>22</v>
      </c>
      <c r="AI564">
        <v>24</v>
      </c>
      <c r="AJ564">
        <v>0</v>
      </c>
      <c r="AK564">
        <v>8</v>
      </c>
      <c r="AL564" t="s">
        <v>1964</v>
      </c>
      <c r="AM564" t="s">
        <v>1965</v>
      </c>
      <c r="AN564" t="s">
        <v>3452</v>
      </c>
      <c r="AO564" t="s">
        <v>11309</v>
      </c>
      <c r="AP564" t="s">
        <v>11310</v>
      </c>
      <c r="AQ564" t="s">
        <v>74</v>
      </c>
      <c r="AR564" t="s">
        <v>11311</v>
      </c>
      <c r="AS564" t="s">
        <v>11312</v>
      </c>
      <c r="AT564" t="s">
        <v>3457</v>
      </c>
      <c r="AU564">
        <v>2019</v>
      </c>
      <c r="AV564">
        <v>174</v>
      </c>
      <c r="AW564">
        <v>11</v>
      </c>
      <c r="AX564" t="s">
        <v>74</v>
      </c>
      <c r="AY564" t="s">
        <v>74</v>
      </c>
      <c r="AZ564" t="s">
        <v>74</v>
      </c>
      <c r="BA564" t="s">
        <v>74</v>
      </c>
      <c r="BB564" t="s">
        <v>74</v>
      </c>
      <c r="BC564" t="s">
        <v>74</v>
      </c>
      <c r="BD564">
        <v>87</v>
      </c>
      <c r="BE564" t="s">
        <v>11313</v>
      </c>
      <c r="BF564" t="str">
        <f>HYPERLINK("http://dx.doi.org/10.1007/s00410-019-1624-0","http://dx.doi.org/10.1007/s00410-019-1624-0")</f>
        <v>http://dx.doi.org/10.1007/s00410-019-1624-0</v>
      </c>
      <c r="BG564" t="s">
        <v>74</v>
      </c>
      <c r="BH564" t="s">
        <v>74</v>
      </c>
      <c r="BI564">
        <v>18</v>
      </c>
      <c r="BJ564" t="s">
        <v>5970</v>
      </c>
      <c r="BK564" t="s">
        <v>294</v>
      </c>
      <c r="BL564" t="s">
        <v>5970</v>
      </c>
      <c r="BM564" t="s">
        <v>11314</v>
      </c>
      <c r="BN564" t="s">
        <v>74</v>
      </c>
      <c r="BO564" t="s">
        <v>4773</v>
      </c>
      <c r="BP564" t="s">
        <v>74</v>
      </c>
      <c r="BQ564" t="s">
        <v>74</v>
      </c>
      <c r="BR564" t="s">
        <v>108</v>
      </c>
      <c r="BS564" t="s">
        <v>11315</v>
      </c>
      <c r="BT564" t="str">
        <f>HYPERLINK("https%3A%2F%2Fwww.webofscience.com%2Fwos%2Fwoscc%2Ffull-record%2FWOS:000489719500002","View Full Record in Web of Science")</f>
        <v>View Full Record in Web of Science</v>
      </c>
    </row>
    <row r="565" spans="1:72" x14ac:dyDescent="0.15">
      <c r="A565" t="s">
        <v>133</v>
      </c>
      <c r="B565" t="s">
        <v>11316</v>
      </c>
      <c r="C565" t="s">
        <v>74</v>
      </c>
      <c r="D565" t="s">
        <v>74</v>
      </c>
      <c r="E565" t="s">
        <v>74</v>
      </c>
      <c r="F565" t="s">
        <v>11317</v>
      </c>
      <c r="G565" t="s">
        <v>74</v>
      </c>
      <c r="H565" t="s">
        <v>74</v>
      </c>
      <c r="I565" t="s">
        <v>11318</v>
      </c>
      <c r="J565" t="s">
        <v>11319</v>
      </c>
      <c r="K565" t="s">
        <v>74</v>
      </c>
      <c r="L565" t="s">
        <v>74</v>
      </c>
      <c r="M565" t="s">
        <v>80</v>
      </c>
      <c r="N565" t="s">
        <v>138</v>
      </c>
      <c r="O565" t="s">
        <v>74</v>
      </c>
      <c r="P565" t="s">
        <v>74</v>
      </c>
      <c r="Q565" t="s">
        <v>74</v>
      </c>
      <c r="R565" t="s">
        <v>74</v>
      </c>
      <c r="S565" t="s">
        <v>74</v>
      </c>
      <c r="T565" t="s">
        <v>74</v>
      </c>
      <c r="U565" t="s">
        <v>11320</v>
      </c>
      <c r="V565" t="s">
        <v>11321</v>
      </c>
      <c r="W565" t="s">
        <v>11322</v>
      </c>
      <c r="X565" t="s">
        <v>11323</v>
      </c>
      <c r="Y565" t="s">
        <v>11324</v>
      </c>
      <c r="Z565" t="s">
        <v>11325</v>
      </c>
      <c r="AA565" t="s">
        <v>74</v>
      </c>
      <c r="AB565" t="s">
        <v>11326</v>
      </c>
      <c r="AC565" t="s">
        <v>11327</v>
      </c>
      <c r="AD565" t="s">
        <v>11328</v>
      </c>
      <c r="AE565" t="s">
        <v>11329</v>
      </c>
      <c r="AF565" t="s">
        <v>74</v>
      </c>
      <c r="AG565">
        <v>80</v>
      </c>
      <c r="AH565">
        <v>15</v>
      </c>
      <c r="AI565">
        <v>16</v>
      </c>
      <c r="AJ565">
        <v>1</v>
      </c>
      <c r="AK565">
        <v>13</v>
      </c>
      <c r="AL565" t="s">
        <v>1862</v>
      </c>
      <c r="AM565" t="s">
        <v>1730</v>
      </c>
      <c r="AN565" t="s">
        <v>1863</v>
      </c>
      <c r="AO565" t="s">
        <v>11330</v>
      </c>
      <c r="AP565" t="s">
        <v>11331</v>
      </c>
      <c r="AQ565" t="s">
        <v>74</v>
      </c>
      <c r="AR565" t="s">
        <v>11319</v>
      </c>
      <c r="AS565" t="s">
        <v>11332</v>
      </c>
      <c r="AT565" t="s">
        <v>3457</v>
      </c>
      <c r="AU565">
        <v>2019</v>
      </c>
      <c r="AV565">
        <v>123</v>
      </c>
      <c r="AW565">
        <v>5</v>
      </c>
      <c r="AX565" t="s">
        <v>74</v>
      </c>
      <c r="AY565" t="s">
        <v>74</v>
      </c>
      <c r="AZ565" t="s">
        <v>74</v>
      </c>
      <c r="BA565" t="s">
        <v>74</v>
      </c>
      <c r="BB565">
        <v>622</v>
      </c>
      <c r="BC565">
        <v>633</v>
      </c>
      <c r="BD565" t="s">
        <v>74</v>
      </c>
      <c r="BE565" t="s">
        <v>11333</v>
      </c>
      <c r="BF565" t="str">
        <f>HYPERLINK("http://dx.doi.org/10.1038/s41437-019-0228-9","http://dx.doi.org/10.1038/s41437-019-0228-9")</f>
        <v>http://dx.doi.org/10.1038/s41437-019-0228-9</v>
      </c>
      <c r="BG565" t="s">
        <v>74</v>
      </c>
      <c r="BH565" t="s">
        <v>74</v>
      </c>
      <c r="BI565">
        <v>12</v>
      </c>
      <c r="BJ565" t="s">
        <v>949</v>
      </c>
      <c r="BK565" t="s">
        <v>294</v>
      </c>
      <c r="BL565" t="s">
        <v>950</v>
      </c>
      <c r="BM565" t="s">
        <v>11334</v>
      </c>
      <c r="BN565">
        <v>31073238</v>
      </c>
      <c r="BO565" t="s">
        <v>2330</v>
      </c>
      <c r="BP565" t="s">
        <v>74</v>
      </c>
      <c r="BQ565" t="s">
        <v>74</v>
      </c>
      <c r="BR565" t="s">
        <v>108</v>
      </c>
      <c r="BS565" t="s">
        <v>11335</v>
      </c>
      <c r="BT565" t="str">
        <f>HYPERLINK("https%3A%2F%2Fwww.webofscience.com%2Fwos%2Fwoscc%2Ffull-record%2FWOS:000489283800006","View Full Record in Web of Science")</f>
        <v>View Full Record in Web of Science</v>
      </c>
    </row>
    <row r="566" spans="1:72" x14ac:dyDescent="0.15">
      <c r="A566" t="s">
        <v>133</v>
      </c>
      <c r="B566" t="s">
        <v>11336</v>
      </c>
      <c r="C566" t="s">
        <v>74</v>
      </c>
      <c r="D566" t="s">
        <v>74</v>
      </c>
      <c r="E566" t="s">
        <v>74</v>
      </c>
      <c r="F566" t="s">
        <v>11337</v>
      </c>
      <c r="G566" t="s">
        <v>74</v>
      </c>
      <c r="H566" t="s">
        <v>74</v>
      </c>
      <c r="I566" t="s">
        <v>11338</v>
      </c>
      <c r="J566" t="s">
        <v>11339</v>
      </c>
      <c r="K566" t="s">
        <v>74</v>
      </c>
      <c r="L566" t="s">
        <v>74</v>
      </c>
      <c r="M566" t="s">
        <v>80</v>
      </c>
      <c r="N566" t="s">
        <v>138</v>
      </c>
      <c r="O566" t="s">
        <v>74</v>
      </c>
      <c r="P566" t="s">
        <v>74</v>
      </c>
      <c r="Q566" t="s">
        <v>74</v>
      </c>
      <c r="R566" t="s">
        <v>74</v>
      </c>
      <c r="S566" t="s">
        <v>74</v>
      </c>
      <c r="T566" t="s">
        <v>11340</v>
      </c>
      <c r="U566" t="s">
        <v>11341</v>
      </c>
      <c r="V566" t="s">
        <v>11342</v>
      </c>
      <c r="W566" t="s">
        <v>11343</v>
      </c>
      <c r="X566" t="s">
        <v>11344</v>
      </c>
      <c r="Y566" t="s">
        <v>11345</v>
      </c>
      <c r="Z566" t="s">
        <v>11346</v>
      </c>
      <c r="AA566" t="s">
        <v>11347</v>
      </c>
      <c r="AB566" t="s">
        <v>11348</v>
      </c>
      <c r="AC566" t="s">
        <v>11349</v>
      </c>
      <c r="AD566" t="s">
        <v>11350</v>
      </c>
      <c r="AE566" t="s">
        <v>11351</v>
      </c>
      <c r="AF566" t="s">
        <v>74</v>
      </c>
      <c r="AG566">
        <v>17</v>
      </c>
      <c r="AH566">
        <v>11</v>
      </c>
      <c r="AI566">
        <v>12</v>
      </c>
      <c r="AJ566">
        <v>1</v>
      </c>
      <c r="AK566">
        <v>28</v>
      </c>
      <c r="AL566" t="s">
        <v>4680</v>
      </c>
      <c r="AM566" t="s">
        <v>1730</v>
      </c>
      <c r="AN566" t="s">
        <v>4681</v>
      </c>
      <c r="AO566" t="s">
        <v>11352</v>
      </c>
      <c r="AP566" t="s">
        <v>74</v>
      </c>
      <c r="AQ566" t="s">
        <v>74</v>
      </c>
      <c r="AR566" t="s">
        <v>11353</v>
      </c>
      <c r="AS566" t="s">
        <v>11354</v>
      </c>
      <c r="AT566" t="s">
        <v>10331</v>
      </c>
      <c r="AU566">
        <v>2019</v>
      </c>
      <c r="AV566">
        <v>133</v>
      </c>
      <c r="AW566" t="s">
        <v>74</v>
      </c>
      <c r="AX566" t="s">
        <v>74</v>
      </c>
      <c r="AY566" t="s">
        <v>74</v>
      </c>
      <c r="AZ566" t="s">
        <v>74</v>
      </c>
      <c r="BA566" t="s">
        <v>74</v>
      </c>
      <c r="BB566" t="s">
        <v>74</v>
      </c>
      <c r="BC566" t="s">
        <v>74</v>
      </c>
      <c r="BD566">
        <v>106127</v>
      </c>
      <c r="BE566" t="s">
        <v>11355</v>
      </c>
      <c r="BF566" t="str">
        <f>HYPERLINK("http://dx.doi.org/10.1016/j.ymssp.2019.05.011","http://dx.doi.org/10.1016/j.ymssp.2019.05.011")</f>
        <v>http://dx.doi.org/10.1016/j.ymssp.2019.05.011</v>
      </c>
      <c r="BG566" t="s">
        <v>74</v>
      </c>
      <c r="BH566" t="s">
        <v>74</v>
      </c>
      <c r="BI566">
        <v>16</v>
      </c>
      <c r="BJ566" t="s">
        <v>11356</v>
      </c>
      <c r="BK566" t="s">
        <v>294</v>
      </c>
      <c r="BL566" t="s">
        <v>4794</v>
      </c>
      <c r="BM566" t="s">
        <v>11357</v>
      </c>
      <c r="BN566" t="s">
        <v>74</v>
      </c>
      <c r="BO566" t="s">
        <v>74</v>
      </c>
      <c r="BP566" t="s">
        <v>74</v>
      </c>
      <c r="BQ566" t="s">
        <v>74</v>
      </c>
      <c r="BR566" t="s">
        <v>108</v>
      </c>
      <c r="BS566" t="s">
        <v>11358</v>
      </c>
      <c r="BT566" t="str">
        <f>HYPERLINK("https%3A%2F%2Fwww.webofscience.com%2Fwos%2Fwoscc%2Ffull-record%2FWOS:000489689600051","View Full Record in Web of Science")</f>
        <v>View Full Record in Web of Science</v>
      </c>
    </row>
    <row r="567" spans="1:72" x14ac:dyDescent="0.15">
      <c r="A567" t="s">
        <v>133</v>
      </c>
      <c r="B567" t="s">
        <v>11359</v>
      </c>
      <c r="C567" t="s">
        <v>74</v>
      </c>
      <c r="D567" t="s">
        <v>74</v>
      </c>
      <c r="E567" t="s">
        <v>74</v>
      </c>
      <c r="F567" t="s">
        <v>11360</v>
      </c>
      <c r="G567" t="s">
        <v>74</v>
      </c>
      <c r="H567" t="s">
        <v>74</v>
      </c>
      <c r="I567" t="s">
        <v>11361</v>
      </c>
      <c r="J567" t="s">
        <v>11362</v>
      </c>
      <c r="K567" t="s">
        <v>74</v>
      </c>
      <c r="L567" t="s">
        <v>74</v>
      </c>
      <c r="M567" t="s">
        <v>80</v>
      </c>
      <c r="N567" t="s">
        <v>138</v>
      </c>
      <c r="O567" t="s">
        <v>74</v>
      </c>
      <c r="P567" t="s">
        <v>74</v>
      </c>
      <c r="Q567" t="s">
        <v>74</v>
      </c>
      <c r="R567" t="s">
        <v>74</v>
      </c>
      <c r="S567" t="s">
        <v>74</v>
      </c>
      <c r="T567" t="s">
        <v>11363</v>
      </c>
      <c r="U567" t="s">
        <v>11364</v>
      </c>
      <c r="V567" t="s">
        <v>11365</v>
      </c>
      <c r="W567" t="s">
        <v>11366</v>
      </c>
      <c r="X567" t="s">
        <v>11367</v>
      </c>
      <c r="Y567" t="s">
        <v>11368</v>
      </c>
      <c r="Z567" t="s">
        <v>11369</v>
      </c>
      <c r="AA567" t="s">
        <v>11370</v>
      </c>
      <c r="AB567" t="s">
        <v>11371</v>
      </c>
      <c r="AC567" t="s">
        <v>74</v>
      </c>
      <c r="AD567" t="s">
        <v>74</v>
      </c>
      <c r="AE567" t="s">
        <v>74</v>
      </c>
      <c r="AF567" t="s">
        <v>74</v>
      </c>
      <c r="AG567">
        <v>36</v>
      </c>
      <c r="AH567">
        <v>3</v>
      </c>
      <c r="AI567">
        <v>3</v>
      </c>
      <c r="AJ567">
        <v>0</v>
      </c>
      <c r="AK567">
        <v>3</v>
      </c>
      <c r="AL567" t="s">
        <v>709</v>
      </c>
      <c r="AM567" t="s">
        <v>380</v>
      </c>
      <c r="AN567" t="s">
        <v>710</v>
      </c>
      <c r="AO567" t="s">
        <v>11372</v>
      </c>
      <c r="AP567" t="s">
        <v>11373</v>
      </c>
      <c r="AQ567" t="s">
        <v>74</v>
      </c>
      <c r="AR567" t="s">
        <v>11374</v>
      </c>
      <c r="AS567" t="s">
        <v>11375</v>
      </c>
      <c r="AT567" t="s">
        <v>3457</v>
      </c>
      <c r="AU567">
        <v>2019</v>
      </c>
      <c r="AV567">
        <v>208</v>
      </c>
      <c r="AW567" t="s">
        <v>74</v>
      </c>
      <c r="AX567" t="s">
        <v>74</v>
      </c>
      <c r="AY567" t="s">
        <v>74</v>
      </c>
      <c r="AZ567" t="s">
        <v>74</v>
      </c>
      <c r="BA567" t="s">
        <v>74</v>
      </c>
      <c r="BB567" t="s">
        <v>74</v>
      </c>
      <c r="BC567" t="s">
        <v>74</v>
      </c>
      <c r="BD567">
        <v>105993</v>
      </c>
      <c r="BE567" t="s">
        <v>11376</v>
      </c>
      <c r="BF567" t="str">
        <f>HYPERLINK("http://dx.doi.org/10.1016/j.jenvrad.2019.105993","http://dx.doi.org/10.1016/j.jenvrad.2019.105993")</f>
        <v>http://dx.doi.org/10.1016/j.jenvrad.2019.105993</v>
      </c>
      <c r="BG567" t="s">
        <v>74</v>
      </c>
      <c r="BH567" t="s">
        <v>74</v>
      </c>
      <c r="BI567">
        <v>7</v>
      </c>
      <c r="BJ567" t="s">
        <v>387</v>
      </c>
      <c r="BK567" t="s">
        <v>294</v>
      </c>
      <c r="BL567" t="s">
        <v>388</v>
      </c>
      <c r="BM567" t="s">
        <v>11377</v>
      </c>
      <c r="BN567">
        <v>31238239</v>
      </c>
      <c r="BO567" t="s">
        <v>74</v>
      </c>
      <c r="BP567" t="s">
        <v>74</v>
      </c>
      <c r="BQ567" t="s">
        <v>74</v>
      </c>
      <c r="BR567" t="s">
        <v>108</v>
      </c>
      <c r="BS567" t="s">
        <v>11378</v>
      </c>
      <c r="BT567" t="str">
        <f>HYPERLINK("https%3A%2F%2Fwww.webofscience.com%2Fwos%2Fwoscc%2Ffull-record%2FWOS:000489192300009","View Full Record in Web of Science")</f>
        <v>View Full Record in Web of Science</v>
      </c>
    </row>
    <row r="568" spans="1:72" x14ac:dyDescent="0.15">
      <c r="A568" t="s">
        <v>133</v>
      </c>
      <c r="B568" t="s">
        <v>11379</v>
      </c>
      <c r="C568" t="s">
        <v>74</v>
      </c>
      <c r="D568" t="s">
        <v>74</v>
      </c>
      <c r="E568" t="s">
        <v>74</v>
      </c>
      <c r="F568" t="s">
        <v>11380</v>
      </c>
      <c r="G568" t="s">
        <v>74</v>
      </c>
      <c r="H568" t="s">
        <v>74</v>
      </c>
      <c r="I568" t="s">
        <v>11381</v>
      </c>
      <c r="J568" t="s">
        <v>5433</v>
      </c>
      <c r="K568" t="s">
        <v>74</v>
      </c>
      <c r="L568" t="s">
        <v>74</v>
      </c>
      <c r="M568" t="s">
        <v>80</v>
      </c>
      <c r="N568" t="s">
        <v>138</v>
      </c>
      <c r="O568" t="s">
        <v>74</v>
      </c>
      <c r="P568" t="s">
        <v>74</v>
      </c>
      <c r="Q568" t="s">
        <v>74</v>
      </c>
      <c r="R568" t="s">
        <v>74</v>
      </c>
      <c r="S568" t="s">
        <v>74</v>
      </c>
      <c r="T568" t="s">
        <v>11382</v>
      </c>
      <c r="U568" t="s">
        <v>11383</v>
      </c>
      <c r="V568" t="s">
        <v>11384</v>
      </c>
      <c r="W568" t="s">
        <v>11385</v>
      </c>
      <c r="X568" t="s">
        <v>11386</v>
      </c>
      <c r="Y568" t="s">
        <v>7606</v>
      </c>
      <c r="Z568" t="s">
        <v>7607</v>
      </c>
      <c r="AA568" t="s">
        <v>11387</v>
      </c>
      <c r="AB568" t="s">
        <v>74</v>
      </c>
      <c r="AC568" t="s">
        <v>11388</v>
      </c>
      <c r="AD568" t="s">
        <v>11389</v>
      </c>
      <c r="AE568" t="s">
        <v>11390</v>
      </c>
      <c r="AF568" t="s">
        <v>74</v>
      </c>
      <c r="AG568">
        <v>67</v>
      </c>
      <c r="AH568">
        <v>8</v>
      </c>
      <c r="AI568">
        <v>8</v>
      </c>
      <c r="AJ568">
        <v>0</v>
      </c>
      <c r="AK568">
        <v>35</v>
      </c>
      <c r="AL568" t="s">
        <v>709</v>
      </c>
      <c r="AM568" t="s">
        <v>380</v>
      </c>
      <c r="AN568" t="s">
        <v>710</v>
      </c>
      <c r="AO568" t="s">
        <v>5446</v>
      </c>
      <c r="AP568" t="s">
        <v>5447</v>
      </c>
      <c r="AQ568" t="s">
        <v>74</v>
      </c>
      <c r="AR568" t="s">
        <v>5448</v>
      </c>
      <c r="AS568" t="s">
        <v>5449</v>
      </c>
      <c r="AT568" t="s">
        <v>3457</v>
      </c>
      <c r="AU568">
        <v>2019</v>
      </c>
      <c r="AV568">
        <v>254</v>
      </c>
      <c r="AW568" t="s">
        <v>74</v>
      </c>
      <c r="AX568" t="s">
        <v>590</v>
      </c>
      <c r="AY568" t="s">
        <v>74</v>
      </c>
      <c r="AZ568" t="s">
        <v>74</v>
      </c>
      <c r="BA568" t="s">
        <v>74</v>
      </c>
      <c r="BB568" t="s">
        <v>74</v>
      </c>
      <c r="BC568" t="s">
        <v>74</v>
      </c>
      <c r="BD568">
        <v>113050</v>
      </c>
      <c r="BE568" t="s">
        <v>11391</v>
      </c>
      <c r="BF568" t="str">
        <f>HYPERLINK("http://dx.doi.org/10.1016/j.envpol.2019.113050","http://dx.doi.org/10.1016/j.envpol.2019.113050")</f>
        <v>http://dx.doi.org/10.1016/j.envpol.2019.113050</v>
      </c>
      <c r="BG568" t="s">
        <v>74</v>
      </c>
      <c r="BH568" t="s">
        <v>74</v>
      </c>
      <c r="BI568">
        <v>11</v>
      </c>
      <c r="BJ568" t="s">
        <v>387</v>
      </c>
      <c r="BK568" t="s">
        <v>294</v>
      </c>
      <c r="BL568" t="s">
        <v>388</v>
      </c>
      <c r="BM568" t="s">
        <v>11392</v>
      </c>
      <c r="BN568">
        <v>31465906</v>
      </c>
      <c r="BO568" t="s">
        <v>74</v>
      </c>
      <c r="BP568" t="s">
        <v>74</v>
      </c>
      <c r="BQ568" t="s">
        <v>74</v>
      </c>
      <c r="BR568" t="s">
        <v>108</v>
      </c>
      <c r="BS568" t="s">
        <v>11393</v>
      </c>
      <c r="BT568" t="str">
        <f>HYPERLINK("https%3A%2F%2Fwww.webofscience.com%2Fwos%2Fwoscc%2Ffull-record%2FWOS:000488887600019","View Full Record in Web of Science")</f>
        <v>View Full Record in Web of Science</v>
      </c>
    </row>
    <row r="569" spans="1:72" x14ac:dyDescent="0.15">
      <c r="A569" t="s">
        <v>133</v>
      </c>
      <c r="B569" t="s">
        <v>11394</v>
      </c>
      <c r="C569" t="s">
        <v>74</v>
      </c>
      <c r="D569" t="s">
        <v>74</v>
      </c>
      <c r="E569" t="s">
        <v>74</v>
      </c>
      <c r="F569" t="s">
        <v>11395</v>
      </c>
      <c r="G569" t="s">
        <v>74</v>
      </c>
      <c r="H569" t="s">
        <v>74</v>
      </c>
      <c r="I569" t="s">
        <v>11396</v>
      </c>
      <c r="J569" t="s">
        <v>394</v>
      </c>
      <c r="K569" t="s">
        <v>74</v>
      </c>
      <c r="L569" t="s">
        <v>74</v>
      </c>
      <c r="M569" t="s">
        <v>80</v>
      </c>
      <c r="N569" t="s">
        <v>138</v>
      </c>
      <c r="O569" t="s">
        <v>74</v>
      </c>
      <c r="P569" t="s">
        <v>74</v>
      </c>
      <c r="Q569" t="s">
        <v>74</v>
      </c>
      <c r="R569" t="s">
        <v>74</v>
      </c>
      <c r="S569" t="s">
        <v>74</v>
      </c>
      <c r="T569" t="s">
        <v>11397</v>
      </c>
      <c r="U569" t="s">
        <v>11398</v>
      </c>
      <c r="V569" t="s">
        <v>11399</v>
      </c>
      <c r="W569" t="s">
        <v>11400</v>
      </c>
      <c r="X569" t="s">
        <v>11401</v>
      </c>
      <c r="Y569" t="s">
        <v>11402</v>
      </c>
      <c r="Z569" t="s">
        <v>11403</v>
      </c>
      <c r="AA569" t="s">
        <v>11404</v>
      </c>
      <c r="AB569" t="s">
        <v>11405</v>
      </c>
      <c r="AC569" t="s">
        <v>11406</v>
      </c>
      <c r="AD569" t="s">
        <v>11406</v>
      </c>
      <c r="AE569" t="s">
        <v>11407</v>
      </c>
      <c r="AF569" t="s">
        <v>74</v>
      </c>
      <c r="AG569">
        <v>28</v>
      </c>
      <c r="AH569">
        <v>6</v>
      </c>
      <c r="AI569">
        <v>6</v>
      </c>
      <c r="AJ569">
        <v>0</v>
      </c>
      <c r="AK569">
        <v>5</v>
      </c>
      <c r="AL569" t="s">
        <v>284</v>
      </c>
      <c r="AM569" t="s">
        <v>285</v>
      </c>
      <c r="AN569" t="s">
        <v>286</v>
      </c>
      <c r="AO569" t="s">
        <v>408</v>
      </c>
      <c r="AP569" t="s">
        <v>409</v>
      </c>
      <c r="AQ569" t="s">
        <v>74</v>
      </c>
      <c r="AR569" t="s">
        <v>410</v>
      </c>
      <c r="AS569" t="s">
        <v>411</v>
      </c>
      <c r="AT569" t="s">
        <v>3457</v>
      </c>
      <c r="AU569">
        <v>2019</v>
      </c>
      <c r="AV569">
        <v>219</v>
      </c>
      <c r="AW569" t="s">
        <v>74</v>
      </c>
      <c r="AX569" t="s">
        <v>74</v>
      </c>
      <c r="AY569" t="s">
        <v>74</v>
      </c>
      <c r="AZ569" t="s">
        <v>74</v>
      </c>
      <c r="BA569" t="s">
        <v>74</v>
      </c>
      <c r="BB569" t="s">
        <v>74</v>
      </c>
      <c r="BC569" t="s">
        <v>74</v>
      </c>
      <c r="BD569">
        <v>105308</v>
      </c>
      <c r="BE569" t="s">
        <v>11408</v>
      </c>
      <c r="BF569" t="str">
        <f>HYPERLINK("http://dx.doi.org/10.1016/j.fishres.2019.105308","http://dx.doi.org/10.1016/j.fishres.2019.105308")</f>
        <v>http://dx.doi.org/10.1016/j.fishres.2019.105308</v>
      </c>
      <c r="BG569" t="s">
        <v>74</v>
      </c>
      <c r="BH569" t="s">
        <v>74</v>
      </c>
      <c r="BI569">
        <v>5</v>
      </c>
      <c r="BJ569" t="s">
        <v>413</v>
      </c>
      <c r="BK569" t="s">
        <v>294</v>
      </c>
      <c r="BL569" t="s">
        <v>413</v>
      </c>
      <c r="BM569" t="s">
        <v>11409</v>
      </c>
      <c r="BN569" t="s">
        <v>74</v>
      </c>
      <c r="BO569" t="s">
        <v>74</v>
      </c>
      <c r="BP569" t="s">
        <v>74</v>
      </c>
      <c r="BQ569" t="s">
        <v>74</v>
      </c>
      <c r="BR569" t="s">
        <v>108</v>
      </c>
      <c r="BS569" t="s">
        <v>11410</v>
      </c>
      <c r="BT569" t="str">
        <f>HYPERLINK("https%3A%2F%2Fwww.webofscience.com%2Fwos%2Fwoscc%2Ffull-record%2FWOS:000488300900011","View Full Record in Web of Science")</f>
        <v>View Full Record in Web of Science</v>
      </c>
    </row>
    <row r="570" spans="1:72" x14ac:dyDescent="0.15">
      <c r="A570" t="s">
        <v>133</v>
      </c>
      <c r="B570" t="s">
        <v>11411</v>
      </c>
      <c r="C570" t="s">
        <v>74</v>
      </c>
      <c r="D570" t="s">
        <v>74</v>
      </c>
      <c r="E570" t="s">
        <v>74</v>
      </c>
      <c r="F570" t="s">
        <v>11412</v>
      </c>
      <c r="G570" t="s">
        <v>74</v>
      </c>
      <c r="H570" t="s">
        <v>74</v>
      </c>
      <c r="I570" t="s">
        <v>11413</v>
      </c>
      <c r="J570" t="s">
        <v>394</v>
      </c>
      <c r="K570" t="s">
        <v>74</v>
      </c>
      <c r="L570" t="s">
        <v>74</v>
      </c>
      <c r="M570" t="s">
        <v>80</v>
      </c>
      <c r="N570" t="s">
        <v>138</v>
      </c>
      <c r="O570" t="s">
        <v>74</v>
      </c>
      <c r="P570" t="s">
        <v>74</v>
      </c>
      <c r="Q570" t="s">
        <v>74</v>
      </c>
      <c r="R570" t="s">
        <v>74</v>
      </c>
      <c r="S570" t="s">
        <v>74</v>
      </c>
      <c r="T570" t="s">
        <v>11414</v>
      </c>
      <c r="U570" t="s">
        <v>11415</v>
      </c>
      <c r="V570" t="s">
        <v>11416</v>
      </c>
      <c r="W570" t="s">
        <v>11417</v>
      </c>
      <c r="X570" t="s">
        <v>11418</v>
      </c>
      <c r="Y570" t="s">
        <v>11419</v>
      </c>
      <c r="Z570" t="s">
        <v>11420</v>
      </c>
      <c r="AA570" t="s">
        <v>11421</v>
      </c>
      <c r="AB570" t="s">
        <v>11422</v>
      </c>
      <c r="AC570" t="s">
        <v>11423</v>
      </c>
      <c r="AD570" t="s">
        <v>11424</v>
      </c>
      <c r="AE570" t="s">
        <v>11425</v>
      </c>
      <c r="AF570" t="s">
        <v>74</v>
      </c>
      <c r="AG570">
        <v>101</v>
      </c>
      <c r="AH570">
        <v>13</v>
      </c>
      <c r="AI570">
        <v>13</v>
      </c>
      <c r="AJ570">
        <v>0</v>
      </c>
      <c r="AK570">
        <v>32</v>
      </c>
      <c r="AL570" t="s">
        <v>284</v>
      </c>
      <c r="AM570" t="s">
        <v>285</v>
      </c>
      <c r="AN570" t="s">
        <v>286</v>
      </c>
      <c r="AO570" t="s">
        <v>408</v>
      </c>
      <c r="AP570" t="s">
        <v>409</v>
      </c>
      <c r="AQ570" t="s">
        <v>74</v>
      </c>
      <c r="AR570" t="s">
        <v>410</v>
      </c>
      <c r="AS570" t="s">
        <v>411</v>
      </c>
      <c r="AT570" t="s">
        <v>3457</v>
      </c>
      <c r="AU570">
        <v>2019</v>
      </c>
      <c r="AV570">
        <v>219</v>
      </c>
      <c r="AW570" t="s">
        <v>74</v>
      </c>
      <c r="AX570" t="s">
        <v>74</v>
      </c>
      <c r="AY570" t="s">
        <v>74</v>
      </c>
      <c r="AZ570" t="s">
        <v>74</v>
      </c>
      <c r="BA570" t="s">
        <v>74</v>
      </c>
      <c r="BB570" t="s">
        <v>74</v>
      </c>
      <c r="BC570" t="s">
        <v>74</v>
      </c>
      <c r="BD570">
        <v>105338</v>
      </c>
      <c r="BE570" t="s">
        <v>11426</v>
      </c>
      <c r="BF570" t="str">
        <f>HYPERLINK("http://dx.doi.org/10.1016/j.fishres.2019.105338","http://dx.doi.org/10.1016/j.fishres.2019.105338")</f>
        <v>http://dx.doi.org/10.1016/j.fishres.2019.105338</v>
      </c>
      <c r="BG570" t="s">
        <v>74</v>
      </c>
      <c r="BH570" t="s">
        <v>74</v>
      </c>
      <c r="BI570">
        <v>12</v>
      </c>
      <c r="BJ570" t="s">
        <v>413</v>
      </c>
      <c r="BK570" t="s">
        <v>294</v>
      </c>
      <c r="BL570" t="s">
        <v>413</v>
      </c>
      <c r="BM570" t="s">
        <v>11409</v>
      </c>
      <c r="BN570" t="s">
        <v>74</v>
      </c>
      <c r="BO570" t="s">
        <v>74</v>
      </c>
      <c r="BP570" t="s">
        <v>74</v>
      </c>
      <c r="BQ570" t="s">
        <v>74</v>
      </c>
      <c r="BR570" t="s">
        <v>108</v>
      </c>
      <c r="BS570" t="s">
        <v>11427</v>
      </c>
      <c r="BT570" t="str">
        <f>HYPERLINK("https%3A%2F%2Fwww.webofscience.com%2Fwos%2Fwoscc%2Ffull-record%2FWOS:000488300900037","View Full Record in Web of Science")</f>
        <v>View Full Record in Web of Science</v>
      </c>
    </row>
    <row r="571" spans="1:72" x14ac:dyDescent="0.15">
      <c r="A571" t="s">
        <v>133</v>
      </c>
      <c r="B571" t="s">
        <v>11428</v>
      </c>
      <c r="C571" t="s">
        <v>74</v>
      </c>
      <c r="D571" t="s">
        <v>74</v>
      </c>
      <c r="E571" t="s">
        <v>74</v>
      </c>
      <c r="F571" t="s">
        <v>11429</v>
      </c>
      <c r="G571" t="s">
        <v>74</v>
      </c>
      <c r="H571" t="s">
        <v>74</v>
      </c>
      <c r="I571" t="s">
        <v>11430</v>
      </c>
      <c r="J571" t="s">
        <v>10891</v>
      </c>
      <c r="K571" t="s">
        <v>74</v>
      </c>
      <c r="L571" t="s">
        <v>74</v>
      </c>
      <c r="M571" t="s">
        <v>80</v>
      </c>
      <c r="N571" t="s">
        <v>138</v>
      </c>
      <c r="O571" t="s">
        <v>74</v>
      </c>
      <c r="P571" t="s">
        <v>74</v>
      </c>
      <c r="Q571" t="s">
        <v>74</v>
      </c>
      <c r="R571" t="s">
        <v>74</v>
      </c>
      <c r="S571" t="s">
        <v>74</v>
      </c>
      <c r="T571" t="s">
        <v>11431</v>
      </c>
      <c r="U571" t="s">
        <v>11432</v>
      </c>
      <c r="V571" t="s">
        <v>11433</v>
      </c>
      <c r="W571" t="s">
        <v>11434</v>
      </c>
      <c r="X571" t="s">
        <v>11435</v>
      </c>
      <c r="Y571" t="s">
        <v>11436</v>
      </c>
      <c r="Z571" t="s">
        <v>11437</v>
      </c>
      <c r="AA571" t="s">
        <v>74</v>
      </c>
      <c r="AB571" t="s">
        <v>11438</v>
      </c>
      <c r="AC571" t="s">
        <v>74</v>
      </c>
      <c r="AD571" t="s">
        <v>74</v>
      </c>
      <c r="AE571" t="s">
        <v>74</v>
      </c>
      <c r="AF571" t="s">
        <v>74</v>
      </c>
      <c r="AG571">
        <v>96</v>
      </c>
      <c r="AH571">
        <v>16</v>
      </c>
      <c r="AI571">
        <v>16</v>
      </c>
      <c r="AJ571">
        <v>0</v>
      </c>
      <c r="AK571">
        <v>5</v>
      </c>
      <c r="AL571" t="s">
        <v>379</v>
      </c>
      <c r="AM571" t="s">
        <v>380</v>
      </c>
      <c r="AN571" t="s">
        <v>381</v>
      </c>
      <c r="AO571" t="s">
        <v>10899</v>
      </c>
      <c r="AP571" t="s">
        <v>11439</v>
      </c>
      <c r="AQ571" t="s">
        <v>74</v>
      </c>
      <c r="AR571" t="s">
        <v>10900</v>
      </c>
      <c r="AS571" t="s">
        <v>10901</v>
      </c>
      <c r="AT571" t="s">
        <v>3457</v>
      </c>
      <c r="AU571">
        <v>2019</v>
      </c>
      <c r="AV571">
        <v>95</v>
      </c>
      <c r="AW571" t="s">
        <v>74</v>
      </c>
      <c r="AX571" t="s">
        <v>74</v>
      </c>
      <c r="AY571" t="s">
        <v>74</v>
      </c>
      <c r="AZ571" t="s">
        <v>74</v>
      </c>
      <c r="BA571" t="s">
        <v>74</v>
      </c>
      <c r="BB571" t="s">
        <v>74</v>
      </c>
      <c r="BC571" t="s">
        <v>74</v>
      </c>
      <c r="BD571">
        <v>102253</v>
      </c>
      <c r="BE571" t="s">
        <v>11440</v>
      </c>
      <c r="BF571" t="str">
        <f>HYPERLINK("http://dx.doi.org/10.1016/j.jsames.2019.102253","http://dx.doi.org/10.1016/j.jsames.2019.102253")</f>
        <v>http://dx.doi.org/10.1016/j.jsames.2019.102253</v>
      </c>
      <c r="BG571" t="s">
        <v>74</v>
      </c>
      <c r="BH571" t="s">
        <v>74</v>
      </c>
      <c r="BI571">
        <v>18</v>
      </c>
      <c r="BJ571" t="s">
        <v>849</v>
      </c>
      <c r="BK571" t="s">
        <v>294</v>
      </c>
      <c r="BL571" t="s">
        <v>850</v>
      </c>
      <c r="BM571" t="s">
        <v>10903</v>
      </c>
      <c r="BN571" t="s">
        <v>74</v>
      </c>
      <c r="BO571" t="s">
        <v>74</v>
      </c>
      <c r="BP571" t="s">
        <v>74</v>
      </c>
      <c r="BQ571" t="s">
        <v>74</v>
      </c>
      <c r="BR571" t="s">
        <v>108</v>
      </c>
      <c r="BS571" t="s">
        <v>11441</v>
      </c>
      <c r="BT571" t="str">
        <f>HYPERLINK("https%3A%2F%2Fwww.webofscience.com%2Fwos%2Fwoscc%2Ffull-record%2FWOS:000488136300042","View Full Record in Web of Science")</f>
        <v>View Full Record in Web of Science</v>
      </c>
    </row>
    <row r="572" spans="1:72" x14ac:dyDescent="0.15">
      <c r="A572" t="s">
        <v>133</v>
      </c>
      <c r="B572" t="s">
        <v>11442</v>
      </c>
      <c r="C572" t="s">
        <v>74</v>
      </c>
      <c r="D572" t="s">
        <v>74</v>
      </c>
      <c r="E572" t="s">
        <v>74</v>
      </c>
      <c r="F572" t="s">
        <v>11443</v>
      </c>
      <c r="G572" t="s">
        <v>74</v>
      </c>
      <c r="H572" t="s">
        <v>74</v>
      </c>
      <c r="I572" t="s">
        <v>11444</v>
      </c>
      <c r="J572" t="s">
        <v>10891</v>
      </c>
      <c r="K572" t="s">
        <v>74</v>
      </c>
      <c r="L572" t="s">
        <v>74</v>
      </c>
      <c r="M572" t="s">
        <v>80</v>
      </c>
      <c r="N572" t="s">
        <v>930</v>
      </c>
      <c r="O572" t="s">
        <v>74</v>
      </c>
      <c r="P572" t="s">
        <v>74</v>
      </c>
      <c r="Q572" t="s">
        <v>74</v>
      </c>
      <c r="R572" t="s">
        <v>74</v>
      </c>
      <c r="S572" t="s">
        <v>74</v>
      </c>
      <c r="T572" t="s">
        <v>11445</v>
      </c>
      <c r="U572" t="s">
        <v>11446</v>
      </c>
      <c r="V572" t="s">
        <v>11447</v>
      </c>
      <c r="W572" t="s">
        <v>11448</v>
      </c>
      <c r="X572" t="s">
        <v>11449</v>
      </c>
      <c r="Y572" t="s">
        <v>11450</v>
      </c>
      <c r="Z572" t="s">
        <v>11451</v>
      </c>
      <c r="AA572" t="s">
        <v>10897</v>
      </c>
      <c r="AB572" t="s">
        <v>11452</v>
      </c>
      <c r="AC572" t="s">
        <v>11453</v>
      </c>
      <c r="AD572" t="s">
        <v>205</v>
      </c>
      <c r="AE572" t="s">
        <v>11454</v>
      </c>
      <c r="AF572" t="s">
        <v>74</v>
      </c>
      <c r="AG572">
        <v>154</v>
      </c>
      <c r="AH572">
        <v>21</v>
      </c>
      <c r="AI572">
        <v>21</v>
      </c>
      <c r="AJ572">
        <v>0</v>
      </c>
      <c r="AK572">
        <v>11</v>
      </c>
      <c r="AL572" t="s">
        <v>379</v>
      </c>
      <c r="AM572" t="s">
        <v>380</v>
      </c>
      <c r="AN572" t="s">
        <v>381</v>
      </c>
      <c r="AO572" t="s">
        <v>10899</v>
      </c>
      <c r="AP572" t="s">
        <v>74</v>
      </c>
      <c r="AQ572" t="s">
        <v>74</v>
      </c>
      <c r="AR572" t="s">
        <v>10900</v>
      </c>
      <c r="AS572" t="s">
        <v>10901</v>
      </c>
      <c r="AT572" t="s">
        <v>3457</v>
      </c>
      <c r="AU572">
        <v>2019</v>
      </c>
      <c r="AV572">
        <v>95</v>
      </c>
      <c r="AW572" t="s">
        <v>74</v>
      </c>
      <c r="AX572" t="s">
        <v>74</v>
      </c>
      <c r="AY572" t="s">
        <v>74</v>
      </c>
      <c r="AZ572" t="s">
        <v>74</v>
      </c>
      <c r="BA572" t="s">
        <v>74</v>
      </c>
      <c r="BB572" t="s">
        <v>74</v>
      </c>
      <c r="BC572" t="s">
        <v>74</v>
      </c>
      <c r="BD572">
        <v>102256</v>
      </c>
      <c r="BE572" t="s">
        <v>11455</v>
      </c>
      <c r="BF572" t="str">
        <f>HYPERLINK("http://dx.doi.org/10.1016/j.jsames.2019.102256","http://dx.doi.org/10.1016/j.jsames.2019.102256")</f>
        <v>http://dx.doi.org/10.1016/j.jsames.2019.102256</v>
      </c>
      <c r="BG572" t="s">
        <v>74</v>
      </c>
      <c r="BH572" t="s">
        <v>74</v>
      </c>
      <c r="BI572">
        <v>13</v>
      </c>
      <c r="BJ572" t="s">
        <v>849</v>
      </c>
      <c r="BK572" t="s">
        <v>294</v>
      </c>
      <c r="BL572" t="s">
        <v>850</v>
      </c>
      <c r="BM572" t="s">
        <v>10903</v>
      </c>
      <c r="BN572" t="s">
        <v>74</v>
      </c>
      <c r="BO572" t="s">
        <v>1482</v>
      </c>
      <c r="BP572" t="s">
        <v>74</v>
      </c>
      <c r="BQ572" t="s">
        <v>74</v>
      </c>
      <c r="BR572" t="s">
        <v>108</v>
      </c>
      <c r="BS572" t="s">
        <v>11456</v>
      </c>
      <c r="BT572" t="str">
        <f>HYPERLINK("https%3A%2F%2Fwww.webofscience.com%2Fwos%2Fwoscc%2Ffull-record%2FWOS:000488136300041","View Full Record in Web of Science")</f>
        <v>View Full Record in Web of Science</v>
      </c>
    </row>
    <row r="573" spans="1:72" x14ac:dyDescent="0.15">
      <c r="A573" t="s">
        <v>133</v>
      </c>
      <c r="B573" t="s">
        <v>11457</v>
      </c>
      <c r="C573" t="s">
        <v>74</v>
      </c>
      <c r="D573" t="s">
        <v>74</v>
      </c>
      <c r="E573" t="s">
        <v>74</v>
      </c>
      <c r="F573" t="s">
        <v>11458</v>
      </c>
      <c r="G573" t="s">
        <v>74</v>
      </c>
      <c r="H573" t="s">
        <v>74</v>
      </c>
      <c r="I573" t="s">
        <v>11459</v>
      </c>
      <c r="J573" t="s">
        <v>6129</v>
      </c>
      <c r="K573" t="s">
        <v>74</v>
      </c>
      <c r="L573" t="s">
        <v>74</v>
      </c>
      <c r="M573" t="s">
        <v>80</v>
      </c>
      <c r="N573" t="s">
        <v>138</v>
      </c>
      <c r="O573" t="s">
        <v>74</v>
      </c>
      <c r="P573" t="s">
        <v>74</v>
      </c>
      <c r="Q573" t="s">
        <v>74</v>
      </c>
      <c r="R573" t="s">
        <v>74</v>
      </c>
      <c r="S573" t="s">
        <v>74</v>
      </c>
      <c r="T573" t="s">
        <v>11460</v>
      </c>
      <c r="U573" t="s">
        <v>11461</v>
      </c>
      <c r="V573" t="s">
        <v>11462</v>
      </c>
      <c r="W573" t="s">
        <v>11463</v>
      </c>
      <c r="X573" t="s">
        <v>11464</v>
      </c>
      <c r="Y573" t="s">
        <v>11465</v>
      </c>
      <c r="Z573" t="s">
        <v>11466</v>
      </c>
      <c r="AA573" t="s">
        <v>11467</v>
      </c>
      <c r="AB573" t="s">
        <v>11468</v>
      </c>
      <c r="AC573" t="s">
        <v>11469</v>
      </c>
      <c r="AD573" t="s">
        <v>11470</v>
      </c>
      <c r="AE573" t="s">
        <v>11471</v>
      </c>
      <c r="AF573" t="s">
        <v>74</v>
      </c>
      <c r="AG573">
        <v>80</v>
      </c>
      <c r="AH573">
        <v>27</v>
      </c>
      <c r="AI573">
        <v>30</v>
      </c>
      <c r="AJ573">
        <v>0</v>
      </c>
      <c r="AK573">
        <v>30</v>
      </c>
      <c r="AL573" t="s">
        <v>284</v>
      </c>
      <c r="AM573" t="s">
        <v>285</v>
      </c>
      <c r="AN573" t="s">
        <v>286</v>
      </c>
      <c r="AO573" t="s">
        <v>6142</v>
      </c>
      <c r="AP573" t="s">
        <v>6143</v>
      </c>
      <c r="AQ573" t="s">
        <v>74</v>
      </c>
      <c r="AR573" t="s">
        <v>6144</v>
      </c>
      <c r="AS573" t="s">
        <v>6145</v>
      </c>
      <c r="AT573" t="s">
        <v>10331</v>
      </c>
      <c r="AU573">
        <v>2019</v>
      </c>
      <c r="AV573">
        <v>525</v>
      </c>
      <c r="AW573" t="s">
        <v>74</v>
      </c>
      <c r="AX573" t="s">
        <v>74</v>
      </c>
      <c r="AY573" t="s">
        <v>74</v>
      </c>
      <c r="AZ573" t="s">
        <v>74</v>
      </c>
      <c r="BA573" t="s">
        <v>74</v>
      </c>
      <c r="BB573" t="s">
        <v>74</v>
      </c>
      <c r="BC573" t="s">
        <v>74</v>
      </c>
      <c r="BD573">
        <v>115716</v>
      </c>
      <c r="BE573" t="s">
        <v>11472</v>
      </c>
      <c r="BF573" t="str">
        <f>HYPERLINK("http://dx.doi.org/10.1016/j.epsl.2019.115716","http://dx.doi.org/10.1016/j.epsl.2019.115716")</f>
        <v>http://dx.doi.org/10.1016/j.epsl.2019.115716</v>
      </c>
      <c r="BG573" t="s">
        <v>74</v>
      </c>
      <c r="BH573" t="s">
        <v>74</v>
      </c>
      <c r="BI573">
        <v>14</v>
      </c>
      <c r="BJ573" t="s">
        <v>1067</v>
      </c>
      <c r="BK573" t="s">
        <v>294</v>
      </c>
      <c r="BL573" t="s">
        <v>1067</v>
      </c>
      <c r="BM573" t="s">
        <v>11473</v>
      </c>
      <c r="BN573" t="s">
        <v>74</v>
      </c>
      <c r="BO573" t="s">
        <v>74</v>
      </c>
      <c r="BP573" t="s">
        <v>74</v>
      </c>
      <c r="BQ573" t="s">
        <v>74</v>
      </c>
      <c r="BR573" t="s">
        <v>108</v>
      </c>
      <c r="BS573" t="s">
        <v>11474</v>
      </c>
      <c r="BT573" t="str">
        <f>HYPERLINK("https%3A%2F%2Fwww.webofscience.com%2Fwos%2Fwoscc%2Ffull-record%2FWOS:000488137400005","View Full Record in Web of Science")</f>
        <v>View Full Record in Web of Science</v>
      </c>
    </row>
    <row r="574" spans="1:72" x14ac:dyDescent="0.15">
      <c r="A574" t="s">
        <v>133</v>
      </c>
      <c r="B574" t="s">
        <v>11475</v>
      </c>
      <c r="C574" t="s">
        <v>74</v>
      </c>
      <c r="D574" t="s">
        <v>74</v>
      </c>
      <c r="E574" t="s">
        <v>74</v>
      </c>
      <c r="F574" t="s">
        <v>11476</v>
      </c>
      <c r="G574" t="s">
        <v>74</v>
      </c>
      <c r="H574" t="s">
        <v>74</v>
      </c>
      <c r="I574" t="s">
        <v>11477</v>
      </c>
      <c r="J574" t="s">
        <v>11478</v>
      </c>
      <c r="K574" t="s">
        <v>74</v>
      </c>
      <c r="L574" t="s">
        <v>74</v>
      </c>
      <c r="M574" t="s">
        <v>80</v>
      </c>
      <c r="N574" t="s">
        <v>138</v>
      </c>
      <c r="O574" t="s">
        <v>74</v>
      </c>
      <c r="P574" t="s">
        <v>74</v>
      </c>
      <c r="Q574" t="s">
        <v>74</v>
      </c>
      <c r="R574" t="s">
        <v>74</v>
      </c>
      <c r="S574" t="s">
        <v>74</v>
      </c>
      <c r="T574" t="s">
        <v>11479</v>
      </c>
      <c r="U574" t="s">
        <v>11480</v>
      </c>
      <c r="V574" t="s">
        <v>11481</v>
      </c>
      <c r="W574" t="s">
        <v>11482</v>
      </c>
      <c r="X574" t="s">
        <v>11483</v>
      </c>
      <c r="Y574" t="s">
        <v>11484</v>
      </c>
      <c r="Z574" t="s">
        <v>11485</v>
      </c>
      <c r="AA574" t="s">
        <v>11486</v>
      </c>
      <c r="AB574" t="s">
        <v>11487</v>
      </c>
      <c r="AC574" t="s">
        <v>11488</v>
      </c>
      <c r="AD574" t="s">
        <v>11489</v>
      </c>
      <c r="AE574" t="s">
        <v>11490</v>
      </c>
      <c r="AF574" t="s">
        <v>74</v>
      </c>
      <c r="AG574">
        <v>80</v>
      </c>
      <c r="AH574">
        <v>18</v>
      </c>
      <c r="AI574">
        <v>20</v>
      </c>
      <c r="AJ574">
        <v>1</v>
      </c>
      <c r="AK574">
        <v>15</v>
      </c>
      <c r="AL574" t="s">
        <v>1964</v>
      </c>
      <c r="AM574" t="s">
        <v>4096</v>
      </c>
      <c r="AN574" t="s">
        <v>4097</v>
      </c>
      <c r="AO574" t="s">
        <v>11491</v>
      </c>
      <c r="AP574" t="s">
        <v>11492</v>
      </c>
      <c r="AQ574" t="s">
        <v>74</v>
      </c>
      <c r="AR574" t="s">
        <v>11493</v>
      </c>
      <c r="AS574" t="s">
        <v>11494</v>
      </c>
      <c r="AT574" t="s">
        <v>3457</v>
      </c>
      <c r="AU574">
        <v>2019</v>
      </c>
      <c r="AV574">
        <v>173</v>
      </c>
      <c r="AW574">
        <v>2</v>
      </c>
      <c r="AX574" t="s">
        <v>74</v>
      </c>
      <c r="AY574" t="s">
        <v>74</v>
      </c>
      <c r="AZ574" t="s">
        <v>74</v>
      </c>
      <c r="BA574" t="s">
        <v>74</v>
      </c>
      <c r="BB574">
        <v>165</v>
      </c>
      <c r="BC574">
        <v>192</v>
      </c>
      <c r="BD574" t="s">
        <v>74</v>
      </c>
      <c r="BE574" t="s">
        <v>11495</v>
      </c>
      <c r="BF574" t="str">
        <f>HYPERLINK("http://dx.doi.org/10.1007/s10546-019-00461-4","http://dx.doi.org/10.1007/s10546-019-00461-4")</f>
        <v>http://dx.doi.org/10.1007/s10546-019-00461-4</v>
      </c>
      <c r="BG574" t="s">
        <v>74</v>
      </c>
      <c r="BH574" t="s">
        <v>74</v>
      </c>
      <c r="BI574">
        <v>28</v>
      </c>
      <c r="BJ574" t="s">
        <v>1024</v>
      </c>
      <c r="BK574" t="s">
        <v>294</v>
      </c>
      <c r="BL574" t="s">
        <v>1024</v>
      </c>
      <c r="BM574" t="s">
        <v>11496</v>
      </c>
      <c r="BN574" t="s">
        <v>74</v>
      </c>
      <c r="BO574" t="s">
        <v>2403</v>
      </c>
      <c r="BP574" t="s">
        <v>74</v>
      </c>
      <c r="BQ574" t="s">
        <v>74</v>
      </c>
      <c r="BR574" t="s">
        <v>108</v>
      </c>
      <c r="BS574" t="s">
        <v>11497</v>
      </c>
      <c r="BT574" t="str">
        <f>HYPERLINK("https%3A%2F%2Fwww.webofscience.com%2Fwos%2Fwoscc%2Ffull-record%2FWOS:000487899100002","View Full Record in Web of Science")</f>
        <v>View Full Record in Web of Science</v>
      </c>
    </row>
    <row r="575" spans="1:72" x14ac:dyDescent="0.15">
      <c r="A575" t="s">
        <v>133</v>
      </c>
      <c r="B575" t="s">
        <v>11498</v>
      </c>
      <c r="C575" t="s">
        <v>74</v>
      </c>
      <c r="D575" t="s">
        <v>74</v>
      </c>
      <c r="E575" t="s">
        <v>74</v>
      </c>
      <c r="F575" t="s">
        <v>11499</v>
      </c>
      <c r="G575" t="s">
        <v>74</v>
      </c>
      <c r="H575" t="s">
        <v>74</v>
      </c>
      <c r="I575" t="s">
        <v>11500</v>
      </c>
      <c r="J575" t="s">
        <v>1133</v>
      </c>
      <c r="K575" t="s">
        <v>74</v>
      </c>
      <c r="L575" t="s">
        <v>74</v>
      </c>
      <c r="M575" t="s">
        <v>80</v>
      </c>
      <c r="N575" t="s">
        <v>138</v>
      </c>
      <c r="O575" t="s">
        <v>74</v>
      </c>
      <c r="P575" t="s">
        <v>74</v>
      </c>
      <c r="Q575" t="s">
        <v>74</v>
      </c>
      <c r="R575" t="s">
        <v>74</v>
      </c>
      <c r="S575" t="s">
        <v>74</v>
      </c>
      <c r="T575" t="s">
        <v>11501</v>
      </c>
      <c r="U575" t="s">
        <v>11502</v>
      </c>
      <c r="V575" t="s">
        <v>11503</v>
      </c>
      <c r="W575" t="s">
        <v>11504</v>
      </c>
      <c r="X575" t="s">
        <v>11505</v>
      </c>
      <c r="Y575" t="s">
        <v>11506</v>
      </c>
      <c r="Z575" t="s">
        <v>11507</v>
      </c>
      <c r="AA575" t="s">
        <v>11508</v>
      </c>
      <c r="AB575" t="s">
        <v>11509</v>
      </c>
      <c r="AC575" t="s">
        <v>11510</v>
      </c>
      <c r="AD575" t="s">
        <v>11511</v>
      </c>
      <c r="AE575" t="s">
        <v>11512</v>
      </c>
      <c r="AF575" t="s">
        <v>74</v>
      </c>
      <c r="AG575">
        <v>67</v>
      </c>
      <c r="AH575">
        <v>26</v>
      </c>
      <c r="AI575">
        <v>28</v>
      </c>
      <c r="AJ575">
        <v>20</v>
      </c>
      <c r="AK575">
        <v>170</v>
      </c>
      <c r="AL575" t="s">
        <v>379</v>
      </c>
      <c r="AM575" t="s">
        <v>380</v>
      </c>
      <c r="AN575" t="s">
        <v>381</v>
      </c>
      <c r="AO575" t="s">
        <v>1146</v>
      </c>
      <c r="AP575" t="s">
        <v>1147</v>
      </c>
      <c r="AQ575" t="s">
        <v>74</v>
      </c>
      <c r="AR575" t="s">
        <v>1133</v>
      </c>
      <c r="AS575" t="s">
        <v>1148</v>
      </c>
      <c r="AT575" t="s">
        <v>3457</v>
      </c>
      <c r="AU575">
        <v>2019</v>
      </c>
      <c r="AV575">
        <v>235</v>
      </c>
      <c r="AW575" t="s">
        <v>74</v>
      </c>
      <c r="AX575" t="s">
        <v>74</v>
      </c>
      <c r="AY575" t="s">
        <v>74</v>
      </c>
      <c r="AZ575" t="s">
        <v>74</v>
      </c>
      <c r="BA575" t="s">
        <v>74</v>
      </c>
      <c r="BB575">
        <v>959</v>
      </c>
      <c r="BC575">
        <v>968</v>
      </c>
      <c r="BD575" t="s">
        <v>74</v>
      </c>
      <c r="BE575" t="s">
        <v>11513</v>
      </c>
      <c r="BF575" t="str">
        <f>HYPERLINK("http://dx.doi.org/10.1016/j.chemosphere.2019.06.219","http://dx.doi.org/10.1016/j.chemosphere.2019.06.219")</f>
        <v>http://dx.doi.org/10.1016/j.chemosphere.2019.06.219</v>
      </c>
      <c r="BG575" t="s">
        <v>74</v>
      </c>
      <c r="BH575" t="s">
        <v>74</v>
      </c>
      <c r="BI575">
        <v>10</v>
      </c>
      <c r="BJ575" t="s">
        <v>387</v>
      </c>
      <c r="BK575" t="s">
        <v>294</v>
      </c>
      <c r="BL575" t="s">
        <v>388</v>
      </c>
      <c r="BM575" t="s">
        <v>11514</v>
      </c>
      <c r="BN575">
        <v>31561312</v>
      </c>
      <c r="BO575" t="s">
        <v>74</v>
      </c>
      <c r="BP575" t="s">
        <v>74</v>
      </c>
      <c r="BQ575" t="s">
        <v>74</v>
      </c>
      <c r="BR575" t="s">
        <v>108</v>
      </c>
      <c r="BS575" t="s">
        <v>11515</v>
      </c>
      <c r="BT575" t="str">
        <f>HYPERLINK("https%3A%2F%2Fwww.webofscience.com%2Fwos%2Fwoscc%2Ffull-record%2FWOS:000487567000103","View Full Record in Web of Science")</f>
        <v>View Full Record in Web of Science</v>
      </c>
    </row>
    <row r="576" spans="1:72" x14ac:dyDescent="0.15">
      <c r="A576" t="s">
        <v>133</v>
      </c>
      <c r="B576" t="s">
        <v>11516</v>
      </c>
      <c r="C576" t="s">
        <v>74</v>
      </c>
      <c r="D576" t="s">
        <v>74</v>
      </c>
      <c r="E576" t="s">
        <v>74</v>
      </c>
      <c r="F576" t="s">
        <v>11517</v>
      </c>
      <c r="G576" t="s">
        <v>74</v>
      </c>
      <c r="H576" t="s">
        <v>74</v>
      </c>
      <c r="I576" t="s">
        <v>11518</v>
      </c>
      <c r="J576" t="s">
        <v>11519</v>
      </c>
      <c r="K576" t="s">
        <v>74</v>
      </c>
      <c r="L576" t="s">
        <v>74</v>
      </c>
      <c r="M576" t="s">
        <v>80</v>
      </c>
      <c r="N576" t="s">
        <v>138</v>
      </c>
      <c r="O576" t="s">
        <v>74</v>
      </c>
      <c r="P576" t="s">
        <v>74</v>
      </c>
      <c r="Q576" t="s">
        <v>74</v>
      </c>
      <c r="R576" t="s">
        <v>74</v>
      </c>
      <c r="S576" t="s">
        <v>74</v>
      </c>
      <c r="T576" t="s">
        <v>74</v>
      </c>
      <c r="U576" t="s">
        <v>11520</v>
      </c>
      <c r="V576" t="s">
        <v>11521</v>
      </c>
      <c r="W576" t="s">
        <v>11522</v>
      </c>
      <c r="X576" t="s">
        <v>6065</v>
      </c>
      <c r="Y576" t="s">
        <v>11523</v>
      </c>
      <c r="Z576" t="s">
        <v>11524</v>
      </c>
      <c r="AA576" t="s">
        <v>11525</v>
      </c>
      <c r="AB576" t="s">
        <v>11526</v>
      </c>
      <c r="AC576" t="s">
        <v>11527</v>
      </c>
      <c r="AD576" t="s">
        <v>11528</v>
      </c>
      <c r="AE576" t="s">
        <v>11529</v>
      </c>
      <c r="AF576" t="s">
        <v>74</v>
      </c>
      <c r="AG576">
        <v>27</v>
      </c>
      <c r="AH576">
        <v>13</v>
      </c>
      <c r="AI576">
        <v>13</v>
      </c>
      <c r="AJ576">
        <v>0</v>
      </c>
      <c r="AK576">
        <v>24</v>
      </c>
      <c r="AL576" t="s">
        <v>1964</v>
      </c>
      <c r="AM576" t="s">
        <v>1965</v>
      </c>
      <c r="AN576" t="s">
        <v>3452</v>
      </c>
      <c r="AO576" t="s">
        <v>11530</v>
      </c>
      <c r="AP576" t="s">
        <v>11531</v>
      </c>
      <c r="AQ576" t="s">
        <v>74</v>
      </c>
      <c r="AR576" t="s">
        <v>11532</v>
      </c>
      <c r="AS576" t="s">
        <v>11533</v>
      </c>
      <c r="AT576" t="s">
        <v>3457</v>
      </c>
      <c r="AU576">
        <v>2019</v>
      </c>
      <c r="AV576">
        <v>76</v>
      </c>
      <c r="AW576">
        <v>11</v>
      </c>
      <c r="AX576" t="s">
        <v>74</v>
      </c>
      <c r="AY576" t="s">
        <v>74</v>
      </c>
      <c r="AZ576" t="s">
        <v>74</v>
      </c>
      <c r="BA576" t="s">
        <v>74</v>
      </c>
      <c r="BB576">
        <v>1256</v>
      </c>
      <c r="BC576">
        <v>1263</v>
      </c>
      <c r="BD576" t="s">
        <v>74</v>
      </c>
      <c r="BE576" t="s">
        <v>11534</v>
      </c>
      <c r="BF576" t="str">
        <f>HYPERLINK("http://dx.doi.org/10.1007/s00284-019-01751-3","http://dx.doi.org/10.1007/s00284-019-01751-3")</f>
        <v>http://dx.doi.org/10.1007/s00284-019-01751-3</v>
      </c>
      <c r="BG576" t="s">
        <v>74</v>
      </c>
      <c r="BH576" t="s">
        <v>74</v>
      </c>
      <c r="BI576">
        <v>8</v>
      </c>
      <c r="BJ576" t="s">
        <v>1713</v>
      </c>
      <c r="BK576" t="s">
        <v>294</v>
      </c>
      <c r="BL576" t="s">
        <v>1713</v>
      </c>
      <c r="BM576" t="s">
        <v>11535</v>
      </c>
      <c r="BN576">
        <v>31372731</v>
      </c>
      <c r="BO576" t="s">
        <v>74</v>
      </c>
      <c r="BP576" t="s">
        <v>74</v>
      </c>
      <c r="BQ576" t="s">
        <v>74</v>
      </c>
      <c r="BR576" t="s">
        <v>108</v>
      </c>
      <c r="BS576" t="s">
        <v>11536</v>
      </c>
      <c r="BT576" t="str">
        <f>HYPERLINK("https%3A%2F%2Fwww.webofscience.com%2Fwos%2Fwoscc%2Ffull-record%2FWOS:000487141900004","View Full Record in Web of Science")</f>
        <v>View Full Record in Web of Science</v>
      </c>
    </row>
    <row r="577" spans="1:72" x14ac:dyDescent="0.15">
      <c r="A577" t="s">
        <v>133</v>
      </c>
      <c r="B577" t="s">
        <v>11537</v>
      </c>
      <c r="C577" t="s">
        <v>74</v>
      </c>
      <c r="D577" t="s">
        <v>74</v>
      </c>
      <c r="E577" t="s">
        <v>74</v>
      </c>
      <c r="F577" t="s">
        <v>11538</v>
      </c>
      <c r="G577" t="s">
        <v>74</v>
      </c>
      <c r="H577" t="s">
        <v>74</v>
      </c>
      <c r="I577" t="s">
        <v>11539</v>
      </c>
      <c r="J577" t="s">
        <v>11540</v>
      </c>
      <c r="K577" t="s">
        <v>74</v>
      </c>
      <c r="L577" t="s">
        <v>74</v>
      </c>
      <c r="M577" t="s">
        <v>80</v>
      </c>
      <c r="N577" t="s">
        <v>138</v>
      </c>
      <c r="O577" t="s">
        <v>74</v>
      </c>
      <c r="P577" t="s">
        <v>74</v>
      </c>
      <c r="Q577" t="s">
        <v>74</v>
      </c>
      <c r="R577" t="s">
        <v>74</v>
      </c>
      <c r="S577" t="s">
        <v>74</v>
      </c>
      <c r="T577" t="s">
        <v>11541</v>
      </c>
      <c r="U577" t="s">
        <v>11542</v>
      </c>
      <c r="V577" t="s">
        <v>11543</v>
      </c>
      <c r="W577" t="s">
        <v>11544</v>
      </c>
      <c r="X577" t="s">
        <v>11545</v>
      </c>
      <c r="Y577" t="s">
        <v>11546</v>
      </c>
      <c r="Z577" t="s">
        <v>11547</v>
      </c>
      <c r="AA577" t="s">
        <v>11548</v>
      </c>
      <c r="AB577" t="s">
        <v>11549</v>
      </c>
      <c r="AC577" t="s">
        <v>11550</v>
      </c>
      <c r="AD577" t="s">
        <v>11551</v>
      </c>
      <c r="AE577" t="s">
        <v>11552</v>
      </c>
      <c r="AF577" t="s">
        <v>74</v>
      </c>
      <c r="AG577">
        <v>52</v>
      </c>
      <c r="AH577">
        <v>7</v>
      </c>
      <c r="AI577">
        <v>7</v>
      </c>
      <c r="AJ577">
        <v>4</v>
      </c>
      <c r="AK577">
        <v>64</v>
      </c>
      <c r="AL577" t="s">
        <v>284</v>
      </c>
      <c r="AM577" t="s">
        <v>285</v>
      </c>
      <c r="AN577" t="s">
        <v>286</v>
      </c>
      <c r="AO577" t="s">
        <v>11553</v>
      </c>
      <c r="AP577" t="s">
        <v>11554</v>
      </c>
      <c r="AQ577" t="s">
        <v>74</v>
      </c>
      <c r="AR577" t="s">
        <v>11555</v>
      </c>
      <c r="AS577" t="s">
        <v>11556</v>
      </c>
      <c r="AT577" t="s">
        <v>3457</v>
      </c>
      <c r="AU577">
        <v>2019</v>
      </c>
      <c r="AV577">
        <v>83</v>
      </c>
      <c r="AW577" t="s">
        <v>74</v>
      </c>
      <c r="AX577" t="s">
        <v>74</v>
      </c>
      <c r="AY577" t="s">
        <v>74</v>
      </c>
      <c r="AZ577" t="s">
        <v>74</v>
      </c>
      <c r="BA577" t="s">
        <v>74</v>
      </c>
      <c r="BB577" t="s">
        <v>74</v>
      </c>
      <c r="BC577" t="s">
        <v>74</v>
      </c>
      <c r="BD577">
        <v>101915</v>
      </c>
      <c r="BE577" t="s">
        <v>11557</v>
      </c>
      <c r="BF577" t="str">
        <f>HYPERLINK("http://dx.doi.org/10.1016/j.jag.2019.101915","http://dx.doi.org/10.1016/j.jag.2019.101915")</f>
        <v>http://dx.doi.org/10.1016/j.jag.2019.101915</v>
      </c>
      <c r="BG577" t="s">
        <v>74</v>
      </c>
      <c r="BH577" t="s">
        <v>74</v>
      </c>
      <c r="BI577">
        <v>10</v>
      </c>
      <c r="BJ577" t="s">
        <v>4372</v>
      </c>
      <c r="BK577" t="s">
        <v>294</v>
      </c>
      <c r="BL577" t="s">
        <v>4372</v>
      </c>
      <c r="BM577" t="s">
        <v>11558</v>
      </c>
      <c r="BN577" t="s">
        <v>74</v>
      </c>
      <c r="BO577" t="s">
        <v>74</v>
      </c>
      <c r="BP577" t="s">
        <v>74</v>
      </c>
      <c r="BQ577" t="s">
        <v>74</v>
      </c>
      <c r="BR577" t="s">
        <v>108</v>
      </c>
      <c r="BS577" t="s">
        <v>11559</v>
      </c>
      <c r="BT577" t="str">
        <f>HYPERLINK("https%3A%2F%2Fwww.webofscience.com%2Fwos%2Fwoscc%2Ffull-record%2FWOS:000487574200008","View Full Record in Web of Science")</f>
        <v>View Full Record in Web of Science</v>
      </c>
    </row>
    <row r="578" spans="1:72" x14ac:dyDescent="0.15">
      <c r="A578" t="s">
        <v>133</v>
      </c>
      <c r="B578" t="s">
        <v>11560</v>
      </c>
      <c r="C578" t="s">
        <v>74</v>
      </c>
      <c r="D578" t="s">
        <v>74</v>
      </c>
      <c r="E578" t="s">
        <v>74</v>
      </c>
      <c r="F578" t="s">
        <v>11561</v>
      </c>
      <c r="G578" t="s">
        <v>74</v>
      </c>
      <c r="H578" t="s">
        <v>74</v>
      </c>
      <c r="I578" t="s">
        <v>11562</v>
      </c>
      <c r="J578" t="s">
        <v>1048</v>
      </c>
      <c r="K578" t="s">
        <v>74</v>
      </c>
      <c r="L578" t="s">
        <v>74</v>
      </c>
      <c r="M578" t="s">
        <v>80</v>
      </c>
      <c r="N578" t="s">
        <v>138</v>
      </c>
      <c r="O578" t="s">
        <v>74</v>
      </c>
      <c r="P578" t="s">
        <v>74</v>
      </c>
      <c r="Q578" t="s">
        <v>74</v>
      </c>
      <c r="R578" t="s">
        <v>74</v>
      </c>
      <c r="S578" t="s">
        <v>74</v>
      </c>
      <c r="T578" t="s">
        <v>11563</v>
      </c>
      <c r="U578" t="s">
        <v>11564</v>
      </c>
      <c r="V578" t="s">
        <v>11565</v>
      </c>
      <c r="W578" t="s">
        <v>11566</v>
      </c>
      <c r="X578" t="s">
        <v>11567</v>
      </c>
      <c r="Y578" t="s">
        <v>11568</v>
      </c>
      <c r="Z578" t="s">
        <v>11569</v>
      </c>
      <c r="AA578" t="s">
        <v>11570</v>
      </c>
      <c r="AB578" t="s">
        <v>11571</v>
      </c>
      <c r="AC578" t="s">
        <v>11572</v>
      </c>
      <c r="AD578" t="s">
        <v>11572</v>
      </c>
      <c r="AE578" t="s">
        <v>11573</v>
      </c>
      <c r="AF578" t="s">
        <v>74</v>
      </c>
      <c r="AG578">
        <v>168</v>
      </c>
      <c r="AH578">
        <v>5</v>
      </c>
      <c r="AI578">
        <v>5</v>
      </c>
      <c r="AJ578">
        <v>0</v>
      </c>
      <c r="AK578">
        <v>18</v>
      </c>
      <c r="AL578" t="s">
        <v>379</v>
      </c>
      <c r="AM578" t="s">
        <v>380</v>
      </c>
      <c r="AN578" t="s">
        <v>381</v>
      </c>
      <c r="AO578" t="s">
        <v>1061</v>
      </c>
      <c r="AP578" t="s">
        <v>1062</v>
      </c>
      <c r="AQ578" t="s">
        <v>74</v>
      </c>
      <c r="AR578" t="s">
        <v>1063</v>
      </c>
      <c r="AS578" t="s">
        <v>1064</v>
      </c>
      <c r="AT578" t="s">
        <v>10331</v>
      </c>
      <c r="AU578">
        <v>2019</v>
      </c>
      <c r="AV578">
        <v>264</v>
      </c>
      <c r="AW578" t="s">
        <v>74</v>
      </c>
      <c r="AX578" t="s">
        <v>74</v>
      </c>
      <c r="AY578" t="s">
        <v>74</v>
      </c>
      <c r="AZ578" t="s">
        <v>74</v>
      </c>
      <c r="BA578" t="s">
        <v>74</v>
      </c>
      <c r="BB578">
        <v>141</v>
      </c>
      <c r="BC578">
        <v>164</v>
      </c>
      <c r="BD578" t="s">
        <v>74</v>
      </c>
      <c r="BE578" t="s">
        <v>11574</v>
      </c>
      <c r="BF578" t="str">
        <f>HYPERLINK("http://dx.doi.org/10.1016/j.gca.2019.08.016","http://dx.doi.org/10.1016/j.gca.2019.08.016")</f>
        <v>http://dx.doi.org/10.1016/j.gca.2019.08.016</v>
      </c>
      <c r="BG578" t="s">
        <v>74</v>
      </c>
      <c r="BH578" t="s">
        <v>74</v>
      </c>
      <c r="BI578">
        <v>24</v>
      </c>
      <c r="BJ578" t="s">
        <v>1067</v>
      </c>
      <c r="BK578" t="s">
        <v>294</v>
      </c>
      <c r="BL578" t="s">
        <v>1067</v>
      </c>
      <c r="BM578" t="s">
        <v>11575</v>
      </c>
      <c r="BN578" t="s">
        <v>74</v>
      </c>
      <c r="BO578" t="s">
        <v>74</v>
      </c>
      <c r="BP578" t="s">
        <v>74</v>
      </c>
      <c r="BQ578" t="s">
        <v>74</v>
      </c>
      <c r="BR578" t="s">
        <v>108</v>
      </c>
      <c r="BS578" t="s">
        <v>11576</v>
      </c>
      <c r="BT578" t="str">
        <f>HYPERLINK("https%3A%2F%2Fwww.webofscience.com%2Fwos%2Fwoscc%2Ffull-record%2FWOS:000486618200010","View Full Record in Web of Science")</f>
        <v>View Full Record in Web of Science</v>
      </c>
    </row>
    <row r="579" spans="1:72" x14ac:dyDescent="0.15">
      <c r="A579" t="s">
        <v>133</v>
      </c>
      <c r="B579" t="s">
        <v>11577</v>
      </c>
      <c r="C579" t="s">
        <v>74</v>
      </c>
      <c r="D579" t="s">
        <v>74</v>
      </c>
      <c r="E579" t="s">
        <v>74</v>
      </c>
      <c r="F579" t="s">
        <v>11578</v>
      </c>
      <c r="G579" t="s">
        <v>74</v>
      </c>
      <c r="H579" t="s">
        <v>74</v>
      </c>
      <c r="I579" t="s">
        <v>11579</v>
      </c>
      <c r="J579" t="s">
        <v>1048</v>
      </c>
      <c r="K579" t="s">
        <v>74</v>
      </c>
      <c r="L579" t="s">
        <v>74</v>
      </c>
      <c r="M579" t="s">
        <v>80</v>
      </c>
      <c r="N579" t="s">
        <v>138</v>
      </c>
      <c r="O579" t="s">
        <v>74</v>
      </c>
      <c r="P579" t="s">
        <v>74</v>
      </c>
      <c r="Q579" t="s">
        <v>74</v>
      </c>
      <c r="R579" t="s">
        <v>74</v>
      </c>
      <c r="S579" t="s">
        <v>74</v>
      </c>
      <c r="T579" t="s">
        <v>11580</v>
      </c>
      <c r="U579" t="s">
        <v>11581</v>
      </c>
      <c r="V579" t="s">
        <v>11582</v>
      </c>
      <c r="W579" t="s">
        <v>11583</v>
      </c>
      <c r="X579" t="s">
        <v>11584</v>
      </c>
      <c r="Y579" t="s">
        <v>11585</v>
      </c>
      <c r="Z579" t="s">
        <v>11586</v>
      </c>
      <c r="AA579" t="s">
        <v>11587</v>
      </c>
      <c r="AB579" t="s">
        <v>11588</v>
      </c>
      <c r="AC579" t="s">
        <v>11589</v>
      </c>
      <c r="AD579" t="s">
        <v>11590</v>
      </c>
      <c r="AE579" t="s">
        <v>11591</v>
      </c>
      <c r="AF579" t="s">
        <v>74</v>
      </c>
      <c r="AG579">
        <v>92</v>
      </c>
      <c r="AH579">
        <v>34</v>
      </c>
      <c r="AI579">
        <v>34</v>
      </c>
      <c r="AJ579">
        <v>0</v>
      </c>
      <c r="AK579">
        <v>10</v>
      </c>
      <c r="AL579" t="s">
        <v>379</v>
      </c>
      <c r="AM579" t="s">
        <v>380</v>
      </c>
      <c r="AN579" t="s">
        <v>381</v>
      </c>
      <c r="AO579" t="s">
        <v>1061</v>
      </c>
      <c r="AP579" t="s">
        <v>1062</v>
      </c>
      <c r="AQ579" t="s">
        <v>74</v>
      </c>
      <c r="AR579" t="s">
        <v>1063</v>
      </c>
      <c r="AS579" t="s">
        <v>1064</v>
      </c>
      <c r="AT579" t="s">
        <v>10331</v>
      </c>
      <c r="AU579">
        <v>2019</v>
      </c>
      <c r="AV579">
        <v>264</v>
      </c>
      <c r="AW579" t="s">
        <v>74</v>
      </c>
      <c r="AX579" t="s">
        <v>74</v>
      </c>
      <c r="AY579" t="s">
        <v>74</v>
      </c>
      <c r="AZ579" t="s">
        <v>74</v>
      </c>
      <c r="BA579" t="s">
        <v>74</v>
      </c>
      <c r="BB579">
        <v>224</v>
      </c>
      <c r="BC579">
        <v>244</v>
      </c>
      <c r="BD579" t="s">
        <v>74</v>
      </c>
      <c r="BE579" t="s">
        <v>11592</v>
      </c>
      <c r="BF579" t="str">
        <f>HYPERLINK("http://dx.doi.org/10.1016/j.gca.2019.07.027","http://dx.doi.org/10.1016/j.gca.2019.07.027")</f>
        <v>http://dx.doi.org/10.1016/j.gca.2019.07.027</v>
      </c>
      <c r="BG579" t="s">
        <v>74</v>
      </c>
      <c r="BH579" t="s">
        <v>74</v>
      </c>
      <c r="BI579">
        <v>21</v>
      </c>
      <c r="BJ579" t="s">
        <v>1067</v>
      </c>
      <c r="BK579" t="s">
        <v>294</v>
      </c>
      <c r="BL579" t="s">
        <v>1067</v>
      </c>
      <c r="BM579" t="s">
        <v>11575</v>
      </c>
      <c r="BN579" t="s">
        <v>74</v>
      </c>
      <c r="BO579" t="s">
        <v>2237</v>
      </c>
      <c r="BP579" t="s">
        <v>74</v>
      </c>
      <c r="BQ579" t="s">
        <v>74</v>
      </c>
      <c r="BR579" t="s">
        <v>108</v>
      </c>
      <c r="BS579" t="s">
        <v>11593</v>
      </c>
      <c r="BT579" t="str">
        <f>HYPERLINK("https%3A%2F%2Fwww.webofscience.com%2Fwos%2Fwoscc%2Ffull-record%2FWOS:000486618200015","View Full Record in Web of Science")</f>
        <v>View Full Record in Web of Science</v>
      </c>
    </row>
    <row r="580" spans="1:72" x14ac:dyDescent="0.15">
      <c r="A580" t="s">
        <v>133</v>
      </c>
      <c r="B580" t="s">
        <v>11594</v>
      </c>
      <c r="C580" t="s">
        <v>74</v>
      </c>
      <c r="D580" t="s">
        <v>74</v>
      </c>
      <c r="E580" t="s">
        <v>74</v>
      </c>
      <c r="F580" t="s">
        <v>11595</v>
      </c>
      <c r="G580" t="s">
        <v>74</v>
      </c>
      <c r="H580" t="s">
        <v>74</v>
      </c>
      <c r="I580" t="s">
        <v>11596</v>
      </c>
      <c r="J580" t="s">
        <v>11597</v>
      </c>
      <c r="K580" t="s">
        <v>74</v>
      </c>
      <c r="L580" t="s">
        <v>74</v>
      </c>
      <c r="M580" t="s">
        <v>80</v>
      </c>
      <c r="N580" t="s">
        <v>138</v>
      </c>
      <c r="O580" t="s">
        <v>74</v>
      </c>
      <c r="P580" t="s">
        <v>74</v>
      </c>
      <c r="Q580" t="s">
        <v>74</v>
      </c>
      <c r="R580" t="s">
        <v>74</v>
      </c>
      <c r="S580" t="s">
        <v>74</v>
      </c>
      <c r="T580" t="s">
        <v>11598</v>
      </c>
      <c r="U580" t="s">
        <v>11599</v>
      </c>
      <c r="V580" t="s">
        <v>11600</v>
      </c>
      <c r="W580" t="s">
        <v>11601</v>
      </c>
      <c r="X580" t="s">
        <v>11602</v>
      </c>
      <c r="Y580" t="s">
        <v>11603</v>
      </c>
      <c r="Z580" t="s">
        <v>11604</v>
      </c>
      <c r="AA580" t="s">
        <v>11605</v>
      </c>
      <c r="AB580" t="s">
        <v>11606</v>
      </c>
      <c r="AC580" t="s">
        <v>11607</v>
      </c>
      <c r="AD580" t="s">
        <v>11608</v>
      </c>
      <c r="AE580" t="s">
        <v>11609</v>
      </c>
      <c r="AF580" t="s">
        <v>74</v>
      </c>
      <c r="AG580">
        <v>60</v>
      </c>
      <c r="AH580">
        <v>31</v>
      </c>
      <c r="AI580">
        <v>31</v>
      </c>
      <c r="AJ580">
        <v>0</v>
      </c>
      <c r="AK580">
        <v>10</v>
      </c>
      <c r="AL580" t="s">
        <v>284</v>
      </c>
      <c r="AM580" t="s">
        <v>285</v>
      </c>
      <c r="AN580" t="s">
        <v>286</v>
      </c>
      <c r="AO580" t="s">
        <v>11610</v>
      </c>
      <c r="AP580" t="s">
        <v>11611</v>
      </c>
      <c r="AQ580" t="s">
        <v>74</v>
      </c>
      <c r="AR580" t="s">
        <v>11612</v>
      </c>
      <c r="AS580" t="s">
        <v>11613</v>
      </c>
      <c r="AT580" t="s">
        <v>3457</v>
      </c>
      <c r="AU580">
        <v>2019</v>
      </c>
      <c r="AV580">
        <v>199</v>
      </c>
      <c r="AW580" t="s">
        <v>74</v>
      </c>
      <c r="AX580" t="s">
        <v>74</v>
      </c>
      <c r="AY580" t="s">
        <v>74</v>
      </c>
      <c r="AZ580" t="s">
        <v>74</v>
      </c>
      <c r="BA580" t="s">
        <v>74</v>
      </c>
      <c r="BB580" t="s">
        <v>74</v>
      </c>
      <c r="BC580" t="s">
        <v>74</v>
      </c>
      <c r="BD580">
        <v>103217</v>
      </c>
      <c r="BE580" t="s">
        <v>11614</v>
      </c>
      <c r="BF580" t="str">
        <f>HYPERLINK("http://dx.doi.org/10.1016/j.jmarsys.2019.103217","http://dx.doi.org/10.1016/j.jmarsys.2019.103217")</f>
        <v>http://dx.doi.org/10.1016/j.jmarsys.2019.103217</v>
      </c>
      <c r="BG580" t="s">
        <v>74</v>
      </c>
      <c r="BH580" t="s">
        <v>74</v>
      </c>
      <c r="BI580">
        <v>22</v>
      </c>
      <c r="BJ580" t="s">
        <v>11615</v>
      </c>
      <c r="BK580" t="s">
        <v>294</v>
      </c>
      <c r="BL580" t="s">
        <v>11616</v>
      </c>
      <c r="BM580" t="s">
        <v>11617</v>
      </c>
      <c r="BN580" t="s">
        <v>74</v>
      </c>
      <c r="BO580" t="s">
        <v>4930</v>
      </c>
      <c r="BP580" t="s">
        <v>74</v>
      </c>
      <c r="BQ580" t="s">
        <v>74</v>
      </c>
      <c r="BR580" t="s">
        <v>108</v>
      </c>
      <c r="BS580" t="s">
        <v>11618</v>
      </c>
      <c r="BT580" t="str">
        <f>HYPERLINK("https%3A%2F%2Fwww.webofscience.com%2Fwos%2Fwoscc%2Ffull-record%2FWOS:000486133400006","View Full Record in Web of Science")</f>
        <v>View Full Record in Web of Science</v>
      </c>
    </row>
    <row r="581" spans="1:72" x14ac:dyDescent="0.15">
      <c r="A581" t="s">
        <v>133</v>
      </c>
      <c r="B581" t="s">
        <v>11619</v>
      </c>
      <c r="C581" t="s">
        <v>74</v>
      </c>
      <c r="D581" t="s">
        <v>74</v>
      </c>
      <c r="E581" t="s">
        <v>74</v>
      </c>
      <c r="F581" t="s">
        <v>11620</v>
      </c>
      <c r="G581" t="s">
        <v>74</v>
      </c>
      <c r="H581" t="s">
        <v>74</v>
      </c>
      <c r="I581" t="s">
        <v>11621</v>
      </c>
      <c r="J581" t="s">
        <v>11622</v>
      </c>
      <c r="K581" t="s">
        <v>74</v>
      </c>
      <c r="L581" t="s">
        <v>74</v>
      </c>
      <c r="M581" t="s">
        <v>80</v>
      </c>
      <c r="N581" t="s">
        <v>138</v>
      </c>
      <c r="O581" t="s">
        <v>74</v>
      </c>
      <c r="P581" t="s">
        <v>74</v>
      </c>
      <c r="Q581" t="s">
        <v>74</v>
      </c>
      <c r="R581" t="s">
        <v>74</v>
      </c>
      <c r="S581" t="s">
        <v>74</v>
      </c>
      <c r="T581" t="s">
        <v>11623</v>
      </c>
      <c r="U581" t="s">
        <v>11624</v>
      </c>
      <c r="V581" t="s">
        <v>11625</v>
      </c>
      <c r="W581" t="s">
        <v>11626</v>
      </c>
      <c r="X581" t="s">
        <v>11627</v>
      </c>
      <c r="Y581" t="s">
        <v>11628</v>
      </c>
      <c r="Z581" t="s">
        <v>11629</v>
      </c>
      <c r="AA581" t="s">
        <v>11630</v>
      </c>
      <c r="AB581" t="s">
        <v>74</v>
      </c>
      <c r="AC581" t="s">
        <v>11631</v>
      </c>
      <c r="AD581" t="s">
        <v>11632</v>
      </c>
      <c r="AE581" t="s">
        <v>11633</v>
      </c>
      <c r="AF581" t="s">
        <v>74</v>
      </c>
      <c r="AG581">
        <v>90</v>
      </c>
      <c r="AH581">
        <v>10</v>
      </c>
      <c r="AI581">
        <v>10</v>
      </c>
      <c r="AJ581">
        <v>1</v>
      </c>
      <c r="AK581">
        <v>18</v>
      </c>
      <c r="AL581" t="s">
        <v>4680</v>
      </c>
      <c r="AM581" t="s">
        <v>1730</v>
      </c>
      <c r="AN581" t="s">
        <v>4681</v>
      </c>
      <c r="AO581" t="s">
        <v>11634</v>
      </c>
      <c r="AP581" t="s">
        <v>11635</v>
      </c>
      <c r="AQ581" t="s">
        <v>74</v>
      </c>
      <c r="AR581" t="s">
        <v>11636</v>
      </c>
      <c r="AS581" t="s">
        <v>11637</v>
      </c>
      <c r="AT581" t="s">
        <v>3457</v>
      </c>
      <c r="AU581">
        <v>2019</v>
      </c>
      <c r="AV581">
        <v>103</v>
      </c>
      <c r="AW581" t="s">
        <v>74</v>
      </c>
      <c r="AX581" t="s">
        <v>74</v>
      </c>
      <c r="AY581" t="s">
        <v>74</v>
      </c>
      <c r="AZ581" t="s">
        <v>74</v>
      </c>
      <c r="BA581" t="s">
        <v>74</v>
      </c>
      <c r="BB581" t="s">
        <v>74</v>
      </c>
      <c r="BC581" t="s">
        <v>74</v>
      </c>
      <c r="BD581">
        <v>104171</v>
      </c>
      <c r="BE581" t="s">
        <v>11638</v>
      </c>
      <c r="BF581" t="str">
        <f>HYPERLINK("http://dx.doi.org/10.1016/j.cretres.2019.07.001","http://dx.doi.org/10.1016/j.cretres.2019.07.001")</f>
        <v>http://dx.doi.org/10.1016/j.cretres.2019.07.001</v>
      </c>
      <c r="BG581" t="s">
        <v>74</v>
      </c>
      <c r="BH581" t="s">
        <v>74</v>
      </c>
      <c r="BI581">
        <v>16</v>
      </c>
      <c r="BJ581" t="s">
        <v>9889</v>
      </c>
      <c r="BK581" t="s">
        <v>294</v>
      </c>
      <c r="BL581" t="s">
        <v>9889</v>
      </c>
      <c r="BM581" t="s">
        <v>11639</v>
      </c>
      <c r="BN581" t="s">
        <v>74</v>
      </c>
      <c r="BO581" t="s">
        <v>74</v>
      </c>
      <c r="BP581" t="s">
        <v>74</v>
      </c>
      <c r="BQ581" t="s">
        <v>74</v>
      </c>
      <c r="BR581" t="s">
        <v>108</v>
      </c>
      <c r="BS581" t="s">
        <v>11640</v>
      </c>
      <c r="BT581" t="str">
        <f>HYPERLINK("https%3A%2F%2Fwww.webofscience.com%2Fwos%2Fwoscc%2Ffull-record%2FWOS:000483643100008","View Full Record in Web of Science")</f>
        <v>View Full Record in Web of Science</v>
      </c>
    </row>
    <row r="582" spans="1:72" x14ac:dyDescent="0.15">
      <c r="A582" t="s">
        <v>133</v>
      </c>
      <c r="B582" t="s">
        <v>11641</v>
      </c>
      <c r="C582" t="s">
        <v>74</v>
      </c>
      <c r="D582" t="s">
        <v>74</v>
      </c>
      <c r="E582" t="s">
        <v>74</v>
      </c>
      <c r="F582" t="s">
        <v>11642</v>
      </c>
      <c r="G582" t="s">
        <v>74</v>
      </c>
      <c r="H582" t="s">
        <v>74</v>
      </c>
      <c r="I582" t="s">
        <v>11643</v>
      </c>
      <c r="J582" t="s">
        <v>11622</v>
      </c>
      <c r="K582" t="s">
        <v>74</v>
      </c>
      <c r="L582" t="s">
        <v>74</v>
      </c>
      <c r="M582" t="s">
        <v>80</v>
      </c>
      <c r="N582" t="s">
        <v>138</v>
      </c>
      <c r="O582" t="s">
        <v>74</v>
      </c>
      <c r="P582" t="s">
        <v>74</v>
      </c>
      <c r="Q582" t="s">
        <v>74</v>
      </c>
      <c r="R582" t="s">
        <v>74</v>
      </c>
      <c r="S582" t="s">
        <v>74</v>
      </c>
      <c r="T582" t="s">
        <v>11644</v>
      </c>
      <c r="U582" t="s">
        <v>11645</v>
      </c>
      <c r="V582" t="s">
        <v>11646</v>
      </c>
      <c r="W582" t="s">
        <v>11647</v>
      </c>
      <c r="X582" t="s">
        <v>11648</v>
      </c>
      <c r="Y582" t="s">
        <v>11649</v>
      </c>
      <c r="Z582" t="s">
        <v>11650</v>
      </c>
      <c r="AA582" t="s">
        <v>11651</v>
      </c>
      <c r="AB582" t="s">
        <v>11652</v>
      </c>
      <c r="AC582" t="s">
        <v>11653</v>
      </c>
      <c r="AD582" t="s">
        <v>11654</v>
      </c>
      <c r="AE582" t="s">
        <v>11655</v>
      </c>
      <c r="AF582" t="s">
        <v>74</v>
      </c>
      <c r="AG582">
        <v>73</v>
      </c>
      <c r="AH582">
        <v>4</v>
      </c>
      <c r="AI582">
        <v>4</v>
      </c>
      <c r="AJ582">
        <v>0</v>
      </c>
      <c r="AK582">
        <v>6</v>
      </c>
      <c r="AL582" t="s">
        <v>4680</v>
      </c>
      <c r="AM582" t="s">
        <v>1730</v>
      </c>
      <c r="AN582" t="s">
        <v>4681</v>
      </c>
      <c r="AO582" t="s">
        <v>11634</v>
      </c>
      <c r="AP582" t="s">
        <v>11635</v>
      </c>
      <c r="AQ582" t="s">
        <v>74</v>
      </c>
      <c r="AR582" t="s">
        <v>11636</v>
      </c>
      <c r="AS582" t="s">
        <v>11637</v>
      </c>
      <c r="AT582" t="s">
        <v>3457</v>
      </c>
      <c r="AU582">
        <v>2019</v>
      </c>
      <c r="AV582">
        <v>103</v>
      </c>
      <c r="AW582" t="s">
        <v>74</v>
      </c>
      <c r="AX582" t="s">
        <v>74</v>
      </c>
      <c r="AY582" t="s">
        <v>74</v>
      </c>
      <c r="AZ582" t="s">
        <v>74</v>
      </c>
      <c r="BA582" t="s">
        <v>74</v>
      </c>
      <c r="BB582" t="s">
        <v>74</v>
      </c>
      <c r="BC582" t="s">
        <v>74</v>
      </c>
      <c r="BD582">
        <v>104166</v>
      </c>
      <c r="BE582" t="s">
        <v>11656</v>
      </c>
      <c r="BF582" t="str">
        <f>HYPERLINK("http://dx.doi.org/10.1016/j.cretres.2019.06.012","http://dx.doi.org/10.1016/j.cretres.2019.06.012")</f>
        <v>http://dx.doi.org/10.1016/j.cretres.2019.06.012</v>
      </c>
      <c r="BG582" t="s">
        <v>74</v>
      </c>
      <c r="BH582" t="s">
        <v>74</v>
      </c>
      <c r="BI582">
        <v>11</v>
      </c>
      <c r="BJ582" t="s">
        <v>9889</v>
      </c>
      <c r="BK582" t="s">
        <v>294</v>
      </c>
      <c r="BL582" t="s">
        <v>9889</v>
      </c>
      <c r="BM582" t="s">
        <v>11639</v>
      </c>
      <c r="BN582" t="s">
        <v>74</v>
      </c>
      <c r="BO582" t="s">
        <v>1482</v>
      </c>
      <c r="BP582" t="s">
        <v>74</v>
      </c>
      <c r="BQ582" t="s">
        <v>74</v>
      </c>
      <c r="BR582" t="s">
        <v>108</v>
      </c>
      <c r="BS582" t="s">
        <v>11657</v>
      </c>
      <c r="BT582" t="str">
        <f>HYPERLINK("https%3A%2F%2Fwww.webofscience.com%2Fwos%2Fwoscc%2Ffull-record%2FWOS:000483643100007","View Full Record in Web of Science")</f>
        <v>View Full Record in Web of Science</v>
      </c>
    </row>
    <row r="583" spans="1:72" x14ac:dyDescent="0.15">
      <c r="A583" t="s">
        <v>133</v>
      </c>
      <c r="B583" t="s">
        <v>11658</v>
      </c>
      <c r="C583" t="s">
        <v>74</v>
      </c>
      <c r="D583" t="s">
        <v>74</v>
      </c>
      <c r="E583" t="s">
        <v>74</v>
      </c>
      <c r="F583" t="s">
        <v>11659</v>
      </c>
      <c r="G583" t="s">
        <v>74</v>
      </c>
      <c r="H583" t="s">
        <v>74</v>
      </c>
      <c r="I583" t="s">
        <v>11660</v>
      </c>
      <c r="J583" t="s">
        <v>617</v>
      </c>
      <c r="K583" t="s">
        <v>74</v>
      </c>
      <c r="L583" t="s">
        <v>74</v>
      </c>
      <c r="M583" t="s">
        <v>80</v>
      </c>
      <c r="N583" t="s">
        <v>138</v>
      </c>
      <c r="O583" t="s">
        <v>74</v>
      </c>
      <c r="P583" t="s">
        <v>74</v>
      </c>
      <c r="Q583" t="s">
        <v>74</v>
      </c>
      <c r="R583" t="s">
        <v>74</v>
      </c>
      <c r="S583" t="s">
        <v>74</v>
      </c>
      <c r="T583" t="s">
        <v>11661</v>
      </c>
      <c r="U583" t="s">
        <v>11662</v>
      </c>
      <c r="V583" t="s">
        <v>11663</v>
      </c>
      <c r="W583" t="s">
        <v>11664</v>
      </c>
      <c r="X583" t="s">
        <v>11665</v>
      </c>
      <c r="Y583" t="s">
        <v>11666</v>
      </c>
      <c r="Z583" t="s">
        <v>11667</v>
      </c>
      <c r="AA583" t="s">
        <v>74</v>
      </c>
      <c r="AB583" t="s">
        <v>11668</v>
      </c>
      <c r="AC583" t="s">
        <v>11669</v>
      </c>
      <c r="AD583" t="s">
        <v>74</v>
      </c>
      <c r="AE583" t="s">
        <v>11670</v>
      </c>
      <c r="AF583" t="s">
        <v>74</v>
      </c>
      <c r="AG583">
        <v>41</v>
      </c>
      <c r="AH583">
        <v>5</v>
      </c>
      <c r="AI583">
        <v>7</v>
      </c>
      <c r="AJ583">
        <v>0</v>
      </c>
      <c r="AK583">
        <v>8</v>
      </c>
      <c r="AL583" t="s">
        <v>605</v>
      </c>
      <c r="AM583" t="s">
        <v>606</v>
      </c>
      <c r="AN583" t="s">
        <v>629</v>
      </c>
      <c r="AO583" t="s">
        <v>630</v>
      </c>
      <c r="AP583" t="s">
        <v>631</v>
      </c>
      <c r="AQ583" t="s">
        <v>74</v>
      </c>
      <c r="AR583" t="s">
        <v>632</v>
      </c>
      <c r="AS583" t="s">
        <v>633</v>
      </c>
      <c r="AT583" t="s">
        <v>3457</v>
      </c>
      <c r="AU583">
        <v>2019</v>
      </c>
      <c r="AV583">
        <v>93</v>
      </c>
      <c r="AW583">
        <v>6</v>
      </c>
      <c r="AX583" t="s">
        <v>74</v>
      </c>
      <c r="AY583" t="s">
        <v>74</v>
      </c>
      <c r="AZ583" t="s">
        <v>74</v>
      </c>
      <c r="BA583" t="s">
        <v>74</v>
      </c>
      <c r="BB583">
        <v>732</v>
      </c>
      <c r="BC583">
        <v>737</v>
      </c>
      <c r="BD583" t="s">
        <v>11671</v>
      </c>
      <c r="BE583" t="s">
        <v>11672</v>
      </c>
      <c r="BF583" t="str">
        <f>HYPERLINK("http://dx.doi.org/10.1017/S0022149X18000858","http://dx.doi.org/10.1017/S0022149X18000858")</f>
        <v>http://dx.doi.org/10.1017/S0022149X18000858</v>
      </c>
      <c r="BG583" t="s">
        <v>74</v>
      </c>
      <c r="BH583" t="s">
        <v>74</v>
      </c>
      <c r="BI583">
        <v>6</v>
      </c>
      <c r="BJ583" t="s">
        <v>636</v>
      </c>
      <c r="BK583" t="s">
        <v>294</v>
      </c>
      <c r="BL583" t="s">
        <v>636</v>
      </c>
      <c r="BM583" t="s">
        <v>11673</v>
      </c>
      <c r="BN583">
        <v>30270818</v>
      </c>
      <c r="BO583" t="s">
        <v>74</v>
      </c>
      <c r="BP583" t="s">
        <v>74</v>
      </c>
      <c r="BQ583" t="s">
        <v>74</v>
      </c>
      <c r="BR583" t="s">
        <v>108</v>
      </c>
      <c r="BS583" t="s">
        <v>11674</v>
      </c>
      <c r="BT583" t="str">
        <f>HYPERLINK("https%3A%2F%2Fwww.webofscience.com%2Fwos%2Fwoscc%2Ffull-record%2FWOS:000483691900009","View Full Record in Web of Science")</f>
        <v>View Full Record in Web of Science</v>
      </c>
    </row>
    <row r="584" spans="1:72" x14ac:dyDescent="0.15">
      <c r="A584" t="s">
        <v>133</v>
      </c>
      <c r="B584" t="s">
        <v>11675</v>
      </c>
      <c r="C584" t="s">
        <v>74</v>
      </c>
      <c r="D584" t="s">
        <v>74</v>
      </c>
      <c r="E584" t="s">
        <v>74</v>
      </c>
      <c r="F584" t="s">
        <v>11676</v>
      </c>
      <c r="G584" t="s">
        <v>74</v>
      </c>
      <c r="H584" t="s">
        <v>74</v>
      </c>
      <c r="I584" t="s">
        <v>11677</v>
      </c>
      <c r="J584" t="s">
        <v>11678</v>
      </c>
      <c r="K584" t="s">
        <v>74</v>
      </c>
      <c r="L584" t="s">
        <v>74</v>
      </c>
      <c r="M584" t="s">
        <v>80</v>
      </c>
      <c r="N584" t="s">
        <v>138</v>
      </c>
      <c r="O584" t="s">
        <v>74</v>
      </c>
      <c r="P584" t="s">
        <v>74</v>
      </c>
      <c r="Q584" t="s">
        <v>74</v>
      </c>
      <c r="R584" t="s">
        <v>74</v>
      </c>
      <c r="S584" t="s">
        <v>74</v>
      </c>
      <c r="T584" t="s">
        <v>11679</v>
      </c>
      <c r="U584" t="s">
        <v>11680</v>
      </c>
      <c r="V584" t="s">
        <v>11681</v>
      </c>
      <c r="W584" t="s">
        <v>11682</v>
      </c>
      <c r="X584" t="s">
        <v>11683</v>
      </c>
      <c r="Y584" t="s">
        <v>11684</v>
      </c>
      <c r="Z584" t="s">
        <v>11685</v>
      </c>
      <c r="AA584" t="s">
        <v>11686</v>
      </c>
      <c r="AB584" t="s">
        <v>11687</v>
      </c>
      <c r="AC584" t="s">
        <v>11688</v>
      </c>
      <c r="AD584" t="s">
        <v>11689</v>
      </c>
      <c r="AE584" t="s">
        <v>11690</v>
      </c>
      <c r="AF584" t="s">
        <v>74</v>
      </c>
      <c r="AG584">
        <v>86</v>
      </c>
      <c r="AH584">
        <v>11</v>
      </c>
      <c r="AI584">
        <v>14</v>
      </c>
      <c r="AJ584">
        <v>3</v>
      </c>
      <c r="AK584">
        <v>170</v>
      </c>
      <c r="AL584" t="s">
        <v>284</v>
      </c>
      <c r="AM584" t="s">
        <v>285</v>
      </c>
      <c r="AN584" t="s">
        <v>286</v>
      </c>
      <c r="AO584" t="s">
        <v>11691</v>
      </c>
      <c r="AP584" t="s">
        <v>11692</v>
      </c>
      <c r="AQ584" t="s">
        <v>74</v>
      </c>
      <c r="AR584" t="s">
        <v>11678</v>
      </c>
      <c r="AS584" t="s">
        <v>11693</v>
      </c>
      <c r="AT584" t="s">
        <v>10331</v>
      </c>
      <c r="AU584">
        <v>2019</v>
      </c>
      <c r="AV584">
        <v>353</v>
      </c>
      <c r="AW584" t="s">
        <v>74</v>
      </c>
      <c r="AX584" t="s">
        <v>74</v>
      </c>
      <c r="AY584" t="s">
        <v>74</v>
      </c>
      <c r="AZ584" t="s">
        <v>74</v>
      </c>
      <c r="BA584" t="s">
        <v>74</v>
      </c>
      <c r="BB584">
        <v>144</v>
      </c>
      <c r="BC584">
        <v>151</v>
      </c>
      <c r="BD584" t="s">
        <v>74</v>
      </c>
      <c r="BE584" t="s">
        <v>11694</v>
      </c>
      <c r="BF584" t="str">
        <f>HYPERLINK("http://dx.doi.org/10.1016/j.geoderma.2019.06.033","http://dx.doi.org/10.1016/j.geoderma.2019.06.033")</f>
        <v>http://dx.doi.org/10.1016/j.geoderma.2019.06.033</v>
      </c>
      <c r="BG584" t="s">
        <v>74</v>
      </c>
      <c r="BH584" t="s">
        <v>74</v>
      </c>
      <c r="BI584">
        <v>8</v>
      </c>
      <c r="BJ584" t="s">
        <v>11695</v>
      </c>
      <c r="BK584" t="s">
        <v>294</v>
      </c>
      <c r="BL584" t="s">
        <v>11696</v>
      </c>
      <c r="BM584" t="s">
        <v>11697</v>
      </c>
      <c r="BN584" t="s">
        <v>74</v>
      </c>
      <c r="BO584" t="s">
        <v>741</v>
      </c>
      <c r="BP584" t="s">
        <v>74</v>
      </c>
      <c r="BQ584" t="s">
        <v>74</v>
      </c>
      <c r="BR584" t="s">
        <v>108</v>
      </c>
      <c r="BS584" t="s">
        <v>11698</v>
      </c>
      <c r="BT584" t="str">
        <f>HYPERLINK("https%3A%2F%2Fwww.webofscience.com%2Fwos%2Fwoscc%2Ffull-record%2FWOS:000482513900015","View Full Record in Web of Science")</f>
        <v>View Full Record in Web of Science</v>
      </c>
    </row>
    <row r="585" spans="1:72" x14ac:dyDescent="0.15">
      <c r="A585" t="s">
        <v>133</v>
      </c>
      <c r="B585" t="s">
        <v>11699</v>
      </c>
      <c r="C585" t="s">
        <v>74</v>
      </c>
      <c r="D585" t="s">
        <v>74</v>
      </c>
      <c r="E585" t="s">
        <v>74</v>
      </c>
      <c r="F585" t="s">
        <v>11700</v>
      </c>
      <c r="G585" t="s">
        <v>74</v>
      </c>
      <c r="H585" t="s">
        <v>74</v>
      </c>
      <c r="I585" t="s">
        <v>11701</v>
      </c>
      <c r="J585" t="s">
        <v>1073</v>
      </c>
      <c r="K585" t="s">
        <v>74</v>
      </c>
      <c r="L585" t="s">
        <v>74</v>
      </c>
      <c r="M585" t="s">
        <v>80</v>
      </c>
      <c r="N585" t="s">
        <v>138</v>
      </c>
      <c r="O585" t="s">
        <v>74</v>
      </c>
      <c r="P585" t="s">
        <v>74</v>
      </c>
      <c r="Q585" t="s">
        <v>74</v>
      </c>
      <c r="R585" t="s">
        <v>74</v>
      </c>
      <c r="S585" t="s">
        <v>74</v>
      </c>
      <c r="T585" t="s">
        <v>11702</v>
      </c>
      <c r="U585" t="s">
        <v>11703</v>
      </c>
      <c r="V585" t="s">
        <v>11704</v>
      </c>
      <c r="W585" t="s">
        <v>11705</v>
      </c>
      <c r="X585" t="s">
        <v>11706</v>
      </c>
      <c r="Y585" t="s">
        <v>11707</v>
      </c>
      <c r="Z585" t="s">
        <v>11708</v>
      </c>
      <c r="AA585" t="s">
        <v>11709</v>
      </c>
      <c r="AB585" t="s">
        <v>11710</v>
      </c>
      <c r="AC585" t="s">
        <v>11711</v>
      </c>
      <c r="AD585" t="s">
        <v>11712</v>
      </c>
      <c r="AE585" t="s">
        <v>11713</v>
      </c>
      <c r="AF585" t="s">
        <v>74</v>
      </c>
      <c r="AG585">
        <v>49</v>
      </c>
      <c r="AH585">
        <v>7</v>
      </c>
      <c r="AI585">
        <v>7</v>
      </c>
      <c r="AJ585">
        <v>0</v>
      </c>
      <c r="AK585">
        <v>23</v>
      </c>
      <c r="AL585" t="s">
        <v>284</v>
      </c>
      <c r="AM585" t="s">
        <v>285</v>
      </c>
      <c r="AN585" t="s">
        <v>286</v>
      </c>
      <c r="AO585" t="s">
        <v>1086</v>
      </c>
      <c r="AP585" t="s">
        <v>1087</v>
      </c>
      <c r="AQ585" t="s">
        <v>74</v>
      </c>
      <c r="AR585" t="s">
        <v>1088</v>
      </c>
      <c r="AS585" t="s">
        <v>1089</v>
      </c>
      <c r="AT585" t="s">
        <v>10331</v>
      </c>
      <c r="AU585">
        <v>2019</v>
      </c>
      <c r="AV585">
        <v>689</v>
      </c>
      <c r="AW585" t="s">
        <v>74</v>
      </c>
      <c r="AX585" t="s">
        <v>74</v>
      </c>
      <c r="AY585" t="s">
        <v>74</v>
      </c>
      <c r="AZ585" t="s">
        <v>74</v>
      </c>
      <c r="BA585" t="s">
        <v>74</v>
      </c>
      <c r="BB585">
        <v>390</v>
      </c>
      <c r="BC585">
        <v>397</v>
      </c>
      <c r="BD585" t="s">
        <v>74</v>
      </c>
      <c r="BE585" t="s">
        <v>11714</v>
      </c>
      <c r="BF585" t="str">
        <f>HYPERLINK("http://dx.doi.org/10.1016/j.scitotenv.2019.06.389","http://dx.doi.org/10.1016/j.scitotenv.2019.06.389")</f>
        <v>http://dx.doi.org/10.1016/j.scitotenv.2019.06.389</v>
      </c>
      <c r="BG585" t="s">
        <v>74</v>
      </c>
      <c r="BH585" t="s">
        <v>74</v>
      </c>
      <c r="BI585">
        <v>8</v>
      </c>
      <c r="BJ585" t="s">
        <v>387</v>
      </c>
      <c r="BK585" t="s">
        <v>294</v>
      </c>
      <c r="BL585" t="s">
        <v>388</v>
      </c>
      <c r="BM585" t="s">
        <v>11715</v>
      </c>
      <c r="BN585">
        <v>31277006</v>
      </c>
      <c r="BO585" t="s">
        <v>74</v>
      </c>
      <c r="BP585" t="s">
        <v>74</v>
      </c>
      <c r="BQ585" t="s">
        <v>74</v>
      </c>
      <c r="BR585" t="s">
        <v>108</v>
      </c>
      <c r="BS585" t="s">
        <v>11716</v>
      </c>
      <c r="BT585" t="str">
        <f>HYPERLINK("https%3A%2F%2Fwww.webofscience.com%2Fwos%2Fwoscc%2Ffull-record%2FWOS:000482379400037","View Full Record in Web of Science")</f>
        <v>View Full Record in Web of Science</v>
      </c>
    </row>
    <row r="586" spans="1:72" x14ac:dyDescent="0.15">
      <c r="A586" t="s">
        <v>133</v>
      </c>
      <c r="B586" t="s">
        <v>11717</v>
      </c>
      <c r="C586" t="s">
        <v>74</v>
      </c>
      <c r="D586" t="s">
        <v>74</v>
      </c>
      <c r="E586" t="s">
        <v>74</v>
      </c>
      <c r="F586" t="s">
        <v>11718</v>
      </c>
      <c r="G586" t="s">
        <v>74</v>
      </c>
      <c r="H586" t="s">
        <v>74</v>
      </c>
      <c r="I586" t="s">
        <v>11719</v>
      </c>
      <c r="J586" t="s">
        <v>1073</v>
      </c>
      <c r="K586" t="s">
        <v>74</v>
      </c>
      <c r="L586" t="s">
        <v>74</v>
      </c>
      <c r="M586" t="s">
        <v>80</v>
      </c>
      <c r="N586" t="s">
        <v>138</v>
      </c>
      <c r="O586" t="s">
        <v>74</v>
      </c>
      <c r="P586" t="s">
        <v>74</v>
      </c>
      <c r="Q586" t="s">
        <v>74</v>
      </c>
      <c r="R586" t="s">
        <v>74</v>
      </c>
      <c r="S586" t="s">
        <v>74</v>
      </c>
      <c r="T586" t="s">
        <v>11720</v>
      </c>
      <c r="U586" t="s">
        <v>11721</v>
      </c>
      <c r="V586" t="s">
        <v>11722</v>
      </c>
      <c r="W586" t="s">
        <v>11723</v>
      </c>
      <c r="X586" t="s">
        <v>11724</v>
      </c>
      <c r="Y586" t="s">
        <v>11725</v>
      </c>
      <c r="Z586" t="s">
        <v>11726</v>
      </c>
      <c r="AA586" t="s">
        <v>11727</v>
      </c>
      <c r="AB586" t="s">
        <v>11728</v>
      </c>
      <c r="AC586" t="s">
        <v>11729</v>
      </c>
      <c r="AD586" t="s">
        <v>11730</v>
      </c>
      <c r="AE586" t="s">
        <v>11731</v>
      </c>
      <c r="AF586" t="s">
        <v>74</v>
      </c>
      <c r="AG586">
        <v>84</v>
      </c>
      <c r="AH586">
        <v>3</v>
      </c>
      <c r="AI586">
        <v>3</v>
      </c>
      <c r="AJ586">
        <v>4</v>
      </c>
      <c r="AK586">
        <v>53</v>
      </c>
      <c r="AL586" t="s">
        <v>284</v>
      </c>
      <c r="AM586" t="s">
        <v>285</v>
      </c>
      <c r="AN586" t="s">
        <v>286</v>
      </c>
      <c r="AO586" t="s">
        <v>1086</v>
      </c>
      <c r="AP586" t="s">
        <v>1087</v>
      </c>
      <c r="AQ586" t="s">
        <v>74</v>
      </c>
      <c r="AR586" t="s">
        <v>1088</v>
      </c>
      <c r="AS586" t="s">
        <v>1089</v>
      </c>
      <c r="AT586" t="s">
        <v>10331</v>
      </c>
      <c r="AU586">
        <v>2019</v>
      </c>
      <c r="AV586">
        <v>689</v>
      </c>
      <c r="AW586" t="s">
        <v>74</v>
      </c>
      <c r="AX586" t="s">
        <v>74</v>
      </c>
      <c r="AY586" t="s">
        <v>74</v>
      </c>
      <c r="AZ586" t="s">
        <v>74</v>
      </c>
      <c r="BA586" t="s">
        <v>74</v>
      </c>
      <c r="BB586">
        <v>716</v>
      </c>
      <c r="BC586">
        <v>724</v>
      </c>
      <c r="BD586" t="s">
        <v>74</v>
      </c>
      <c r="BE586" t="s">
        <v>11732</v>
      </c>
      <c r="BF586" t="str">
        <f>HYPERLINK("http://dx.doi.org/10.1016/j.scitotenv.2019.06.505","http://dx.doi.org/10.1016/j.scitotenv.2019.06.505")</f>
        <v>http://dx.doi.org/10.1016/j.scitotenv.2019.06.505</v>
      </c>
      <c r="BG586" t="s">
        <v>74</v>
      </c>
      <c r="BH586" t="s">
        <v>74</v>
      </c>
      <c r="BI586">
        <v>9</v>
      </c>
      <c r="BJ586" t="s">
        <v>387</v>
      </c>
      <c r="BK586" t="s">
        <v>294</v>
      </c>
      <c r="BL586" t="s">
        <v>388</v>
      </c>
      <c r="BM586" t="s">
        <v>11715</v>
      </c>
      <c r="BN586">
        <v>31280153</v>
      </c>
      <c r="BO586" t="s">
        <v>74</v>
      </c>
      <c r="BP586" t="s">
        <v>74</v>
      </c>
      <c r="BQ586" t="s">
        <v>74</v>
      </c>
      <c r="BR586" t="s">
        <v>108</v>
      </c>
      <c r="BS586" t="s">
        <v>11733</v>
      </c>
      <c r="BT586" t="str">
        <f>HYPERLINK("https%3A%2F%2Fwww.webofscience.com%2Fwos%2Fwoscc%2Ffull-record%2FWOS:000482379400069","View Full Record in Web of Science")</f>
        <v>View Full Record in Web of Science</v>
      </c>
    </row>
    <row r="587" spans="1:72" x14ac:dyDescent="0.15">
      <c r="A587" t="s">
        <v>133</v>
      </c>
      <c r="B587" t="s">
        <v>11734</v>
      </c>
      <c r="C587" t="s">
        <v>74</v>
      </c>
      <c r="D587" t="s">
        <v>74</v>
      </c>
      <c r="E587" t="s">
        <v>74</v>
      </c>
      <c r="F587" t="s">
        <v>11735</v>
      </c>
      <c r="G587" t="s">
        <v>74</v>
      </c>
      <c r="H587" t="s">
        <v>74</v>
      </c>
      <c r="I587" t="s">
        <v>11736</v>
      </c>
      <c r="J587" t="s">
        <v>8625</v>
      </c>
      <c r="K587" t="s">
        <v>74</v>
      </c>
      <c r="L587" t="s">
        <v>74</v>
      </c>
      <c r="M587" t="s">
        <v>80</v>
      </c>
      <c r="N587" t="s">
        <v>138</v>
      </c>
      <c r="O587" t="s">
        <v>74</v>
      </c>
      <c r="P587" t="s">
        <v>74</v>
      </c>
      <c r="Q587" t="s">
        <v>74</v>
      </c>
      <c r="R587" t="s">
        <v>74</v>
      </c>
      <c r="S587" t="s">
        <v>74</v>
      </c>
      <c r="T587" t="s">
        <v>74</v>
      </c>
      <c r="U587" t="s">
        <v>11737</v>
      </c>
      <c r="V587" t="s">
        <v>11738</v>
      </c>
      <c r="W587" t="s">
        <v>11739</v>
      </c>
      <c r="X587" t="s">
        <v>11740</v>
      </c>
      <c r="Y587" t="s">
        <v>11741</v>
      </c>
      <c r="Z587" t="s">
        <v>11742</v>
      </c>
      <c r="AA587" t="s">
        <v>11743</v>
      </c>
      <c r="AB587" t="s">
        <v>11744</v>
      </c>
      <c r="AC587" t="s">
        <v>11745</v>
      </c>
      <c r="AD587" t="s">
        <v>11746</v>
      </c>
      <c r="AE587" t="s">
        <v>11747</v>
      </c>
      <c r="AF587" t="s">
        <v>74</v>
      </c>
      <c r="AG587">
        <v>61</v>
      </c>
      <c r="AH587">
        <v>76</v>
      </c>
      <c r="AI587">
        <v>89</v>
      </c>
      <c r="AJ587">
        <v>10</v>
      </c>
      <c r="AK587">
        <v>114</v>
      </c>
      <c r="AL587" t="s">
        <v>2038</v>
      </c>
      <c r="AM587" t="s">
        <v>1730</v>
      </c>
      <c r="AN587" t="s">
        <v>2039</v>
      </c>
      <c r="AO587" t="s">
        <v>8631</v>
      </c>
      <c r="AP587" t="s">
        <v>8632</v>
      </c>
      <c r="AQ587" t="s">
        <v>74</v>
      </c>
      <c r="AR587" t="s">
        <v>8625</v>
      </c>
      <c r="AS587" t="s">
        <v>8633</v>
      </c>
      <c r="AT587" t="s">
        <v>11748</v>
      </c>
      <c r="AU587">
        <v>2019</v>
      </c>
      <c r="AV587">
        <v>574</v>
      </c>
      <c r="AW587">
        <v>7780</v>
      </c>
      <c r="AX587" t="s">
        <v>74</v>
      </c>
      <c r="AY587" t="s">
        <v>74</v>
      </c>
      <c r="AZ587" t="s">
        <v>74</v>
      </c>
      <c r="BA587" t="s">
        <v>74</v>
      </c>
      <c r="BB587">
        <v>663</v>
      </c>
      <c r="BC587" t="s">
        <v>847</v>
      </c>
      <c r="BD587" t="s">
        <v>74</v>
      </c>
      <c r="BE587" t="s">
        <v>11749</v>
      </c>
      <c r="BF587" t="str">
        <f>HYPERLINK("http://dx.doi.org/10.1038/s41586-019-1692-3","http://dx.doi.org/10.1038/s41586-019-1692-3")</f>
        <v>http://dx.doi.org/10.1038/s41586-019-1692-3</v>
      </c>
      <c r="BG587" t="s">
        <v>74</v>
      </c>
      <c r="BH587" t="s">
        <v>74</v>
      </c>
      <c r="BI587">
        <v>19</v>
      </c>
      <c r="BJ587" t="s">
        <v>1245</v>
      </c>
      <c r="BK587" t="s">
        <v>294</v>
      </c>
      <c r="BL587" t="s">
        <v>1246</v>
      </c>
      <c r="BM587" t="s">
        <v>11750</v>
      </c>
      <c r="BN587">
        <v>31666720</v>
      </c>
      <c r="BO587" t="s">
        <v>1482</v>
      </c>
      <c r="BP587" t="s">
        <v>74</v>
      </c>
      <c r="BQ587" t="s">
        <v>74</v>
      </c>
      <c r="BR587" t="s">
        <v>108</v>
      </c>
      <c r="BS587" t="s">
        <v>11751</v>
      </c>
      <c r="BT587" t="str">
        <f>HYPERLINK("https%3A%2F%2Fwww.webofscience.com%2Fwos%2Fwoscc%2Ffull-record%2FWOS:000493807800040","View Full Record in Web of Science")</f>
        <v>View Full Record in Web of Science</v>
      </c>
    </row>
    <row r="588" spans="1:72" x14ac:dyDescent="0.15">
      <c r="A588" t="s">
        <v>133</v>
      </c>
      <c r="B588" t="s">
        <v>11752</v>
      </c>
      <c r="C588" t="s">
        <v>74</v>
      </c>
      <c r="D588" t="s">
        <v>74</v>
      </c>
      <c r="E588" t="s">
        <v>74</v>
      </c>
      <c r="F588" t="s">
        <v>11753</v>
      </c>
      <c r="G588" t="s">
        <v>74</v>
      </c>
      <c r="H588" t="s">
        <v>74</v>
      </c>
      <c r="I588" t="s">
        <v>11754</v>
      </c>
      <c r="J588" t="s">
        <v>1252</v>
      </c>
      <c r="K588" t="s">
        <v>74</v>
      </c>
      <c r="L588" t="s">
        <v>74</v>
      </c>
      <c r="M588" t="s">
        <v>80</v>
      </c>
      <c r="N588" t="s">
        <v>138</v>
      </c>
      <c r="O588" t="s">
        <v>74</v>
      </c>
      <c r="P588" t="s">
        <v>74</v>
      </c>
      <c r="Q588" t="s">
        <v>74</v>
      </c>
      <c r="R588" t="s">
        <v>74</v>
      </c>
      <c r="S588" t="s">
        <v>74</v>
      </c>
      <c r="T588" t="s">
        <v>74</v>
      </c>
      <c r="U588" t="s">
        <v>11755</v>
      </c>
      <c r="V588" t="s">
        <v>11756</v>
      </c>
      <c r="W588" t="s">
        <v>11757</v>
      </c>
      <c r="X588" t="s">
        <v>11758</v>
      </c>
      <c r="Y588" t="s">
        <v>11759</v>
      </c>
      <c r="Z588" t="s">
        <v>11760</v>
      </c>
      <c r="AA588" t="s">
        <v>11761</v>
      </c>
      <c r="AB588" t="s">
        <v>11762</v>
      </c>
      <c r="AC588" t="s">
        <v>11763</v>
      </c>
      <c r="AD588" t="s">
        <v>11764</v>
      </c>
      <c r="AE588" t="s">
        <v>11765</v>
      </c>
      <c r="AF588" t="s">
        <v>74</v>
      </c>
      <c r="AG588">
        <v>55</v>
      </c>
      <c r="AH588">
        <v>8</v>
      </c>
      <c r="AI588">
        <v>8</v>
      </c>
      <c r="AJ588">
        <v>0</v>
      </c>
      <c r="AK588">
        <v>4</v>
      </c>
      <c r="AL588" t="s">
        <v>1264</v>
      </c>
      <c r="AM588" t="s">
        <v>1265</v>
      </c>
      <c r="AN588" t="s">
        <v>1266</v>
      </c>
      <c r="AO588" t="s">
        <v>74</v>
      </c>
      <c r="AP588" t="s">
        <v>1267</v>
      </c>
      <c r="AQ588" t="s">
        <v>74</v>
      </c>
      <c r="AR588" t="s">
        <v>1268</v>
      </c>
      <c r="AS588" t="s">
        <v>1269</v>
      </c>
      <c r="AT588" t="s">
        <v>6987</v>
      </c>
      <c r="AU588">
        <v>2019</v>
      </c>
      <c r="AV588">
        <v>6</v>
      </c>
      <c r="AW588">
        <v>10</v>
      </c>
      <c r="AX588" t="s">
        <v>74</v>
      </c>
      <c r="AY588" t="s">
        <v>74</v>
      </c>
      <c r="AZ588" t="s">
        <v>74</v>
      </c>
      <c r="BA588" t="s">
        <v>74</v>
      </c>
      <c r="BB588">
        <v>2016</v>
      </c>
      <c r="BC588">
        <v>2030</v>
      </c>
      <c r="BD588" t="s">
        <v>74</v>
      </c>
      <c r="BE588" t="s">
        <v>11766</v>
      </c>
      <c r="BF588" t="str">
        <f>HYPERLINK("http://dx.doi.org/10.1029/2019EA000727","http://dx.doi.org/10.1029/2019EA000727")</f>
        <v>http://dx.doi.org/10.1029/2019EA000727</v>
      </c>
      <c r="BG588" t="s">
        <v>74</v>
      </c>
      <c r="BH588" t="s">
        <v>11767</v>
      </c>
      <c r="BI588">
        <v>15</v>
      </c>
      <c r="BJ588" t="s">
        <v>1273</v>
      </c>
      <c r="BK588" t="s">
        <v>294</v>
      </c>
      <c r="BL588" t="s">
        <v>1274</v>
      </c>
      <c r="BM588" t="s">
        <v>11768</v>
      </c>
      <c r="BN588" t="s">
        <v>74</v>
      </c>
      <c r="BO588" t="s">
        <v>74</v>
      </c>
      <c r="BP588" t="s">
        <v>74</v>
      </c>
      <c r="BQ588" t="s">
        <v>74</v>
      </c>
      <c r="BR588" t="s">
        <v>108</v>
      </c>
      <c r="BS588" t="s">
        <v>11769</v>
      </c>
      <c r="BT588" t="str">
        <f>HYPERLINK("https%3A%2F%2Fwww.webofscience.com%2Fwos%2Fwoscc%2Ffull-record%2FWOS:000493423200001","View Full Record in Web of Science")</f>
        <v>View Full Record in Web of Science</v>
      </c>
    </row>
    <row r="589" spans="1:72" x14ac:dyDescent="0.15">
      <c r="A589" t="s">
        <v>133</v>
      </c>
      <c r="B589" t="s">
        <v>11770</v>
      </c>
      <c r="C589" t="s">
        <v>74</v>
      </c>
      <c r="D589" t="s">
        <v>74</v>
      </c>
      <c r="E589" t="s">
        <v>74</v>
      </c>
      <c r="F589" t="s">
        <v>11771</v>
      </c>
      <c r="G589" t="s">
        <v>74</v>
      </c>
      <c r="H589" t="s">
        <v>74</v>
      </c>
      <c r="I589" t="s">
        <v>11772</v>
      </c>
      <c r="J589" t="s">
        <v>8625</v>
      </c>
      <c r="K589" t="s">
        <v>74</v>
      </c>
      <c r="L589" t="s">
        <v>74</v>
      </c>
      <c r="M589" t="s">
        <v>80</v>
      </c>
      <c r="N589" t="s">
        <v>1333</v>
      </c>
      <c r="O589" t="s">
        <v>74</v>
      </c>
      <c r="P589" t="s">
        <v>74</v>
      </c>
      <c r="Q589" t="s">
        <v>74</v>
      </c>
      <c r="R589" t="s">
        <v>74</v>
      </c>
      <c r="S589" t="s">
        <v>74</v>
      </c>
      <c r="T589" t="s">
        <v>74</v>
      </c>
      <c r="U589" t="s">
        <v>11773</v>
      </c>
      <c r="V589" t="s">
        <v>11774</v>
      </c>
      <c r="W589" t="s">
        <v>11775</v>
      </c>
      <c r="X589" t="s">
        <v>9127</v>
      </c>
      <c r="Y589" t="s">
        <v>11776</v>
      </c>
      <c r="Z589" t="s">
        <v>11777</v>
      </c>
      <c r="AA589" t="s">
        <v>11778</v>
      </c>
      <c r="AB589" t="s">
        <v>11779</v>
      </c>
      <c r="AC589" t="s">
        <v>74</v>
      </c>
      <c r="AD589" t="s">
        <v>74</v>
      </c>
      <c r="AE589" t="s">
        <v>74</v>
      </c>
      <c r="AF589" t="s">
        <v>74</v>
      </c>
      <c r="AG589">
        <v>9</v>
      </c>
      <c r="AH589">
        <v>0</v>
      </c>
      <c r="AI589">
        <v>0</v>
      </c>
      <c r="AJ589">
        <v>0</v>
      </c>
      <c r="AK589">
        <v>8</v>
      </c>
      <c r="AL589" t="s">
        <v>2038</v>
      </c>
      <c r="AM589" t="s">
        <v>1730</v>
      </c>
      <c r="AN589" t="s">
        <v>2039</v>
      </c>
      <c r="AO589" t="s">
        <v>8631</v>
      </c>
      <c r="AP589" t="s">
        <v>8632</v>
      </c>
      <c r="AQ589" t="s">
        <v>74</v>
      </c>
      <c r="AR589" t="s">
        <v>8625</v>
      </c>
      <c r="AS589" t="s">
        <v>8633</v>
      </c>
      <c r="AT589" t="s">
        <v>11748</v>
      </c>
      <c r="AU589">
        <v>2019</v>
      </c>
      <c r="AV589">
        <v>574</v>
      </c>
      <c r="AW589">
        <v>7780</v>
      </c>
      <c r="AX589" t="s">
        <v>74</v>
      </c>
      <c r="AY589" t="s">
        <v>74</v>
      </c>
      <c r="AZ589" t="s">
        <v>74</v>
      </c>
      <c r="BA589" t="s">
        <v>74</v>
      </c>
      <c r="BB589">
        <v>636</v>
      </c>
      <c r="BC589">
        <v>637</v>
      </c>
      <c r="BD589" t="s">
        <v>74</v>
      </c>
      <c r="BE589" t="s">
        <v>74</v>
      </c>
      <c r="BF589" t="s">
        <v>74</v>
      </c>
      <c r="BG589" t="s">
        <v>74</v>
      </c>
      <c r="BH589" t="s">
        <v>74</v>
      </c>
      <c r="BI589">
        <v>2</v>
      </c>
      <c r="BJ589" t="s">
        <v>1245</v>
      </c>
      <c r="BK589" t="s">
        <v>360</v>
      </c>
      <c r="BL589" t="s">
        <v>1246</v>
      </c>
      <c r="BM589" t="s">
        <v>11750</v>
      </c>
      <c r="BN589">
        <v>31666719</v>
      </c>
      <c r="BO589" t="s">
        <v>666</v>
      </c>
      <c r="BP589" t="s">
        <v>74</v>
      </c>
      <c r="BQ589" t="s">
        <v>74</v>
      </c>
      <c r="BR589" t="s">
        <v>108</v>
      </c>
      <c r="BS589" t="s">
        <v>11780</v>
      </c>
      <c r="BT589" t="str">
        <f>HYPERLINK("https%3A%2F%2Fwww.webofscience.com%2Fwos%2Fwoscc%2Ffull-record%2FWOS:000493807800032","View Full Record in Web of Science")</f>
        <v>View Full Record in Web of Science</v>
      </c>
    </row>
    <row r="590" spans="1:72" x14ac:dyDescent="0.15">
      <c r="A590" t="s">
        <v>133</v>
      </c>
      <c r="B590" t="s">
        <v>11781</v>
      </c>
      <c r="C590" t="s">
        <v>74</v>
      </c>
      <c r="D590" t="s">
        <v>74</v>
      </c>
      <c r="E590" t="s">
        <v>74</v>
      </c>
      <c r="F590" t="s">
        <v>11782</v>
      </c>
      <c r="G590" t="s">
        <v>74</v>
      </c>
      <c r="H590" t="s">
        <v>74</v>
      </c>
      <c r="I590" t="s">
        <v>11783</v>
      </c>
      <c r="J590" t="s">
        <v>2026</v>
      </c>
      <c r="K590" t="s">
        <v>74</v>
      </c>
      <c r="L590" t="s">
        <v>74</v>
      </c>
      <c r="M590" t="s">
        <v>80</v>
      </c>
      <c r="N590" t="s">
        <v>138</v>
      </c>
      <c r="O590" t="s">
        <v>74</v>
      </c>
      <c r="P590" t="s">
        <v>74</v>
      </c>
      <c r="Q590" t="s">
        <v>74</v>
      </c>
      <c r="R590" t="s">
        <v>74</v>
      </c>
      <c r="S590" t="s">
        <v>74</v>
      </c>
      <c r="T590" t="s">
        <v>74</v>
      </c>
      <c r="U590" t="s">
        <v>11784</v>
      </c>
      <c r="V590" t="s">
        <v>11785</v>
      </c>
      <c r="W590" t="s">
        <v>11786</v>
      </c>
      <c r="X590" t="s">
        <v>11787</v>
      </c>
      <c r="Y590" t="s">
        <v>11788</v>
      </c>
      <c r="Z590" t="s">
        <v>11789</v>
      </c>
      <c r="AA590" t="s">
        <v>11790</v>
      </c>
      <c r="AB590" t="s">
        <v>11791</v>
      </c>
      <c r="AC590" t="s">
        <v>11792</v>
      </c>
      <c r="AD590" t="s">
        <v>11793</v>
      </c>
      <c r="AE590" t="s">
        <v>11794</v>
      </c>
      <c r="AF590" t="s">
        <v>74</v>
      </c>
      <c r="AG590">
        <v>68</v>
      </c>
      <c r="AH590">
        <v>38</v>
      </c>
      <c r="AI590">
        <v>42</v>
      </c>
      <c r="AJ590">
        <v>2</v>
      </c>
      <c r="AK590">
        <v>30</v>
      </c>
      <c r="AL590" t="s">
        <v>2038</v>
      </c>
      <c r="AM590" t="s">
        <v>1730</v>
      </c>
      <c r="AN590" t="s">
        <v>2039</v>
      </c>
      <c r="AO590" t="s">
        <v>2040</v>
      </c>
      <c r="AP590" t="s">
        <v>74</v>
      </c>
      <c r="AQ590" t="s">
        <v>74</v>
      </c>
      <c r="AR590" t="s">
        <v>2041</v>
      </c>
      <c r="AS590" t="s">
        <v>2042</v>
      </c>
      <c r="AT590" t="s">
        <v>11748</v>
      </c>
      <c r="AU590">
        <v>2019</v>
      </c>
      <c r="AV590">
        <v>10</v>
      </c>
      <c r="AW590" t="s">
        <v>74</v>
      </c>
      <c r="AX590" t="s">
        <v>74</v>
      </c>
      <c r="AY590" t="s">
        <v>74</v>
      </c>
      <c r="AZ590" t="s">
        <v>74</v>
      </c>
      <c r="BA590" t="s">
        <v>74</v>
      </c>
      <c r="BB590" t="s">
        <v>74</v>
      </c>
      <c r="BC590" t="s">
        <v>74</v>
      </c>
      <c r="BD590">
        <v>4960</v>
      </c>
      <c r="BE590" t="s">
        <v>11795</v>
      </c>
      <c r="BF590" t="str">
        <f>HYPERLINK("http://dx.doi.org/10.1038/s41467-019-12775-5","http://dx.doi.org/10.1038/s41467-019-12775-5")</f>
        <v>http://dx.doi.org/10.1038/s41467-019-12775-5</v>
      </c>
      <c r="BG590" t="s">
        <v>74</v>
      </c>
      <c r="BH590" t="s">
        <v>74</v>
      </c>
      <c r="BI590">
        <v>8</v>
      </c>
      <c r="BJ590" t="s">
        <v>1245</v>
      </c>
      <c r="BK590" t="s">
        <v>294</v>
      </c>
      <c r="BL590" t="s">
        <v>1246</v>
      </c>
      <c r="BM590" t="s">
        <v>11796</v>
      </c>
      <c r="BN590">
        <v>31673108</v>
      </c>
      <c r="BO590" t="s">
        <v>11797</v>
      </c>
      <c r="BP590" t="s">
        <v>74</v>
      </c>
      <c r="BQ590" t="s">
        <v>74</v>
      </c>
      <c r="BR590" t="s">
        <v>108</v>
      </c>
      <c r="BS590" t="s">
        <v>11798</v>
      </c>
      <c r="BT590" t="str">
        <f>HYPERLINK("https%3A%2F%2Fwww.webofscience.com%2Fwos%2Fwoscc%2Ffull-record%2FWOS:000493438700008","View Full Record in Web of Science")</f>
        <v>View Full Record in Web of Science</v>
      </c>
    </row>
    <row r="591" spans="1:72" x14ac:dyDescent="0.15">
      <c r="A591" t="s">
        <v>133</v>
      </c>
      <c r="B591" t="s">
        <v>11799</v>
      </c>
      <c r="C591" t="s">
        <v>74</v>
      </c>
      <c r="D591" t="s">
        <v>74</v>
      </c>
      <c r="E591" t="s">
        <v>74</v>
      </c>
      <c r="F591" t="s">
        <v>11800</v>
      </c>
      <c r="G591" t="s">
        <v>74</v>
      </c>
      <c r="H591" t="s">
        <v>74</v>
      </c>
      <c r="I591" t="s">
        <v>11801</v>
      </c>
      <c r="J591" t="s">
        <v>11802</v>
      </c>
      <c r="K591" t="s">
        <v>74</v>
      </c>
      <c r="L591" t="s">
        <v>74</v>
      </c>
      <c r="M591" t="s">
        <v>80</v>
      </c>
      <c r="N591" t="s">
        <v>138</v>
      </c>
      <c r="O591" t="s">
        <v>74</v>
      </c>
      <c r="P591" t="s">
        <v>74</v>
      </c>
      <c r="Q591" t="s">
        <v>74</v>
      </c>
      <c r="R591" t="s">
        <v>74</v>
      </c>
      <c r="S591" t="s">
        <v>74</v>
      </c>
      <c r="T591" t="s">
        <v>11803</v>
      </c>
      <c r="U591" t="s">
        <v>11804</v>
      </c>
      <c r="V591" t="s">
        <v>11805</v>
      </c>
      <c r="W591" t="s">
        <v>11806</v>
      </c>
      <c r="X591" t="s">
        <v>11807</v>
      </c>
      <c r="Y591" t="s">
        <v>11808</v>
      </c>
      <c r="Z591" t="s">
        <v>11809</v>
      </c>
      <c r="AA591" t="s">
        <v>11810</v>
      </c>
      <c r="AB591" t="s">
        <v>11811</v>
      </c>
      <c r="AC591" t="s">
        <v>11812</v>
      </c>
      <c r="AD591" t="s">
        <v>11813</v>
      </c>
      <c r="AE591" t="s">
        <v>11814</v>
      </c>
      <c r="AF591" t="s">
        <v>74</v>
      </c>
      <c r="AG591">
        <v>38</v>
      </c>
      <c r="AH591">
        <v>8</v>
      </c>
      <c r="AI591">
        <v>8</v>
      </c>
      <c r="AJ591">
        <v>0</v>
      </c>
      <c r="AK591">
        <v>7</v>
      </c>
      <c r="AL591" t="s">
        <v>314</v>
      </c>
      <c r="AM591" t="s">
        <v>315</v>
      </c>
      <c r="AN591" t="s">
        <v>316</v>
      </c>
      <c r="AO591" t="s">
        <v>11815</v>
      </c>
      <c r="AP591" t="s">
        <v>11816</v>
      </c>
      <c r="AQ591" t="s">
        <v>74</v>
      </c>
      <c r="AR591" t="s">
        <v>11817</v>
      </c>
      <c r="AS591" t="s">
        <v>11818</v>
      </c>
      <c r="AT591" t="s">
        <v>11819</v>
      </c>
      <c r="AU591">
        <v>2019</v>
      </c>
      <c r="AV591">
        <v>136</v>
      </c>
      <c r="AW591">
        <v>3</v>
      </c>
      <c r="AX591" t="s">
        <v>74</v>
      </c>
      <c r="AY591" t="s">
        <v>74</v>
      </c>
      <c r="AZ591" t="s">
        <v>74</v>
      </c>
      <c r="BA591" t="s">
        <v>74</v>
      </c>
      <c r="BB591">
        <v>235</v>
      </c>
      <c r="BC591">
        <v>241</v>
      </c>
      <c r="BD591" t="s">
        <v>74</v>
      </c>
      <c r="BE591" t="s">
        <v>11820</v>
      </c>
      <c r="BF591" t="str">
        <f>HYPERLINK("http://dx.doi.org/10.3354/dao03410","http://dx.doi.org/10.3354/dao03410")</f>
        <v>http://dx.doi.org/10.3354/dao03410</v>
      </c>
      <c r="BG591" t="s">
        <v>74</v>
      </c>
      <c r="BH591" t="s">
        <v>74</v>
      </c>
      <c r="BI591">
        <v>7</v>
      </c>
      <c r="BJ591" t="s">
        <v>11821</v>
      </c>
      <c r="BK591" t="s">
        <v>294</v>
      </c>
      <c r="BL591" t="s">
        <v>11821</v>
      </c>
      <c r="BM591" t="s">
        <v>11822</v>
      </c>
      <c r="BN591">
        <v>31724556</v>
      </c>
      <c r="BO591" t="s">
        <v>74</v>
      </c>
      <c r="BP591" t="s">
        <v>74</v>
      </c>
      <c r="BQ591" t="s">
        <v>74</v>
      </c>
      <c r="BR591" t="s">
        <v>108</v>
      </c>
      <c r="BS591" t="s">
        <v>11823</v>
      </c>
      <c r="BT591" t="str">
        <f>HYPERLINK("https%3A%2F%2Fwww.webofscience.com%2Fwos%2Fwoscc%2Ffull-record%2FWOS:000521735100004","View Full Record in Web of Science")</f>
        <v>View Full Record in Web of Science</v>
      </c>
    </row>
    <row r="592" spans="1:72" x14ac:dyDescent="0.15">
      <c r="A592" t="s">
        <v>133</v>
      </c>
      <c r="B592" t="s">
        <v>11824</v>
      </c>
      <c r="C592" t="s">
        <v>74</v>
      </c>
      <c r="D592" t="s">
        <v>74</v>
      </c>
      <c r="E592" t="s">
        <v>74</v>
      </c>
      <c r="F592" t="s">
        <v>11825</v>
      </c>
      <c r="G592" t="s">
        <v>74</v>
      </c>
      <c r="H592" t="s">
        <v>74</v>
      </c>
      <c r="I592" t="s">
        <v>11826</v>
      </c>
      <c r="J592" t="s">
        <v>11827</v>
      </c>
      <c r="K592" t="s">
        <v>74</v>
      </c>
      <c r="L592" t="s">
        <v>74</v>
      </c>
      <c r="M592" t="s">
        <v>80</v>
      </c>
      <c r="N592" t="s">
        <v>138</v>
      </c>
      <c r="O592" t="s">
        <v>74</v>
      </c>
      <c r="P592" t="s">
        <v>74</v>
      </c>
      <c r="Q592" t="s">
        <v>74</v>
      </c>
      <c r="R592" t="s">
        <v>74</v>
      </c>
      <c r="S592" t="s">
        <v>74</v>
      </c>
      <c r="T592" t="s">
        <v>11828</v>
      </c>
      <c r="U592" t="s">
        <v>11829</v>
      </c>
      <c r="V592" t="s">
        <v>11830</v>
      </c>
      <c r="W592" t="s">
        <v>11831</v>
      </c>
      <c r="X592" t="s">
        <v>11832</v>
      </c>
      <c r="Y592" t="s">
        <v>11833</v>
      </c>
      <c r="Z592" t="s">
        <v>11834</v>
      </c>
      <c r="AA592" t="s">
        <v>11835</v>
      </c>
      <c r="AB592" t="s">
        <v>11836</v>
      </c>
      <c r="AC592" t="s">
        <v>11837</v>
      </c>
      <c r="AD592" t="s">
        <v>11838</v>
      </c>
      <c r="AE592" t="s">
        <v>11839</v>
      </c>
      <c r="AF592" t="s">
        <v>74</v>
      </c>
      <c r="AG592">
        <v>107</v>
      </c>
      <c r="AH592">
        <v>15</v>
      </c>
      <c r="AI592">
        <v>19</v>
      </c>
      <c r="AJ592">
        <v>2</v>
      </c>
      <c r="AK592">
        <v>13</v>
      </c>
      <c r="AL592" t="s">
        <v>2012</v>
      </c>
      <c r="AM592" t="s">
        <v>1730</v>
      </c>
      <c r="AN592" t="s">
        <v>2013</v>
      </c>
      <c r="AO592" t="s">
        <v>11840</v>
      </c>
      <c r="AP592" t="s">
        <v>11841</v>
      </c>
      <c r="AQ592" t="s">
        <v>74</v>
      </c>
      <c r="AR592" t="s">
        <v>11827</v>
      </c>
      <c r="AS592" t="s">
        <v>11842</v>
      </c>
      <c r="AT592" t="s">
        <v>11819</v>
      </c>
      <c r="AU592">
        <v>2019</v>
      </c>
      <c r="AV592">
        <v>10</v>
      </c>
      <c r="AW592" t="s">
        <v>74</v>
      </c>
      <c r="AX592" t="s">
        <v>74</v>
      </c>
      <c r="AY592" t="s">
        <v>74</v>
      </c>
      <c r="AZ592" t="s">
        <v>74</v>
      </c>
      <c r="BA592" t="s">
        <v>74</v>
      </c>
      <c r="BB592" t="s">
        <v>74</v>
      </c>
      <c r="BC592" t="s">
        <v>74</v>
      </c>
      <c r="BD592">
        <v>19</v>
      </c>
      <c r="BE592" t="s">
        <v>11843</v>
      </c>
      <c r="BF592" t="str">
        <f>HYPERLINK("http://dx.doi.org/10.1186/s43008-019-0018-2","http://dx.doi.org/10.1186/s43008-019-0018-2")</f>
        <v>http://dx.doi.org/10.1186/s43008-019-0018-2</v>
      </c>
      <c r="BG592" t="s">
        <v>74</v>
      </c>
      <c r="BH592" t="s">
        <v>74</v>
      </c>
      <c r="BI592">
        <v>12</v>
      </c>
      <c r="BJ592" t="s">
        <v>2203</v>
      </c>
      <c r="BK592" t="s">
        <v>294</v>
      </c>
      <c r="BL592" t="s">
        <v>2203</v>
      </c>
      <c r="BM592" t="s">
        <v>11844</v>
      </c>
      <c r="BN592">
        <v>32647623</v>
      </c>
      <c r="BO592" t="s">
        <v>693</v>
      </c>
      <c r="BP592" t="s">
        <v>74</v>
      </c>
      <c r="BQ592" t="s">
        <v>74</v>
      </c>
      <c r="BR592" t="s">
        <v>108</v>
      </c>
      <c r="BS592" t="s">
        <v>11845</v>
      </c>
      <c r="BT592" t="str">
        <f>HYPERLINK("https%3A%2F%2Fwww.webofscience.com%2Fwos%2Fwoscc%2Ffull-record%2FWOS:000502022300001","View Full Record in Web of Science")</f>
        <v>View Full Record in Web of Science</v>
      </c>
    </row>
    <row r="593" spans="1:72" x14ac:dyDescent="0.15">
      <c r="A593" t="s">
        <v>133</v>
      </c>
      <c r="B593" t="s">
        <v>11846</v>
      </c>
      <c r="C593" t="s">
        <v>74</v>
      </c>
      <c r="D593" t="s">
        <v>74</v>
      </c>
      <c r="E593" t="s">
        <v>74</v>
      </c>
      <c r="F593" t="s">
        <v>11847</v>
      </c>
      <c r="G593" t="s">
        <v>74</v>
      </c>
      <c r="H593" t="s">
        <v>74</v>
      </c>
      <c r="I593" t="s">
        <v>11848</v>
      </c>
      <c r="J593" t="s">
        <v>2408</v>
      </c>
      <c r="K593" t="s">
        <v>74</v>
      </c>
      <c r="L593" t="s">
        <v>74</v>
      </c>
      <c r="M593" t="s">
        <v>80</v>
      </c>
      <c r="N593" t="s">
        <v>138</v>
      </c>
      <c r="O593" t="s">
        <v>74</v>
      </c>
      <c r="P593" t="s">
        <v>74</v>
      </c>
      <c r="Q593" t="s">
        <v>74</v>
      </c>
      <c r="R593" t="s">
        <v>74</v>
      </c>
      <c r="S593" t="s">
        <v>74</v>
      </c>
      <c r="T593" t="s">
        <v>74</v>
      </c>
      <c r="U593" t="s">
        <v>11849</v>
      </c>
      <c r="V593" t="s">
        <v>11850</v>
      </c>
      <c r="W593" t="s">
        <v>11851</v>
      </c>
      <c r="X593" t="s">
        <v>11852</v>
      </c>
      <c r="Y593" t="s">
        <v>11853</v>
      </c>
      <c r="Z593" t="s">
        <v>11854</v>
      </c>
      <c r="AA593" t="s">
        <v>11855</v>
      </c>
      <c r="AB593" t="s">
        <v>11856</v>
      </c>
      <c r="AC593" t="s">
        <v>11857</v>
      </c>
      <c r="AD593" t="s">
        <v>11858</v>
      </c>
      <c r="AE593" t="s">
        <v>11859</v>
      </c>
      <c r="AF593" t="s">
        <v>74</v>
      </c>
      <c r="AG593">
        <v>53</v>
      </c>
      <c r="AH593">
        <v>12</v>
      </c>
      <c r="AI593">
        <v>12</v>
      </c>
      <c r="AJ593">
        <v>1</v>
      </c>
      <c r="AK593">
        <v>8</v>
      </c>
      <c r="AL593" t="s">
        <v>429</v>
      </c>
      <c r="AM593" t="s">
        <v>430</v>
      </c>
      <c r="AN593" t="s">
        <v>431</v>
      </c>
      <c r="AO593" t="s">
        <v>2419</v>
      </c>
      <c r="AP593" t="s">
        <v>2420</v>
      </c>
      <c r="AQ593" t="s">
        <v>74</v>
      </c>
      <c r="AR593" t="s">
        <v>2421</v>
      </c>
      <c r="AS593" t="s">
        <v>2422</v>
      </c>
      <c r="AT593" t="s">
        <v>1270</v>
      </c>
      <c r="AU593">
        <v>2019</v>
      </c>
      <c r="AV593">
        <v>54</v>
      </c>
      <c r="AW593">
        <v>12</v>
      </c>
      <c r="AX593" t="s">
        <v>74</v>
      </c>
      <c r="AY593" t="s">
        <v>74</v>
      </c>
      <c r="AZ593" t="s">
        <v>74</v>
      </c>
      <c r="BA593" t="s">
        <v>74</v>
      </c>
      <c r="BB593">
        <v>3052</v>
      </c>
      <c r="BC593">
        <v>3063</v>
      </c>
      <c r="BD593" t="s">
        <v>74</v>
      </c>
      <c r="BE593" t="s">
        <v>11860</v>
      </c>
      <c r="BF593" t="str">
        <f>HYPERLINK("http://dx.doi.org/10.1111/maps.13405","http://dx.doi.org/10.1111/maps.13405")</f>
        <v>http://dx.doi.org/10.1111/maps.13405</v>
      </c>
      <c r="BG593" t="s">
        <v>74</v>
      </c>
      <c r="BH593" t="s">
        <v>11767</v>
      </c>
      <c r="BI593">
        <v>12</v>
      </c>
      <c r="BJ593" t="s">
        <v>1067</v>
      </c>
      <c r="BK593" t="s">
        <v>294</v>
      </c>
      <c r="BL593" t="s">
        <v>1067</v>
      </c>
      <c r="BM593" t="s">
        <v>11861</v>
      </c>
      <c r="BN593" t="s">
        <v>74</v>
      </c>
      <c r="BO593" t="s">
        <v>2403</v>
      </c>
      <c r="BP593" t="s">
        <v>74</v>
      </c>
      <c r="BQ593" t="s">
        <v>74</v>
      </c>
      <c r="BR593" t="s">
        <v>108</v>
      </c>
      <c r="BS593" t="s">
        <v>11862</v>
      </c>
      <c r="BT593" t="str">
        <f>HYPERLINK("https%3A%2F%2Fwww.webofscience.com%2Fwos%2Fwoscc%2Ffull-record%2FWOS:000493156600001","View Full Record in Web of Science")</f>
        <v>View Full Record in Web of Science</v>
      </c>
    </row>
    <row r="594" spans="1:72" x14ac:dyDescent="0.15">
      <c r="A594" t="s">
        <v>133</v>
      </c>
      <c r="B594" t="s">
        <v>11863</v>
      </c>
      <c r="C594" t="s">
        <v>74</v>
      </c>
      <c r="D594" t="s">
        <v>74</v>
      </c>
      <c r="E594" t="s">
        <v>74</v>
      </c>
      <c r="F594" t="s">
        <v>11864</v>
      </c>
      <c r="G594" t="s">
        <v>74</v>
      </c>
      <c r="H594" t="s">
        <v>74</v>
      </c>
      <c r="I594" t="s">
        <v>11865</v>
      </c>
      <c r="J594" t="s">
        <v>2723</v>
      </c>
      <c r="K594" t="s">
        <v>74</v>
      </c>
      <c r="L594" t="s">
        <v>74</v>
      </c>
      <c r="M594" t="s">
        <v>80</v>
      </c>
      <c r="N594" t="s">
        <v>138</v>
      </c>
      <c r="O594" t="s">
        <v>74</v>
      </c>
      <c r="P594" t="s">
        <v>74</v>
      </c>
      <c r="Q594" t="s">
        <v>74</v>
      </c>
      <c r="R594" t="s">
        <v>74</v>
      </c>
      <c r="S594" t="s">
        <v>74</v>
      </c>
      <c r="T594" t="s">
        <v>11866</v>
      </c>
      <c r="U594" t="s">
        <v>11867</v>
      </c>
      <c r="V594" t="s">
        <v>11868</v>
      </c>
      <c r="W594" t="s">
        <v>11869</v>
      </c>
      <c r="X594" t="s">
        <v>11870</v>
      </c>
      <c r="Y594" t="s">
        <v>11871</v>
      </c>
      <c r="Z594" t="s">
        <v>11872</v>
      </c>
      <c r="AA594" t="s">
        <v>11873</v>
      </c>
      <c r="AB594" t="s">
        <v>11874</v>
      </c>
      <c r="AC594" t="s">
        <v>11875</v>
      </c>
      <c r="AD594" t="s">
        <v>11876</v>
      </c>
      <c r="AE594" t="s">
        <v>11877</v>
      </c>
      <c r="AF594" t="s">
        <v>74</v>
      </c>
      <c r="AG594">
        <v>66</v>
      </c>
      <c r="AH594">
        <v>15</v>
      </c>
      <c r="AI594">
        <v>15</v>
      </c>
      <c r="AJ594">
        <v>2</v>
      </c>
      <c r="AK594">
        <v>14</v>
      </c>
      <c r="AL594" t="s">
        <v>2587</v>
      </c>
      <c r="AM594" t="s">
        <v>2588</v>
      </c>
      <c r="AN594" t="s">
        <v>2589</v>
      </c>
      <c r="AO594" t="s">
        <v>74</v>
      </c>
      <c r="AP594" t="s">
        <v>2734</v>
      </c>
      <c r="AQ594" t="s">
        <v>74</v>
      </c>
      <c r="AR594" t="s">
        <v>2735</v>
      </c>
      <c r="AS594" t="s">
        <v>2736</v>
      </c>
      <c r="AT594" t="s">
        <v>11878</v>
      </c>
      <c r="AU594">
        <v>2019</v>
      </c>
      <c r="AV594">
        <v>6</v>
      </c>
      <c r="AW594" t="s">
        <v>74</v>
      </c>
      <c r="AX594" t="s">
        <v>74</v>
      </c>
      <c r="AY594" t="s">
        <v>74</v>
      </c>
      <c r="AZ594" t="s">
        <v>74</v>
      </c>
      <c r="BA594" t="s">
        <v>74</v>
      </c>
      <c r="BB594" t="s">
        <v>74</v>
      </c>
      <c r="BC594" t="s">
        <v>74</v>
      </c>
      <c r="BD594">
        <v>655</v>
      </c>
      <c r="BE594" t="s">
        <v>11879</v>
      </c>
      <c r="BF594" t="str">
        <f>HYPERLINK("http://dx.doi.org/10.3389/fmars.2019.00655","http://dx.doi.org/10.3389/fmars.2019.00655")</f>
        <v>http://dx.doi.org/10.3389/fmars.2019.00655</v>
      </c>
      <c r="BG594" t="s">
        <v>74</v>
      </c>
      <c r="BH594" t="s">
        <v>74</v>
      </c>
      <c r="BI594">
        <v>11</v>
      </c>
      <c r="BJ594" t="s">
        <v>2738</v>
      </c>
      <c r="BK594" t="s">
        <v>294</v>
      </c>
      <c r="BL594" t="s">
        <v>2739</v>
      </c>
      <c r="BM594" t="s">
        <v>11880</v>
      </c>
      <c r="BN594" t="s">
        <v>74</v>
      </c>
      <c r="BO594" t="s">
        <v>693</v>
      </c>
      <c r="BP594" t="s">
        <v>74</v>
      </c>
      <c r="BQ594" t="s">
        <v>74</v>
      </c>
      <c r="BR594" t="s">
        <v>108</v>
      </c>
      <c r="BS594" t="s">
        <v>11881</v>
      </c>
      <c r="BT594" t="str">
        <f>HYPERLINK("https%3A%2F%2Fwww.webofscience.com%2Fwos%2Fwoscc%2Ffull-record%2FWOS:000493318000001","View Full Record in Web of Science")</f>
        <v>View Full Record in Web of Science</v>
      </c>
    </row>
    <row r="595" spans="1:72" x14ac:dyDescent="0.15">
      <c r="A595" t="s">
        <v>133</v>
      </c>
      <c r="B595" t="s">
        <v>11882</v>
      </c>
      <c r="C595" t="s">
        <v>74</v>
      </c>
      <c r="D595" t="s">
        <v>74</v>
      </c>
      <c r="E595" t="s">
        <v>74</v>
      </c>
      <c r="F595" t="s">
        <v>11883</v>
      </c>
      <c r="G595" t="s">
        <v>74</v>
      </c>
      <c r="H595" t="s">
        <v>74</v>
      </c>
      <c r="I595" t="s">
        <v>11884</v>
      </c>
      <c r="J595" t="s">
        <v>1462</v>
      </c>
      <c r="K595" t="s">
        <v>74</v>
      </c>
      <c r="L595" t="s">
        <v>74</v>
      </c>
      <c r="M595" t="s">
        <v>80</v>
      </c>
      <c r="N595" t="s">
        <v>138</v>
      </c>
      <c r="O595" t="s">
        <v>74</v>
      </c>
      <c r="P595" t="s">
        <v>74</v>
      </c>
      <c r="Q595" t="s">
        <v>74</v>
      </c>
      <c r="R595" t="s">
        <v>74</v>
      </c>
      <c r="S595" t="s">
        <v>74</v>
      </c>
      <c r="T595" t="s">
        <v>74</v>
      </c>
      <c r="U595" t="s">
        <v>11885</v>
      </c>
      <c r="V595" t="s">
        <v>11886</v>
      </c>
      <c r="W595" t="s">
        <v>11887</v>
      </c>
      <c r="X595" t="s">
        <v>11888</v>
      </c>
      <c r="Y595" t="s">
        <v>11889</v>
      </c>
      <c r="Z595" t="s">
        <v>11890</v>
      </c>
      <c r="AA595" t="s">
        <v>11891</v>
      </c>
      <c r="AB595" t="s">
        <v>11892</v>
      </c>
      <c r="AC595" t="s">
        <v>11893</v>
      </c>
      <c r="AD595" t="s">
        <v>11894</v>
      </c>
      <c r="AE595" t="s">
        <v>11895</v>
      </c>
      <c r="AF595" t="s">
        <v>74</v>
      </c>
      <c r="AG595">
        <v>72</v>
      </c>
      <c r="AH595">
        <v>15</v>
      </c>
      <c r="AI595">
        <v>16</v>
      </c>
      <c r="AJ595">
        <v>1</v>
      </c>
      <c r="AK595">
        <v>42</v>
      </c>
      <c r="AL595" t="s">
        <v>1264</v>
      </c>
      <c r="AM595" t="s">
        <v>1265</v>
      </c>
      <c r="AN595" t="s">
        <v>1266</v>
      </c>
      <c r="AO595" t="s">
        <v>1475</v>
      </c>
      <c r="AP595" t="s">
        <v>1476</v>
      </c>
      <c r="AQ595" t="s">
        <v>74</v>
      </c>
      <c r="AR595" t="s">
        <v>1477</v>
      </c>
      <c r="AS595" t="s">
        <v>1478</v>
      </c>
      <c r="AT595" t="s">
        <v>11896</v>
      </c>
      <c r="AU595">
        <v>2019</v>
      </c>
      <c r="AV595">
        <v>46</v>
      </c>
      <c r="AW595">
        <v>20</v>
      </c>
      <c r="AX595" t="s">
        <v>74</v>
      </c>
      <c r="AY595" t="s">
        <v>74</v>
      </c>
      <c r="AZ595" t="s">
        <v>74</v>
      </c>
      <c r="BA595" t="s">
        <v>74</v>
      </c>
      <c r="BB595">
        <v>11206</v>
      </c>
      <c r="BC595">
        <v>11218</v>
      </c>
      <c r="BD595" t="s">
        <v>74</v>
      </c>
      <c r="BE595" t="s">
        <v>11897</v>
      </c>
      <c r="BF595" t="str">
        <f>HYPERLINK("http://dx.doi.org/10.1029/2019GL084347","http://dx.doi.org/10.1029/2019GL084347")</f>
        <v>http://dx.doi.org/10.1029/2019GL084347</v>
      </c>
      <c r="BG595" t="s">
        <v>74</v>
      </c>
      <c r="BH595" t="s">
        <v>74</v>
      </c>
      <c r="BI595">
        <v>13</v>
      </c>
      <c r="BJ595" t="s">
        <v>849</v>
      </c>
      <c r="BK595" t="s">
        <v>294</v>
      </c>
      <c r="BL595" t="s">
        <v>850</v>
      </c>
      <c r="BM595" t="s">
        <v>11898</v>
      </c>
      <c r="BN595" t="s">
        <v>74</v>
      </c>
      <c r="BO595" t="s">
        <v>1482</v>
      </c>
      <c r="BP595" t="s">
        <v>74</v>
      </c>
      <c r="BQ595" t="s">
        <v>74</v>
      </c>
      <c r="BR595" t="s">
        <v>108</v>
      </c>
      <c r="BS595" t="s">
        <v>11899</v>
      </c>
      <c r="BT595" t="str">
        <f>HYPERLINK("https%3A%2F%2Fwww.webofscience.com%2Fwos%2Fwoscc%2Ffull-record%2FWOS:000497365500030","View Full Record in Web of Science")</f>
        <v>View Full Record in Web of Science</v>
      </c>
    </row>
    <row r="596" spans="1:72" x14ac:dyDescent="0.15">
      <c r="A596" t="s">
        <v>133</v>
      </c>
      <c r="B596" t="s">
        <v>11900</v>
      </c>
      <c r="C596" t="s">
        <v>74</v>
      </c>
      <c r="D596" t="s">
        <v>74</v>
      </c>
      <c r="E596" t="s">
        <v>74</v>
      </c>
      <c r="F596" t="s">
        <v>11901</v>
      </c>
      <c r="G596" t="s">
        <v>74</v>
      </c>
      <c r="H596" t="s">
        <v>74</v>
      </c>
      <c r="I596" t="s">
        <v>11902</v>
      </c>
      <c r="J596" t="s">
        <v>11903</v>
      </c>
      <c r="K596" t="s">
        <v>74</v>
      </c>
      <c r="L596" t="s">
        <v>74</v>
      </c>
      <c r="M596" t="s">
        <v>80</v>
      </c>
      <c r="N596" t="s">
        <v>138</v>
      </c>
      <c r="O596" t="s">
        <v>74</v>
      </c>
      <c r="P596" t="s">
        <v>74</v>
      </c>
      <c r="Q596" t="s">
        <v>74</v>
      </c>
      <c r="R596" t="s">
        <v>74</v>
      </c>
      <c r="S596" t="s">
        <v>74</v>
      </c>
      <c r="T596" t="s">
        <v>11904</v>
      </c>
      <c r="U596" t="s">
        <v>11905</v>
      </c>
      <c r="V596" t="s">
        <v>11906</v>
      </c>
      <c r="W596" t="s">
        <v>11907</v>
      </c>
      <c r="X596" t="s">
        <v>11908</v>
      </c>
      <c r="Y596" t="s">
        <v>11909</v>
      </c>
      <c r="Z596" t="s">
        <v>11910</v>
      </c>
      <c r="AA596" t="s">
        <v>11911</v>
      </c>
      <c r="AB596" t="s">
        <v>74</v>
      </c>
      <c r="AC596" t="s">
        <v>11912</v>
      </c>
      <c r="AD596" t="s">
        <v>11913</v>
      </c>
      <c r="AE596" t="s">
        <v>11914</v>
      </c>
      <c r="AF596" t="s">
        <v>74</v>
      </c>
      <c r="AG596">
        <v>70</v>
      </c>
      <c r="AH596">
        <v>16</v>
      </c>
      <c r="AI596">
        <v>19</v>
      </c>
      <c r="AJ596">
        <v>0</v>
      </c>
      <c r="AK596">
        <v>14</v>
      </c>
      <c r="AL596" t="s">
        <v>3493</v>
      </c>
      <c r="AM596" t="s">
        <v>3494</v>
      </c>
      <c r="AN596" t="s">
        <v>3495</v>
      </c>
      <c r="AO596" t="s">
        <v>11915</v>
      </c>
      <c r="AP596" t="s">
        <v>11916</v>
      </c>
      <c r="AQ596" t="s">
        <v>74</v>
      </c>
      <c r="AR596" t="s">
        <v>11917</v>
      </c>
      <c r="AS596" t="s">
        <v>11918</v>
      </c>
      <c r="AT596" t="s">
        <v>1270</v>
      </c>
      <c r="AU596">
        <v>2019</v>
      </c>
      <c r="AV596">
        <v>69</v>
      </c>
      <c r="AW596" t="s">
        <v>4559</v>
      </c>
      <c r="AX596" t="s">
        <v>74</v>
      </c>
      <c r="AY596" t="s">
        <v>74</v>
      </c>
      <c r="AZ596" t="s">
        <v>74</v>
      </c>
      <c r="BA596" t="s">
        <v>74</v>
      </c>
      <c r="BB596">
        <v>1387</v>
      </c>
      <c r="BC596">
        <v>1399</v>
      </c>
      <c r="BD596" t="s">
        <v>74</v>
      </c>
      <c r="BE596" t="s">
        <v>11919</v>
      </c>
      <c r="BF596" t="str">
        <f>HYPERLINK("http://dx.doi.org/10.1007/s10236-019-01310-1","http://dx.doi.org/10.1007/s10236-019-01310-1")</f>
        <v>http://dx.doi.org/10.1007/s10236-019-01310-1</v>
      </c>
      <c r="BG596" t="s">
        <v>74</v>
      </c>
      <c r="BH596" t="s">
        <v>11767</v>
      </c>
      <c r="BI596">
        <v>13</v>
      </c>
      <c r="BJ596" t="s">
        <v>1945</v>
      </c>
      <c r="BK596" t="s">
        <v>294</v>
      </c>
      <c r="BL596" t="s">
        <v>1945</v>
      </c>
      <c r="BM596" t="s">
        <v>11920</v>
      </c>
      <c r="BN596" t="s">
        <v>74</v>
      </c>
      <c r="BO596" t="s">
        <v>559</v>
      </c>
      <c r="BP596" t="s">
        <v>74</v>
      </c>
      <c r="BQ596" t="s">
        <v>74</v>
      </c>
      <c r="BR596" t="s">
        <v>108</v>
      </c>
      <c r="BS596" t="s">
        <v>11921</v>
      </c>
      <c r="BT596" t="str">
        <f>HYPERLINK("https%3A%2F%2Fwww.webofscience.com%2Fwos%2Fwoscc%2Ffull-record%2FWOS:000492927500001","View Full Record in Web of Science")</f>
        <v>View Full Record in Web of Science</v>
      </c>
    </row>
    <row r="597" spans="1:72" x14ac:dyDescent="0.15">
      <c r="A597" t="s">
        <v>133</v>
      </c>
      <c r="B597" t="s">
        <v>11922</v>
      </c>
      <c r="C597" t="s">
        <v>74</v>
      </c>
      <c r="D597" t="s">
        <v>74</v>
      </c>
      <c r="E597" t="s">
        <v>74</v>
      </c>
      <c r="F597" t="s">
        <v>11923</v>
      </c>
      <c r="G597" t="s">
        <v>74</v>
      </c>
      <c r="H597" t="s">
        <v>74</v>
      </c>
      <c r="I597" t="s">
        <v>11924</v>
      </c>
      <c r="J597" t="s">
        <v>11925</v>
      </c>
      <c r="K597" t="s">
        <v>74</v>
      </c>
      <c r="L597" t="s">
        <v>74</v>
      </c>
      <c r="M597" t="s">
        <v>80</v>
      </c>
      <c r="N597" t="s">
        <v>138</v>
      </c>
      <c r="O597" t="s">
        <v>74</v>
      </c>
      <c r="P597" t="s">
        <v>74</v>
      </c>
      <c r="Q597" t="s">
        <v>74</v>
      </c>
      <c r="R597" t="s">
        <v>74</v>
      </c>
      <c r="S597" t="s">
        <v>74</v>
      </c>
      <c r="T597" t="s">
        <v>11926</v>
      </c>
      <c r="U597" t="s">
        <v>11927</v>
      </c>
      <c r="V597" t="s">
        <v>11928</v>
      </c>
      <c r="W597" t="s">
        <v>11929</v>
      </c>
      <c r="X597" t="s">
        <v>11930</v>
      </c>
      <c r="Y597" t="s">
        <v>11931</v>
      </c>
      <c r="Z597" t="s">
        <v>11932</v>
      </c>
      <c r="AA597" t="s">
        <v>11933</v>
      </c>
      <c r="AB597" t="s">
        <v>11934</v>
      </c>
      <c r="AC597" t="s">
        <v>11935</v>
      </c>
      <c r="AD597" t="s">
        <v>11936</v>
      </c>
      <c r="AE597" t="s">
        <v>11937</v>
      </c>
      <c r="AF597" t="s">
        <v>74</v>
      </c>
      <c r="AG597">
        <v>93</v>
      </c>
      <c r="AH597">
        <v>24</v>
      </c>
      <c r="AI597">
        <v>26</v>
      </c>
      <c r="AJ597">
        <v>0</v>
      </c>
      <c r="AK597">
        <v>25</v>
      </c>
      <c r="AL597" t="s">
        <v>429</v>
      </c>
      <c r="AM597" t="s">
        <v>430</v>
      </c>
      <c r="AN597" t="s">
        <v>431</v>
      </c>
      <c r="AO597" t="s">
        <v>11938</v>
      </c>
      <c r="AP597" t="s">
        <v>11939</v>
      </c>
      <c r="AQ597" t="s">
        <v>74</v>
      </c>
      <c r="AR597" t="s">
        <v>11940</v>
      </c>
      <c r="AS597" t="s">
        <v>11941</v>
      </c>
      <c r="AT597" t="s">
        <v>3457</v>
      </c>
      <c r="AU597">
        <v>2019</v>
      </c>
      <c r="AV597">
        <v>28</v>
      </c>
      <c r="AW597">
        <v>22</v>
      </c>
      <c r="AX597" t="s">
        <v>74</v>
      </c>
      <c r="AY597" t="s">
        <v>74</v>
      </c>
      <c r="AZ597" t="s">
        <v>74</v>
      </c>
      <c r="BA597" t="s">
        <v>74</v>
      </c>
      <c r="BB597">
        <v>4941</v>
      </c>
      <c r="BC597">
        <v>4957</v>
      </c>
      <c r="BD597" t="s">
        <v>74</v>
      </c>
      <c r="BE597" t="s">
        <v>11942</v>
      </c>
      <c r="BF597" t="str">
        <f>HYPERLINK("http://dx.doi.org/10.1111/mec.15269","http://dx.doi.org/10.1111/mec.15269")</f>
        <v>http://dx.doi.org/10.1111/mec.15269</v>
      </c>
      <c r="BG597" t="s">
        <v>74</v>
      </c>
      <c r="BH597" t="s">
        <v>11767</v>
      </c>
      <c r="BI597">
        <v>17</v>
      </c>
      <c r="BJ597" t="s">
        <v>11943</v>
      </c>
      <c r="BK597" t="s">
        <v>294</v>
      </c>
      <c r="BL597" t="s">
        <v>11944</v>
      </c>
      <c r="BM597" t="s">
        <v>11945</v>
      </c>
      <c r="BN597">
        <v>31596994</v>
      </c>
      <c r="BO597" t="s">
        <v>1482</v>
      </c>
      <c r="BP597" t="s">
        <v>74</v>
      </c>
      <c r="BQ597" t="s">
        <v>74</v>
      </c>
      <c r="BR597" t="s">
        <v>108</v>
      </c>
      <c r="BS597" t="s">
        <v>11946</v>
      </c>
      <c r="BT597" t="str">
        <f>HYPERLINK("https%3A%2F%2Fwww.webofscience.com%2Fwos%2Fwoscc%2Ffull-record%2FWOS:000492828800001","View Full Record in Web of Science")</f>
        <v>View Full Record in Web of Science</v>
      </c>
    </row>
    <row r="598" spans="1:72" x14ac:dyDescent="0.15">
      <c r="A598" t="s">
        <v>133</v>
      </c>
      <c r="B598" t="s">
        <v>11947</v>
      </c>
      <c r="C598" t="s">
        <v>74</v>
      </c>
      <c r="D598" t="s">
        <v>74</v>
      </c>
      <c r="E598" t="s">
        <v>74</v>
      </c>
      <c r="F598" t="s">
        <v>11948</v>
      </c>
      <c r="G598" t="s">
        <v>74</v>
      </c>
      <c r="H598" t="s">
        <v>74</v>
      </c>
      <c r="I598" t="s">
        <v>11949</v>
      </c>
      <c r="J598" t="s">
        <v>1487</v>
      </c>
      <c r="K598" t="s">
        <v>74</v>
      </c>
      <c r="L598" t="s">
        <v>74</v>
      </c>
      <c r="M598" t="s">
        <v>80</v>
      </c>
      <c r="N598" t="s">
        <v>138</v>
      </c>
      <c r="O598" t="s">
        <v>74</v>
      </c>
      <c r="P598" t="s">
        <v>74</v>
      </c>
      <c r="Q598" t="s">
        <v>74</v>
      </c>
      <c r="R598" t="s">
        <v>74</v>
      </c>
      <c r="S598" t="s">
        <v>74</v>
      </c>
      <c r="T598" t="s">
        <v>11950</v>
      </c>
      <c r="U598" t="s">
        <v>11951</v>
      </c>
      <c r="V598" t="s">
        <v>11952</v>
      </c>
      <c r="W598" t="s">
        <v>11953</v>
      </c>
      <c r="X598" t="s">
        <v>11954</v>
      </c>
      <c r="Y598" t="s">
        <v>11955</v>
      </c>
      <c r="Z598" t="s">
        <v>11956</v>
      </c>
      <c r="AA598" t="s">
        <v>11957</v>
      </c>
      <c r="AB598" t="s">
        <v>11958</v>
      </c>
      <c r="AC598" t="s">
        <v>11959</v>
      </c>
      <c r="AD598" t="s">
        <v>11960</v>
      </c>
      <c r="AE598" t="s">
        <v>11961</v>
      </c>
      <c r="AF598" t="s">
        <v>74</v>
      </c>
      <c r="AG598">
        <v>122</v>
      </c>
      <c r="AH598">
        <v>11</v>
      </c>
      <c r="AI598">
        <v>11</v>
      </c>
      <c r="AJ598">
        <v>1</v>
      </c>
      <c r="AK598">
        <v>12</v>
      </c>
      <c r="AL598" t="s">
        <v>1264</v>
      </c>
      <c r="AM598" t="s">
        <v>1265</v>
      </c>
      <c r="AN598" t="s">
        <v>1266</v>
      </c>
      <c r="AO598" t="s">
        <v>1500</v>
      </c>
      <c r="AP598" t="s">
        <v>1501</v>
      </c>
      <c r="AQ598" t="s">
        <v>74</v>
      </c>
      <c r="AR598" t="s">
        <v>1502</v>
      </c>
      <c r="AS598" t="s">
        <v>1503</v>
      </c>
      <c r="AT598" t="s">
        <v>11962</v>
      </c>
      <c r="AU598">
        <v>2019</v>
      </c>
      <c r="AV598">
        <v>124</v>
      </c>
      <c r="AW598">
        <v>20</v>
      </c>
      <c r="AX598" t="s">
        <v>74</v>
      </c>
      <c r="AY598" t="s">
        <v>74</v>
      </c>
      <c r="AZ598" t="s">
        <v>74</v>
      </c>
      <c r="BA598" t="s">
        <v>74</v>
      </c>
      <c r="BB598">
        <v>10626</v>
      </c>
      <c r="BC598">
        <v>10645</v>
      </c>
      <c r="BD598" t="s">
        <v>74</v>
      </c>
      <c r="BE598" t="s">
        <v>11963</v>
      </c>
      <c r="BF598" t="str">
        <f>HYPERLINK("http://dx.doi.org/10.1029/2019JD030727","http://dx.doi.org/10.1029/2019JD030727")</f>
        <v>http://dx.doi.org/10.1029/2019JD030727</v>
      </c>
      <c r="BG598" t="s">
        <v>74</v>
      </c>
      <c r="BH598" t="s">
        <v>74</v>
      </c>
      <c r="BI598">
        <v>20</v>
      </c>
      <c r="BJ598" t="s">
        <v>1024</v>
      </c>
      <c r="BK598" t="s">
        <v>294</v>
      </c>
      <c r="BL598" t="s">
        <v>1024</v>
      </c>
      <c r="BM598" t="s">
        <v>11964</v>
      </c>
      <c r="BN598" t="s">
        <v>74</v>
      </c>
      <c r="BO598" t="s">
        <v>74</v>
      </c>
      <c r="BP598" t="s">
        <v>74</v>
      </c>
      <c r="BQ598" t="s">
        <v>74</v>
      </c>
      <c r="BR598" t="s">
        <v>108</v>
      </c>
      <c r="BS598" t="s">
        <v>11965</v>
      </c>
      <c r="BT598" t="str">
        <f>HYPERLINK("https%3A%2F%2Fwww.webofscience.com%2Fwos%2Fwoscc%2Ffull-record%2FWOS:000501378700004","View Full Record in Web of Science")</f>
        <v>View Full Record in Web of Science</v>
      </c>
    </row>
    <row r="599" spans="1:72" x14ac:dyDescent="0.15">
      <c r="A599" t="s">
        <v>133</v>
      </c>
      <c r="B599" t="s">
        <v>11966</v>
      </c>
      <c r="C599" t="s">
        <v>74</v>
      </c>
      <c r="D599" t="s">
        <v>74</v>
      </c>
      <c r="E599" t="s">
        <v>74</v>
      </c>
      <c r="F599" t="s">
        <v>11967</v>
      </c>
      <c r="G599" t="s">
        <v>74</v>
      </c>
      <c r="H599" t="s">
        <v>11968</v>
      </c>
      <c r="I599" t="s">
        <v>11969</v>
      </c>
      <c r="J599" t="s">
        <v>1487</v>
      </c>
      <c r="K599" t="s">
        <v>74</v>
      </c>
      <c r="L599" t="s">
        <v>74</v>
      </c>
      <c r="M599" t="s">
        <v>80</v>
      </c>
      <c r="N599" t="s">
        <v>138</v>
      </c>
      <c r="O599" t="s">
        <v>74</v>
      </c>
      <c r="P599" t="s">
        <v>74</v>
      </c>
      <c r="Q599" t="s">
        <v>74</v>
      </c>
      <c r="R599" t="s">
        <v>74</v>
      </c>
      <c r="S599" t="s">
        <v>74</v>
      </c>
      <c r="T599" t="s">
        <v>11970</v>
      </c>
      <c r="U599" t="s">
        <v>11971</v>
      </c>
      <c r="V599" t="s">
        <v>11972</v>
      </c>
      <c r="W599" t="s">
        <v>11973</v>
      </c>
      <c r="X599" t="s">
        <v>11974</v>
      </c>
      <c r="Y599" t="s">
        <v>11975</v>
      </c>
      <c r="Z599" t="s">
        <v>11976</v>
      </c>
      <c r="AA599" t="s">
        <v>74</v>
      </c>
      <c r="AB599" t="s">
        <v>11977</v>
      </c>
      <c r="AC599" t="s">
        <v>11978</v>
      </c>
      <c r="AD599" t="s">
        <v>11979</v>
      </c>
      <c r="AE599" t="s">
        <v>11980</v>
      </c>
      <c r="AF599" t="s">
        <v>74</v>
      </c>
      <c r="AG599">
        <v>76</v>
      </c>
      <c r="AH599">
        <v>5</v>
      </c>
      <c r="AI599">
        <v>5</v>
      </c>
      <c r="AJ599">
        <v>1</v>
      </c>
      <c r="AK599">
        <v>9</v>
      </c>
      <c r="AL599" t="s">
        <v>1264</v>
      </c>
      <c r="AM599" t="s">
        <v>1265</v>
      </c>
      <c r="AN599" t="s">
        <v>1266</v>
      </c>
      <c r="AO599" t="s">
        <v>1500</v>
      </c>
      <c r="AP599" t="s">
        <v>1501</v>
      </c>
      <c r="AQ599" t="s">
        <v>74</v>
      </c>
      <c r="AR599" t="s">
        <v>1502</v>
      </c>
      <c r="AS599" t="s">
        <v>1503</v>
      </c>
      <c r="AT599" t="s">
        <v>11962</v>
      </c>
      <c r="AU599">
        <v>2019</v>
      </c>
      <c r="AV599">
        <v>124</v>
      </c>
      <c r="AW599">
        <v>20</v>
      </c>
      <c r="AX599" t="s">
        <v>74</v>
      </c>
      <c r="AY599" t="s">
        <v>74</v>
      </c>
      <c r="AZ599" t="s">
        <v>74</v>
      </c>
      <c r="BA599" t="s">
        <v>74</v>
      </c>
      <c r="BB599">
        <v>10973</v>
      </c>
      <c r="BC599">
        <v>10988</v>
      </c>
      <c r="BD599" t="s">
        <v>74</v>
      </c>
      <c r="BE599" t="s">
        <v>11981</v>
      </c>
      <c r="BF599" t="str">
        <f>HYPERLINK("http://dx.doi.org/10.1029/2018JD030200","http://dx.doi.org/10.1029/2018JD030200")</f>
        <v>http://dx.doi.org/10.1029/2018JD030200</v>
      </c>
      <c r="BG599" t="s">
        <v>74</v>
      </c>
      <c r="BH599" t="s">
        <v>74</v>
      </c>
      <c r="BI599">
        <v>16</v>
      </c>
      <c r="BJ599" t="s">
        <v>1024</v>
      </c>
      <c r="BK599" t="s">
        <v>294</v>
      </c>
      <c r="BL599" t="s">
        <v>1024</v>
      </c>
      <c r="BM599" t="s">
        <v>11964</v>
      </c>
      <c r="BN599" t="s">
        <v>74</v>
      </c>
      <c r="BO599" t="s">
        <v>1482</v>
      </c>
      <c r="BP599" t="s">
        <v>74</v>
      </c>
      <c r="BQ599" t="s">
        <v>74</v>
      </c>
      <c r="BR599" t="s">
        <v>108</v>
      </c>
      <c r="BS599" t="s">
        <v>11982</v>
      </c>
      <c r="BT599" t="str">
        <f>HYPERLINK("https%3A%2F%2Fwww.webofscience.com%2Fwos%2Fwoscc%2Ffull-record%2FWOS:000501378700025","View Full Record in Web of Science")</f>
        <v>View Full Record in Web of Science</v>
      </c>
    </row>
    <row r="600" spans="1:72" x14ac:dyDescent="0.15">
      <c r="A600" t="s">
        <v>133</v>
      </c>
      <c r="B600" t="s">
        <v>11983</v>
      </c>
      <c r="C600" t="s">
        <v>74</v>
      </c>
      <c r="D600" t="s">
        <v>74</v>
      </c>
      <c r="E600" t="s">
        <v>74</v>
      </c>
      <c r="F600" t="s">
        <v>11984</v>
      </c>
      <c r="G600" t="s">
        <v>74</v>
      </c>
      <c r="H600" t="s">
        <v>74</v>
      </c>
      <c r="I600" t="s">
        <v>11985</v>
      </c>
      <c r="J600" t="s">
        <v>11986</v>
      </c>
      <c r="K600" t="s">
        <v>74</v>
      </c>
      <c r="L600" t="s">
        <v>74</v>
      </c>
      <c r="M600" t="s">
        <v>80</v>
      </c>
      <c r="N600" t="s">
        <v>138</v>
      </c>
      <c r="O600" t="s">
        <v>74</v>
      </c>
      <c r="P600" t="s">
        <v>74</v>
      </c>
      <c r="Q600" t="s">
        <v>74</v>
      </c>
      <c r="R600" t="s">
        <v>74</v>
      </c>
      <c r="S600" t="s">
        <v>74</v>
      </c>
      <c r="T600" t="s">
        <v>74</v>
      </c>
      <c r="U600" t="s">
        <v>11987</v>
      </c>
      <c r="V600" t="s">
        <v>11988</v>
      </c>
      <c r="W600" t="s">
        <v>11989</v>
      </c>
      <c r="X600" t="s">
        <v>11990</v>
      </c>
      <c r="Y600" t="s">
        <v>11991</v>
      </c>
      <c r="Z600" t="s">
        <v>11992</v>
      </c>
      <c r="AA600" t="s">
        <v>11993</v>
      </c>
      <c r="AB600" t="s">
        <v>11994</v>
      </c>
      <c r="AC600" t="s">
        <v>11995</v>
      </c>
      <c r="AD600" t="s">
        <v>11996</v>
      </c>
      <c r="AE600" t="s">
        <v>11997</v>
      </c>
      <c r="AF600" t="s">
        <v>74</v>
      </c>
      <c r="AG600">
        <v>35</v>
      </c>
      <c r="AH600">
        <v>17</v>
      </c>
      <c r="AI600">
        <v>20</v>
      </c>
      <c r="AJ600">
        <v>4</v>
      </c>
      <c r="AK600">
        <v>49</v>
      </c>
      <c r="AL600" t="s">
        <v>11998</v>
      </c>
      <c r="AM600" t="s">
        <v>606</v>
      </c>
      <c r="AN600" t="s">
        <v>11999</v>
      </c>
      <c r="AO600" t="s">
        <v>74</v>
      </c>
      <c r="AP600" t="s">
        <v>12000</v>
      </c>
      <c r="AQ600" t="s">
        <v>74</v>
      </c>
      <c r="AR600" t="s">
        <v>12001</v>
      </c>
      <c r="AS600" t="s">
        <v>12002</v>
      </c>
      <c r="AT600" t="s">
        <v>11962</v>
      </c>
      <c r="AU600">
        <v>2019</v>
      </c>
      <c r="AV600">
        <v>9</v>
      </c>
      <c r="AW600">
        <v>59</v>
      </c>
      <c r="AX600" t="s">
        <v>74</v>
      </c>
      <c r="AY600" t="s">
        <v>74</v>
      </c>
      <c r="AZ600" t="s">
        <v>74</v>
      </c>
      <c r="BA600" t="s">
        <v>74</v>
      </c>
      <c r="BB600">
        <v>34274</v>
      </c>
      <c r="BC600">
        <v>34282</v>
      </c>
      <c r="BD600" t="s">
        <v>74</v>
      </c>
      <c r="BE600" t="s">
        <v>12003</v>
      </c>
      <c r="BF600" t="str">
        <f>HYPERLINK("http://dx.doi.org/10.1039/c9ra06238f","http://dx.doi.org/10.1039/c9ra06238f")</f>
        <v>http://dx.doi.org/10.1039/c9ra06238f</v>
      </c>
      <c r="BG600" t="s">
        <v>74</v>
      </c>
      <c r="BH600" t="s">
        <v>74</v>
      </c>
      <c r="BI600">
        <v>9</v>
      </c>
      <c r="BJ600" t="s">
        <v>8873</v>
      </c>
      <c r="BK600" t="s">
        <v>294</v>
      </c>
      <c r="BL600" t="s">
        <v>8874</v>
      </c>
      <c r="BM600" t="s">
        <v>12004</v>
      </c>
      <c r="BN600">
        <v>35529959</v>
      </c>
      <c r="BO600" t="s">
        <v>693</v>
      </c>
      <c r="BP600" t="s">
        <v>74</v>
      </c>
      <c r="BQ600" t="s">
        <v>74</v>
      </c>
      <c r="BR600" t="s">
        <v>108</v>
      </c>
      <c r="BS600" t="s">
        <v>12005</v>
      </c>
      <c r="BT600" t="str">
        <f>HYPERLINK("https%3A%2F%2Fwww.webofscience.com%2Fwos%2Fwoscc%2Ffull-record%2FWOS:000494684600021","View Full Record in Web of Science")</f>
        <v>View Full Record in Web of Science</v>
      </c>
    </row>
    <row r="601" spans="1:72" x14ac:dyDescent="0.15">
      <c r="A601" t="s">
        <v>133</v>
      </c>
      <c r="B601" t="s">
        <v>12006</v>
      </c>
      <c r="C601" t="s">
        <v>74</v>
      </c>
      <c r="D601" t="s">
        <v>74</v>
      </c>
      <c r="E601" t="s">
        <v>74</v>
      </c>
      <c r="F601" t="s">
        <v>12007</v>
      </c>
      <c r="G601" t="s">
        <v>74</v>
      </c>
      <c r="H601" t="s">
        <v>74</v>
      </c>
      <c r="I601" t="s">
        <v>12008</v>
      </c>
      <c r="J601" t="s">
        <v>8410</v>
      </c>
      <c r="K601" t="s">
        <v>74</v>
      </c>
      <c r="L601" t="s">
        <v>74</v>
      </c>
      <c r="M601" t="s">
        <v>80</v>
      </c>
      <c r="N601" t="s">
        <v>138</v>
      </c>
      <c r="O601" t="s">
        <v>74</v>
      </c>
      <c r="P601" t="s">
        <v>74</v>
      </c>
      <c r="Q601" t="s">
        <v>74</v>
      </c>
      <c r="R601" t="s">
        <v>74</v>
      </c>
      <c r="S601" t="s">
        <v>74</v>
      </c>
      <c r="T601" t="s">
        <v>12009</v>
      </c>
      <c r="U601" t="s">
        <v>12010</v>
      </c>
      <c r="V601" t="s">
        <v>12011</v>
      </c>
      <c r="W601" t="s">
        <v>12012</v>
      </c>
      <c r="X601" t="s">
        <v>12013</v>
      </c>
      <c r="Y601" t="s">
        <v>8416</v>
      </c>
      <c r="Z601" t="s">
        <v>8417</v>
      </c>
      <c r="AA601" t="s">
        <v>74</v>
      </c>
      <c r="AB601" t="s">
        <v>74</v>
      </c>
      <c r="AC601" t="s">
        <v>12014</v>
      </c>
      <c r="AD601" t="s">
        <v>12015</v>
      </c>
      <c r="AE601" t="s">
        <v>12016</v>
      </c>
      <c r="AF601" t="s">
        <v>74</v>
      </c>
      <c r="AG601">
        <v>56</v>
      </c>
      <c r="AH601">
        <v>3</v>
      </c>
      <c r="AI601">
        <v>3</v>
      </c>
      <c r="AJ601">
        <v>0</v>
      </c>
      <c r="AK601">
        <v>12</v>
      </c>
      <c r="AL601" t="s">
        <v>1758</v>
      </c>
      <c r="AM601" t="s">
        <v>1759</v>
      </c>
      <c r="AN601" t="s">
        <v>1760</v>
      </c>
      <c r="AO601" t="s">
        <v>8421</v>
      </c>
      <c r="AP601" t="s">
        <v>8422</v>
      </c>
      <c r="AQ601" t="s">
        <v>74</v>
      </c>
      <c r="AR601" t="s">
        <v>8423</v>
      </c>
      <c r="AS601" t="s">
        <v>8424</v>
      </c>
      <c r="AT601" t="s">
        <v>2201</v>
      </c>
      <c r="AU601">
        <v>2020</v>
      </c>
      <c r="AV601">
        <v>167</v>
      </c>
      <c r="AW601">
        <v>1</v>
      </c>
      <c r="AX601" t="s">
        <v>74</v>
      </c>
      <c r="AY601" t="s">
        <v>74</v>
      </c>
      <c r="AZ601" t="s">
        <v>555</v>
      </c>
      <c r="BA601" t="s">
        <v>74</v>
      </c>
      <c r="BB601">
        <v>42</v>
      </c>
      <c r="BC601">
        <v>49</v>
      </c>
      <c r="BD601" t="s">
        <v>74</v>
      </c>
      <c r="BE601" t="s">
        <v>12017</v>
      </c>
      <c r="BF601" t="str">
        <f>HYPERLINK("http://dx.doi.org/10.1080/23818107.2019.1675185","http://dx.doi.org/10.1080/23818107.2019.1675185")</f>
        <v>http://dx.doi.org/10.1080/23818107.2019.1675185</v>
      </c>
      <c r="BG601" t="s">
        <v>74</v>
      </c>
      <c r="BH601" t="s">
        <v>11767</v>
      </c>
      <c r="BI601">
        <v>8</v>
      </c>
      <c r="BJ601" t="s">
        <v>6734</v>
      </c>
      <c r="BK601" t="s">
        <v>294</v>
      </c>
      <c r="BL601" t="s">
        <v>6734</v>
      </c>
      <c r="BM601" t="s">
        <v>8426</v>
      </c>
      <c r="BN601" t="s">
        <v>74</v>
      </c>
      <c r="BO601" t="s">
        <v>666</v>
      </c>
      <c r="BP601" t="s">
        <v>74</v>
      </c>
      <c r="BQ601" t="s">
        <v>74</v>
      </c>
      <c r="BR601" t="s">
        <v>108</v>
      </c>
      <c r="BS601" t="s">
        <v>12018</v>
      </c>
      <c r="BT601" t="str">
        <f>HYPERLINK("https%3A%2F%2Fwww.webofscience.com%2Fwos%2Fwoscc%2Ffull-record%2FWOS:000492240700001","View Full Record in Web of Science")</f>
        <v>View Full Record in Web of Science</v>
      </c>
    </row>
    <row r="602" spans="1:72" x14ac:dyDescent="0.15">
      <c r="A602" t="s">
        <v>133</v>
      </c>
      <c r="B602" t="s">
        <v>12019</v>
      </c>
      <c r="C602" t="s">
        <v>74</v>
      </c>
      <c r="D602" t="s">
        <v>74</v>
      </c>
      <c r="E602" t="s">
        <v>74</v>
      </c>
      <c r="F602" t="s">
        <v>12020</v>
      </c>
      <c r="G602" t="s">
        <v>74</v>
      </c>
      <c r="H602" t="s">
        <v>74</v>
      </c>
      <c r="I602" t="s">
        <v>12021</v>
      </c>
      <c r="J602" t="s">
        <v>1252</v>
      </c>
      <c r="K602" t="s">
        <v>74</v>
      </c>
      <c r="L602" t="s">
        <v>74</v>
      </c>
      <c r="M602" t="s">
        <v>80</v>
      </c>
      <c r="N602" t="s">
        <v>138</v>
      </c>
      <c r="O602" t="s">
        <v>74</v>
      </c>
      <c r="P602" t="s">
        <v>74</v>
      </c>
      <c r="Q602" t="s">
        <v>74</v>
      </c>
      <c r="R602" t="s">
        <v>74</v>
      </c>
      <c r="S602" t="s">
        <v>74</v>
      </c>
      <c r="T602" t="s">
        <v>74</v>
      </c>
      <c r="U602" t="s">
        <v>12022</v>
      </c>
      <c r="V602" t="s">
        <v>12023</v>
      </c>
      <c r="W602" t="s">
        <v>12024</v>
      </c>
      <c r="X602" t="s">
        <v>12025</v>
      </c>
      <c r="Y602" t="s">
        <v>12026</v>
      </c>
      <c r="Z602" t="s">
        <v>12027</v>
      </c>
      <c r="AA602" t="s">
        <v>12028</v>
      </c>
      <c r="AB602" t="s">
        <v>12029</v>
      </c>
      <c r="AC602" t="s">
        <v>12030</v>
      </c>
      <c r="AD602" t="s">
        <v>12031</v>
      </c>
      <c r="AE602" t="s">
        <v>12032</v>
      </c>
      <c r="AF602" t="s">
        <v>74</v>
      </c>
      <c r="AG602">
        <v>58</v>
      </c>
      <c r="AH602">
        <v>10</v>
      </c>
      <c r="AI602">
        <v>13</v>
      </c>
      <c r="AJ602">
        <v>2</v>
      </c>
      <c r="AK602">
        <v>32</v>
      </c>
      <c r="AL602" t="s">
        <v>1264</v>
      </c>
      <c r="AM602" t="s">
        <v>1265</v>
      </c>
      <c r="AN602" t="s">
        <v>1266</v>
      </c>
      <c r="AO602" t="s">
        <v>74</v>
      </c>
      <c r="AP602" t="s">
        <v>1267</v>
      </c>
      <c r="AQ602" t="s">
        <v>74</v>
      </c>
      <c r="AR602" t="s">
        <v>1268</v>
      </c>
      <c r="AS602" t="s">
        <v>1269</v>
      </c>
      <c r="AT602" t="s">
        <v>6987</v>
      </c>
      <c r="AU602">
        <v>2019</v>
      </c>
      <c r="AV602">
        <v>6</v>
      </c>
      <c r="AW602">
        <v>10</v>
      </c>
      <c r="AX602" t="s">
        <v>74</v>
      </c>
      <c r="AY602" t="s">
        <v>74</v>
      </c>
      <c r="AZ602" t="s">
        <v>74</v>
      </c>
      <c r="BA602" t="s">
        <v>74</v>
      </c>
      <c r="BB602">
        <v>1987</v>
      </c>
      <c r="BC602">
        <v>1999</v>
      </c>
      <c r="BD602" t="s">
        <v>74</v>
      </c>
      <c r="BE602" t="s">
        <v>12033</v>
      </c>
      <c r="BF602" t="str">
        <f>HYPERLINK("http://dx.doi.org/10.1029/2019EA000596","http://dx.doi.org/10.1029/2019EA000596")</f>
        <v>http://dx.doi.org/10.1029/2019EA000596</v>
      </c>
      <c r="BG602" t="s">
        <v>74</v>
      </c>
      <c r="BH602" t="s">
        <v>11767</v>
      </c>
      <c r="BI602">
        <v>13</v>
      </c>
      <c r="BJ602" t="s">
        <v>1273</v>
      </c>
      <c r="BK602" t="s">
        <v>294</v>
      </c>
      <c r="BL602" t="s">
        <v>1274</v>
      </c>
      <c r="BM602" t="s">
        <v>11768</v>
      </c>
      <c r="BN602" t="s">
        <v>74</v>
      </c>
      <c r="BO602" t="s">
        <v>107</v>
      </c>
      <c r="BP602" t="s">
        <v>74</v>
      </c>
      <c r="BQ602" t="s">
        <v>74</v>
      </c>
      <c r="BR602" t="s">
        <v>108</v>
      </c>
      <c r="BS602" t="s">
        <v>12034</v>
      </c>
      <c r="BT602" t="str">
        <f>HYPERLINK("https%3A%2F%2Fwww.webofscience.com%2Fwos%2Fwoscc%2Ffull-record%2FWOS:000492415300001","View Full Record in Web of Science")</f>
        <v>View Full Record in Web of Science</v>
      </c>
    </row>
    <row r="603" spans="1:72" x14ac:dyDescent="0.15">
      <c r="A603" t="s">
        <v>133</v>
      </c>
      <c r="B603" t="s">
        <v>12035</v>
      </c>
      <c r="C603" t="s">
        <v>74</v>
      </c>
      <c r="D603" t="s">
        <v>74</v>
      </c>
      <c r="E603" t="s">
        <v>74</v>
      </c>
      <c r="F603" t="s">
        <v>12036</v>
      </c>
      <c r="G603" t="s">
        <v>74</v>
      </c>
      <c r="H603" t="s">
        <v>74</v>
      </c>
      <c r="I603" t="s">
        <v>12037</v>
      </c>
      <c r="J603" t="s">
        <v>2088</v>
      </c>
      <c r="K603" t="s">
        <v>74</v>
      </c>
      <c r="L603" t="s">
        <v>74</v>
      </c>
      <c r="M603" t="s">
        <v>80</v>
      </c>
      <c r="N603" t="s">
        <v>138</v>
      </c>
      <c r="O603" t="s">
        <v>74</v>
      </c>
      <c r="P603" t="s">
        <v>74</v>
      </c>
      <c r="Q603" t="s">
        <v>74</v>
      </c>
      <c r="R603" t="s">
        <v>74</v>
      </c>
      <c r="S603" t="s">
        <v>74</v>
      </c>
      <c r="T603" t="s">
        <v>74</v>
      </c>
      <c r="U603" t="s">
        <v>12038</v>
      </c>
      <c r="V603" t="s">
        <v>12039</v>
      </c>
      <c r="W603" t="s">
        <v>12040</v>
      </c>
      <c r="X603" t="s">
        <v>12041</v>
      </c>
      <c r="Y603" t="s">
        <v>12042</v>
      </c>
      <c r="Z603" t="s">
        <v>12043</v>
      </c>
      <c r="AA603" t="s">
        <v>12044</v>
      </c>
      <c r="AB603" t="s">
        <v>12045</v>
      </c>
      <c r="AC603" t="s">
        <v>12046</v>
      </c>
      <c r="AD603" t="s">
        <v>12047</v>
      </c>
      <c r="AE603" t="s">
        <v>12048</v>
      </c>
      <c r="AF603" t="s">
        <v>74</v>
      </c>
      <c r="AG603">
        <v>62</v>
      </c>
      <c r="AH603">
        <v>11</v>
      </c>
      <c r="AI603">
        <v>13</v>
      </c>
      <c r="AJ603">
        <v>1</v>
      </c>
      <c r="AK603">
        <v>7</v>
      </c>
      <c r="AL603" t="s">
        <v>2099</v>
      </c>
      <c r="AM603" t="s">
        <v>2100</v>
      </c>
      <c r="AN603" t="s">
        <v>2101</v>
      </c>
      <c r="AO603" t="s">
        <v>2102</v>
      </c>
      <c r="AP603" t="s">
        <v>2103</v>
      </c>
      <c r="AQ603" t="s">
        <v>74</v>
      </c>
      <c r="AR603" t="s">
        <v>2088</v>
      </c>
      <c r="AS603" t="s">
        <v>2104</v>
      </c>
      <c r="AT603" t="s">
        <v>12049</v>
      </c>
      <c r="AU603">
        <v>2019</v>
      </c>
      <c r="AV603">
        <v>13</v>
      </c>
      <c r="AW603">
        <v>10</v>
      </c>
      <c r="AX603" t="s">
        <v>74</v>
      </c>
      <c r="AY603" t="s">
        <v>74</v>
      </c>
      <c r="AZ603" t="s">
        <v>74</v>
      </c>
      <c r="BA603" t="s">
        <v>74</v>
      </c>
      <c r="BB603">
        <v>2771</v>
      </c>
      <c r="BC603">
        <v>2787</v>
      </c>
      <c r="BD603" t="s">
        <v>74</v>
      </c>
      <c r="BE603" t="s">
        <v>12050</v>
      </c>
      <c r="BF603" t="str">
        <f>HYPERLINK("http://dx.doi.org/10.5194/tc-13-2771-2019","http://dx.doi.org/10.5194/tc-13-2771-2019")</f>
        <v>http://dx.doi.org/10.5194/tc-13-2771-2019</v>
      </c>
      <c r="BG603" t="s">
        <v>74</v>
      </c>
      <c r="BH603" t="s">
        <v>74</v>
      </c>
      <c r="BI603">
        <v>17</v>
      </c>
      <c r="BJ603" t="s">
        <v>462</v>
      </c>
      <c r="BK603" t="s">
        <v>294</v>
      </c>
      <c r="BL603" t="s">
        <v>463</v>
      </c>
      <c r="BM603" t="s">
        <v>12051</v>
      </c>
      <c r="BN603" t="s">
        <v>74</v>
      </c>
      <c r="BO603" t="s">
        <v>2261</v>
      </c>
      <c r="BP603" t="s">
        <v>74</v>
      </c>
      <c r="BQ603" t="s">
        <v>74</v>
      </c>
      <c r="BR603" t="s">
        <v>108</v>
      </c>
      <c r="BS603" t="s">
        <v>12052</v>
      </c>
      <c r="BT603" t="str">
        <f>HYPERLINK("https%3A%2F%2Fwww.webofscience.com%2Fwos%2Fwoscc%2Ffull-record%2FWOS:000492837200001","View Full Record in Web of Science")</f>
        <v>View Full Record in Web of Science</v>
      </c>
    </row>
    <row r="604" spans="1:72" x14ac:dyDescent="0.15">
      <c r="A604" t="s">
        <v>133</v>
      </c>
      <c r="B604" t="s">
        <v>12053</v>
      </c>
      <c r="C604" t="s">
        <v>74</v>
      </c>
      <c r="D604" t="s">
        <v>74</v>
      </c>
      <c r="E604" t="s">
        <v>74</v>
      </c>
      <c r="F604" t="s">
        <v>12054</v>
      </c>
      <c r="G604" t="s">
        <v>74</v>
      </c>
      <c r="H604" t="s">
        <v>74</v>
      </c>
      <c r="I604" t="s">
        <v>12055</v>
      </c>
      <c r="J604" t="s">
        <v>2685</v>
      </c>
      <c r="K604" t="s">
        <v>74</v>
      </c>
      <c r="L604" t="s">
        <v>74</v>
      </c>
      <c r="M604" t="s">
        <v>80</v>
      </c>
      <c r="N604" t="s">
        <v>138</v>
      </c>
      <c r="O604" t="s">
        <v>74</v>
      </c>
      <c r="P604" t="s">
        <v>74</v>
      </c>
      <c r="Q604" t="s">
        <v>74</v>
      </c>
      <c r="R604" t="s">
        <v>74</v>
      </c>
      <c r="S604" t="s">
        <v>74</v>
      </c>
      <c r="T604" t="s">
        <v>12056</v>
      </c>
      <c r="U604" t="s">
        <v>12057</v>
      </c>
      <c r="V604" t="s">
        <v>12058</v>
      </c>
      <c r="W604" t="s">
        <v>12059</v>
      </c>
      <c r="X604" t="s">
        <v>12060</v>
      </c>
      <c r="Y604" t="s">
        <v>12061</v>
      </c>
      <c r="Z604" t="s">
        <v>12062</v>
      </c>
      <c r="AA604" t="s">
        <v>12063</v>
      </c>
      <c r="AB604" t="s">
        <v>12064</v>
      </c>
      <c r="AC604" t="s">
        <v>12065</v>
      </c>
      <c r="AD604" t="s">
        <v>12066</v>
      </c>
      <c r="AE604" t="s">
        <v>12067</v>
      </c>
      <c r="AF604" t="s">
        <v>74</v>
      </c>
      <c r="AG604">
        <v>76</v>
      </c>
      <c r="AH604">
        <v>3</v>
      </c>
      <c r="AI604">
        <v>3</v>
      </c>
      <c r="AJ604">
        <v>0</v>
      </c>
      <c r="AK604">
        <v>4</v>
      </c>
      <c r="AL604" t="s">
        <v>314</v>
      </c>
      <c r="AM604" t="s">
        <v>315</v>
      </c>
      <c r="AN604" t="s">
        <v>316</v>
      </c>
      <c r="AO604" t="s">
        <v>2695</v>
      </c>
      <c r="AP604" t="s">
        <v>2696</v>
      </c>
      <c r="AQ604" t="s">
        <v>74</v>
      </c>
      <c r="AR604" t="s">
        <v>2697</v>
      </c>
      <c r="AS604" t="s">
        <v>2698</v>
      </c>
      <c r="AT604" t="s">
        <v>12068</v>
      </c>
      <c r="AU604">
        <v>2019</v>
      </c>
      <c r="AV604">
        <v>629</v>
      </c>
      <c r="AW604" t="s">
        <v>74</v>
      </c>
      <c r="AX604" t="s">
        <v>74</v>
      </c>
      <c r="AY604" t="s">
        <v>74</v>
      </c>
      <c r="AZ604" t="s">
        <v>74</v>
      </c>
      <c r="BA604" t="s">
        <v>74</v>
      </c>
      <c r="BB604">
        <v>207</v>
      </c>
      <c r="BC604">
        <v>218</v>
      </c>
      <c r="BD604" t="s">
        <v>74</v>
      </c>
      <c r="BE604" t="s">
        <v>12069</v>
      </c>
      <c r="BF604" t="str">
        <f>HYPERLINK("http://dx.doi.org/10.3354/meps13109","http://dx.doi.org/10.3354/meps13109")</f>
        <v>http://dx.doi.org/10.3354/meps13109</v>
      </c>
      <c r="BG604" t="s">
        <v>74</v>
      </c>
      <c r="BH604" t="s">
        <v>74</v>
      </c>
      <c r="BI604">
        <v>12</v>
      </c>
      <c r="BJ604" t="s">
        <v>2701</v>
      </c>
      <c r="BK604" t="s">
        <v>294</v>
      </c>
      <c r="BL604" t="s">
        <v>2702</v>
      </c>
      <c r="BM604" t="s">
        <v>12070</v>
      </c>
      <c r="BN604" t="s">
        <v>74</v>
      </c>
      <c r="BO604" t="s">
        <v>666</v>
      </c>
      <c r="BP604" t="s">
        <v>74</v>
      </c>
      <c r="BQ604" t="s">
        <v>74</v>
      </c>
      <c r="BR604" t="s">
        <v>108</v>
      </c>
      <c r="BS604" t="s">
        <v>12071</v>
      </c>
      <c r="BT604" t="str">
        <f>HYPERLINK("https%3A%2F%2Fwww.webofscience.com%2Fwos%2Fwoscc%2Ffull-record%2FWOS:000521168400014","View Full Record in Web of Science")</f>
        <v>View Full Record in Web of Science</v>
      </c>
    </row>
    <row r="605" spans="1:72" x14ac:dyDescent="0.15">
      <c r="A605" t="s">
        <v>133</v>
      </c>
      <c r="B605" t="s">
        <v>12072</v>
      </c>
      <c r="C605" t="s">
        <v>74</v>
      </c>
      <c r="D605" t="s">
        <v>74</v>
      </c>
      <c r="E605" t="s">
        <v>74</v>
      </c>
      <c r="F605" t="s">
        <v>12073</v>
      </c>
      <c r="G605" t="s">
        <v>74</v>
      </c>
      <c r="H605" t="s">
        <v>74</v>
      </c>
      <c r="I605" t="s">
        <v>12074</v>
      </c>
      <c r="J605" t="s">
        <v>12075</v>
      </c>
      <c r="K605" t="s">
        <v>74</v>
      </c>
      <c r="L605" t="s">
        <v>74</v>
      </c>
      <c r="M605" t="s">
        <v>80</v>
      </c>
      <c r="N605" t="s">
        <v>138</v>
      </c>
      <c r="O605" t="s">
        <v>74</v>
      </c>
      <c r="P605" t="s">
        <v>74</v>
      </c>
      <c r="Q605" t="s">
        <v>74</v>
      </c>
      <c r="R605" t="s">
        <v>74</v>
      </c>
      <c r="S605" t="s">
        <v>74</v>
      </c>
      <c r="T605" t="s">
        <v>12076</v>
      </c>
      <c r="U605" t="s">
        <v>12077</v>
      </c>
      <c r="V605" t="s">
        <v>12078</v>
      </c>
      <c r="W605" t="s">
        <v>12079</v>
      </c>
      <c r="X605" t="s">
        <v>12080</v>
      </c>
      <c r="Y605" t="s">
        <v>12081</v>
      </c>
      <c r="Z605" t="s">
        <v>12082</v>
      </c>
      <c r="AA605" t="s">
        <v>12083</v>
      </c>
      <c r="AB605" t="s">
        <v>12084</v>
      </c>
      <c r="AC605" t="s">
        <v>12085</v>
      </c>
      <c r="AD605" t="s">
        <v>12086</v>
      </c>
      <c r="AE605" t="s">
        <v>12087</v>
      </c>
      <c r="AF605" t="s">
        <v>74</v>
      </c>
      <c r="AG605">
        <v>48</v>
      </c>
      <c r="AH605">
        <v>16</v>
      </c>
      <c r="AI605">
        <v>18</v>
      </c>
      <c r="AJ605">
        <v>0</v>
      </c>
      <c r="AK605">
        <v>12</v>
      </c>
      <c r="AL605" t="s">
        <v>429</v>
      </c>
      <c r="AM605" t="s">
        <v>430</v>
      </c>
      <c r="AN605" t="s">
        <v>431</v>
      </c>
      <c r="AO605" t="s">
        <v>12088</v>
      </c>
      <c r="AP605" t="s">
        <v>12089</v>
      </c>
      <c r="AQ605" t="s">
        <v>74</v>
      </c>
      <c r="AR605" t="s">
        <v>12090</v>
      </c>
      <c r="AS605" t="s">
        <v>12091</v>
      </c>
      <c r="AT605" t="s">
        <v>3457</v>
      </c>
      <c r="AU605">
        <v>2019</v>
      </c>
      <c r="AV605">
        <v>29</v>
      </c>
      <c r="AW605">
        <v>11</v>
      </c>
      <c r="AX605" t="s">
        <v>74</v>
      </c>
      <c r="AY605" t="s">
        <v>74</v>
      </c>
      <c r="AZ605" t="s">
        <v>74</v>
      </c>
      <c r="BA605" t="s">
        <v>74</v>
      </c>
      <c r="BB605">
        <v>1988</v>
      </c>
      <c r="BC605">
        <v>1995</v>
      </c>
      <c r="BD605" t="s">
        <v>74</v>
      </c>
      <c r="BE605" t="s">
        <v>12092</v>
      </c>
      <c r="BF605" t="str">
        <f>HYPERLINK("http://dx.doi.org/10.1002/aqc.3194","http://dx.doi.org/10.1002/aqc.3194")</f>
        <v>http://dx.doi.org/10.1002/aqc.3194</v>
      </c>
      <c r="BG605" t="s">
        <v>74</v>
      </c>
      <c r="BH605" t="s">
        <v>11767</v>
      </c>
      <c r="BI605">
        <v>8</v>
      </c>
      <c r="BJ605" t="s">
        <v>12093</v>
      </c>
      <c r="BK605" t="s">
        <v>294</v>
      </c>
      <c r="BL605" t="s">
        <v>12094</v>
      </c>
      <c r="BM605" t="s">
        <v>12095</v>
      </c>
      <c r="BN605" t="s">
        <v>74</v>
      </c>
      <c r="BO605" t="s">
        <v>1482</v>
      </c>
      <c r="BP605" t="s">
        <v>74</v>
      </c>
      <c r="BQ605" t="s">
        <v>74</v>
      </c>
      <c r="BR605" t="s">
        <v>108</v>
      </c>
      <c r="BS605" t="s">
        <v>12096</v>
      </c>
      <c r="BT605" t="str">
        <f>HYPERLINK("https%3A%2F%2Fwww.webofscience.com%2Fwos%2Fwoscc%2Ffull-record%2FWOS:000492086200001","View Full Record in Web of Science")</f>
        <v>View Full Record in Web of Science</v>
      </c>
    </row>
    <row r="606" spans="1:72" x14ac:dyDescent="0.15">
      <c r="A606" t="s">
        <v>133</v>
      </c>
      <c r="B606" t="s">
        <v>12097</v>
      </c>
      <c r="C606" t="s">
        <v>74</v>
      </c>
      <c r="D606" t="s">
        <v>74</v>
      </c>
      <c r="E606" t="s">
        <v>74</v>
      </c>
      <c r="F606" t="s">
        <v>12098</v>
      </c>
      <c r="G606" t="s">
        <v>74</v>
      </c>
      <c r="H606" t="s">
        <v>74</v>
      </c>
      <c r="I606" t="s">
        <v>12099</v>
      </c>
      <c r="J606" t="s">
        <v>10059</v>
      </c>
      <c r="K606" t="s">
        <v>74</v>
      </c>
      <c r="L606" t="s">
        <v>74</v>
      </c>
      <c r="M606" t="s">
        <v>80</v>
      </c>
      <c r="N606" t="s">
        <v>138</v>
      </c>
      <c r="O606" t="s">
        <v>74</v>
      </c>
      <c r="P606" t="s">
        <v>74</v>
      </c>
      <c r="Q606" t="s">
        <v>74</v>
      </c>
      <c r="R606" t="s">
        <v>74</v>
      </c>
      <c r="S606" t="s">
        <v>74</v>
      </c>
      <c r="T606" t="s">
        <v>12100</v>
      </c>
      <c r="U606" t="s">
        <v>12101</v>
      </c>
      <c r="V606" t="s">
        <v>12102</v>
      </c>
      <c r="W606" t="s">
        <v>12103</v>
      </c>
      <c r="X606" t="s">
        <v>12104</v>
      </c>
      <c r="Y606" t="s">
        <v>12105</v>
      </c>
      <c r="Z606" t="s">
        <v>12106</v>
      </c>
      <c r="AA606" t="s">
        <v>74</v>
      </c>
      <c r="AB606" t="s">
        <v>12107</v>
      </c>
      <c r="AC606" t="s">
        <v>74</v>
      </c>
      <c r="AD606" t="s">
        <v>74</v>
      </c>
      <c r="AE606" t="s">
        <v>74</v>
      </c>
      <c r="AF606" t="s">
        <v>74</v>
      </c>
      <c r="AG606">
        <v>19</v>
      </c>
      <c r="AH606">
        <v>16</v>
      </c>
      <c r="AI606">
        <v>16</v>
      </c>
      <c r="AJ606">
        <v>0</v>
      </c>
      <c r="AK606">
        <v>13</v>
      </c>
      <c r="AL606" t="s">
        <v>1915</v>
      </c>
      <c r="AM606" t="s">
        <v>1916</v>
      </c>
      <c r="AN606" t="s">
        <v>1917</v>
      </c>
      <c r="AO606" t="s">
        <v>10067</v>
      </c>
      <c r="AP606" t="s">
        <v>10068</v>
      </c>
      <c r="AQ606" t="s">
        <v>74</v>
      </c>
      <c r="AR606" t="s">
        <v>10069</v>
      </c>
      <c r="AS606" t="s">
        <v>10070</v>
      </c>
      <c r="AT606" t="s">
        <v>291</v>
      </c>
      <c r="AU606">
        <v>2020</v>
      </c>
      <c r="AV606">
        <v>86</v>
      </c>
      <c r="AW606">
        <v>1</v>
      </c>
      <c r="AX606" t="s">
        <v>74</v>
      </c>
      <c r="AY606" t="s">
        <v>74</v>
      </c>
      <c r="AZ606" t="s">
        <v>74</v>
      </c>
      <c r="BA606" t="s">
        <v>74</v>
      </c>
      <c r="BB606">
        <v>35</v>
      </c>
      <c r="BC606">
        <v>41</v>
      </c>
      <c r="BD606" t="s">
        <v>74</v>
      </c>
      <c r="BE606" t="s">
        <v>12108</v>
      </c>
      <c r="BF606" t="str">
        <f>HYPERLINK("http://dx.doi.org/10.1007/s12562-019-01371-7","http://dx.doi.org/10.1007/s12562-019-01371-7")</f>
        <v>http://dx.doi.org/10.1007/s12562-019-01371-7</v>
      </c>
      <c r="BG606" t="s">
        <v>74</v>
      </c>
      <c r="BH606" t="s">
        <v>11767</v>
      </c>
      <c r="BI606">
        <v>7</v>
      </c>
      <c r="BJ606" t="s">
        <v>413</v>
      </c>
      <c r="BK606" t="s">
        <v>294</v>
      </c>
      <c r="BL606" t="s">
        <v>413</v>
      </c>
      <c r="BM606" t="s">
        <v>12109</v>
      </c>
      <c r="BN606" t="s">
        <v>74</v>
      </c>
      <c r="BO606" t="s">
        <v>74</v>
      </c>
      <c r="BP606" t="s">
        <v>74</v>
      </c>
      <c r="BQ606" t="s">
        <v>74</v>
      </c>
      <c r="BR606" t="s">
        <v>108</v>
      </c>
      <c r="BS606" t="s">
        <v>12110</v>
      </c>
      <c r="BT606" t="str">
        <f>HYPERLINK("https%3A%2F%2Fwww.webofscience.com%2Fwos%2Fwoscc%2Ffull-record%2FWOS:000492357600001","View Full Record in Web of Science")</f>
        <v>View Full Record in Web of Science</v>
      </c>
    </row>
    <row r="607" spans="1:72" x14ac:dyDescent="0.15">
      <c r="A607" t="s">
        <v>133</v>
      </c>
      <c r="B607" t="s">
        <v>12111</v>
      </c>
      <c r="C607" t="s">
        <v>74</v>
      </c>
      <c r="D607" t="s">
        <v>74</v>
      </c>
      <c r="E607" t="s">
        <v>74</v>
      </c>
      <c r="F607" t="s">
        <v>12112</v>
      </c>
      <c r="G607" t="s">
        <v>74</v>
      </c>
      <c r="H607" t="s">
        <v>74</v>
      </c>
      <c r="I607" t="s">
        <v>12113</v>
      </c>
      <c r="J607" t="s">
        <v>2623</v>
      </c>
      <c r="K607" t="s">
        <v>74</v>
      </c>
      <c r="L607" t="s">
        <v>74</v>
      </c>
      <c r="M607" t="s">
        <v>80</v>
      </c>
      <c r="N607" t="s">
        <v>138</v>
      </c>
      <c r="O607" t="s">
        <v>74</v>
      </c>
      <c r="P607" t="s">
        <v>74</v>
      </c>
      <c r="Q607" t="s">
        <v>74</v>
      </c>
      <c r="R607" t="s">
        <v>74</v>
      </c>
      <c r="S607" t="s">
        <v>74</v>
      </c>
      <c r="T607" t="s">
        <v>74</v>
      </c>
      <c r="U607" t="s">
        <v>12114</v>
      </c>
      <c r="V607" t="s">
        <v>12115</v>
      </c>
      <c r="W607" t="s">
        <v>12116</v>
      </c>
      <c r="X607" t="s">
        <v>12117</v>
      </c>
      <c r="Y607" t="s">
        <v>2874</v>
      </c>
      <c r="Z607" t="s">
        <v>2875</v>
      </c>
      <c r="AA607" t="s">
        <v>74</v>
      </c>
      <c r="AB607" t="s">
        <v>12118</v>
      </c>
      <c r="AC607" t="s">
        <v>12119</v>
      </c>
      <c r="AD607" t="s">
        <v>12120</v>
      </c>
      <c r="AE607" t="s">
        <v>12121</v>
      </c>
      <c r="AF607" t="s">
        <v>74</v>
      </c>
      <c r="AG607">
        <v>73</v>
      </c>
      <c r="AH607">
        <v>23</v>
      </c>
      <c r="AI607">
        <v>23</v>
      </c>
      <c r="AJ607">
        <v>3</v>
      </c>
      <c r="AK607">
        <v>9</v>
      </c>
      <c r="AL607" t="s">
        <v>2635</v>
      </c>
      <c r="AM607" t="s">
        <v>841</v>
      </c>
      <c r="AN607" t="s">
        <v>842</v>
      </c>
      <c r="AO607" t="s">
        <v>2636</v>
      </c>
      <c r="AP607" t="s">
        <v>74</v>
      </c>
      <c r="AQ607" t="s">
        <v>74</v>
      </c>
      <c r="AR607" t="s">
        <v>2637</v>
      </c>
      <c r="AS607" t="s">
        <v>2638</v>
      </c>
      <c r="AT607" t="s">
        <v>12068</v>
      </c>
      <c r="AU607">
        <v>2019</v>
      </c>
      <c r="AV607">
        <v>9</v>
      </c>
      <c r="AW607" t="s">
        <v>74</v>
      </c>
      <c r="AX607" t="s">
        <v>74</v>
      </c>
      <c r="AY607" t="s">
        <v>74</v>
      </c>
      <c r="AZ607" t="s">
        <v>74</v>
      </c>
      <c r="BA607" t="s">
        <v>74</v>
      </c>
      <c r="BB607" t="s">
        <v>74</v>
      </c>
      <c r="BC607" t="s">
        <v>74</v>
      </c>
      <c r="BD607">
        <v>14606</v>
      </c>
      <c r="BE607" t="s">
        <v>12122</v>
      </c>
      <c r="BF607" t="str">
        <f>HYPERLINK("http://dx.doi.org/10.1038/s41598-019-50897-4","http://dx.doi.org/10.1038/s41598-019-50897-4")</f>
        <v>http://dx.doi.org/10.1038/s41598-019-50897-4</v>
      </c>
      <c r="BG607" t="s">
        <v>74</v>
      </c>
      <c r="BH607" t="s">
        <v>74</v>
      </c>
      <c r="BI607">
        <v>11</v>
      </c>
      <c r="BJ607" t="s">
        <v>1245</v>
      </c>
      <c r="BK607" t="s">
        <v>294</v>
      </c>
      <c r="BL607" t="s">
        <v>1246</v>
      </c>
      <c r="BM607" t="s">
        <v>12123</v>
      </c>
      <c r="BN607">
        <v>31649324</v>
      </c>
      <c r="BO607" t="s">
        <v>12124</v>
      </c>
      <c r="BP607" t="s">
        <v>74</v>
      </c>
      <c r="BQ607" t="s">
        <v>74</v>
      </c>
      <c r="BR607" t="s">
        <v>108</v>
      </c>
      <c r="BS607" t="s">
        <v>12125</v>
      </c>
      <c r="BT607" t="str">
        <f>HYPERLINK("https%3A%2F%2Fwww.webofscience.com%2Fwos%2Fwoscc%2Ffull-record%2FWOS:000492142200001","View Full Record in Web of Science")</f>
        <v>View Full Record in Web of Science</v>
      </c>
    </row>
    <row r="608" spans="1:72" x14ac:dyDescent="0.15">
      <c r="A608" t="s">
        <v>133</v>
      </c>
      <c r="B608" t="s">
        <v>12126</v>
      </c>
      <c r="C608" t="s">
        <v>74</v>
      </c>
      <c r="D608" t="s">
        <v>74</v>
      </c>
      <c r="E608" t="s">
        <v>74</v>
      </c>
      <c r="F608" t="s">
        <v>12127</v>
      </c>
      <c r="G608" t="s">
        <v>74</v>
      </c>
      <c r="H608" t="s">
        <v>74</v>
      </c>
      <c r="I608" t="s">
        <v>12128</v>
      </c>
      <c r="J608" t="s">
        <v>12129</v>
      </c>
      <c r="K608" t="s">
        <v>74</v>
      </c>
      <c r="L608" t="s">
        <v>74</v>
      </c>
      <c r="M608" t="s">
        <v>80</v>
      </c>
      <c r="N608" t="s">
        <v>138</v>
      </c>
      <c r="O608" t="s">
        <v>74</v>
      </c>
      <c r="P608" t="s">
        <v>74</v>
      </c>
      <c r="Q608" t="s">
        <v>74</v>
      </c>
      <c r="R608" t="s">
        <v>74</v>
      </c>
      <c r="S608" t="s">
        <v>74</v>
      </c>
      <c r="T608" t="s">
        <v>12130</v>
      </c>
      <c r="U608" t="s">
        <v>12131</v>
      </c>
      <c r="V608" t="s">
        <v>12132</v>
      </c>
      <c r="W608" t="s">
        <v>12133</v>
      </c>
      <c r="X608" t="s">
        <v>12134</v>
      </c>
      <c r="Y608" t="s">
        <v>12135</v>
      </c>
      <c r="Z608" t="s">
        <v>12136</v>
      </c>
      <c r="AA608" t="s">
        <v>74</v>
      </c>
      <c r="AB608" t="s">
        <v>12137</v>
      </c>
      <c r="AC608" t="s">
        <v>12138</v>
      </c>
      <c r="AD608" t="s">
        <v>12138</v>
      </c>
      <c r="AE608" t="s">
        <v>12139</v>
      </c>
      <c r="AF608" t="s">
        <v>74</v>
      </c>
      <c r="AG608">
        <v>42</v>
      </c>
      <c r="AH608">
        <v>1</v>
      </c>
      <c r="AI608">
        <v>1</v>
      </c>
      <c r="AJ608">
        <v>0</v>
      </c>
      <c r="AK608">
        <v>14</v>
      </c>
      <c r="AL608" t="s">
        <v>1964</v>
      </c>
      <c r="AM608" t="s">
        <v>4096</v>
      </c>
      <c r="AN608" t="s">
        <v>4097</v>
      </c>
      <c r="AO608" t="s">
        <v>12140</v>
      </c>
      <c r="AP608" t="s">
        <v>12141</v>
      </c>
      <c r="AQ608" t="s">
        <v>74</v>
      </c>
      <c r="AR608" t="s">
        <v>12142</v>
      </c>
      <c r="AS608" t="s">
        <v>12143</v>
      </c>
      <c r="AT608" t="s">
        <v>1405</v>
      </c>
      <c r="AU608">
        <v>2020</v>
      </c>
      <c r="AV608">
        <v>76</v>
      </c>
      <c r="AW608">
        <v>2</v>
      </c>
      <c r="AX608" t="s">
        <v>74</v>
      </c>
      <c r="AY608" t="s">
        <v>74</v>
      </c>
      <c r="AZ608" t="s">
        <v>74</v>
      </c>
      <c r="BA608" t="s">
        <v>74</v>
      </c>
      <c r="BB608">
        <v>121</v>
      </c>
      <c r="BC608">
        <v>139</v>
      </c>
      <c r="BD608" t="s">
        <v>74</v>
      </c>
      <c r="BE608" t="s">
        <v>12144</v>
      </c>
      <c r="BF608" t="str">
        <f>HYPERLINK("http://dx.doi.org/10.1007/s10872-019-00530-9","http://dx.doi.org/10.1007/s10872-019-00530-9")</f>
        <v>http://dx.doi.org/10.1007/s10872-019-00530-9</v>
      </c>
      <c r="BG608" t="s">
        <v>74</v>
      </c>
      <c r="BH608" t="s">
        <v>11767</v>
      </c>
      <c r="BI608">
        <v>19</v>
      </c>
      <c r="BJ608" t="s">
        <v>1945</v>
      </c>
      <c r="BK608" t="s">
        <v>294</v>
      </c>
      <c r="BL608" t="s">
        <v>1945</v>
      </c>
      <c r="BM608" t="s">
        <v>12145</v>
      </c>
      <c r="BN608" t="s">
        <v>74</v>
      </c>
      <c r="BO608" t="s">
        <v>74</v>
      </c>
      <c r="BP608" t="s">
        <v>74</v>
      </c>
      <c r="BQ608" t="s">
        <v>74</v>
      </c>
      <c r="BR608" t="s">
        <v>108</v>
      </c>
      <c r="BS608" t="s">
        <v>12146</v>
      </c>
      <c r="BT608" t="str">
        <f>HYPERLINK("https%3A%2F%2Fwww.webofscience.com%2Fwos%2Fwoscc%2Ffull-record%2FWOS:000492331600001","View Full Record in Web of Science")</f>
        <v>View Full Record in Web of Science</v>
      </c>
    </row>
    <row r="609" spans="1:72" x14ac:dyDescent="0.15">
      <c r="A609" t="s">
        <v>133</v>
      </c>
      <c r="B609" t="s">
        <v>12147</v>
      </c>
      <c r="C609" t="s">
        <v>74</v>
      </c>
      <c r="D609" t="s">
        <v>74</v>
      </c>
      <c r="E609" t="s">
        <v>74</v>
      </c>
      <c r="F609" t="s">
        <v>12148</v>
      </c>
      <c r="G609" t="s">
        <v>74</v>
      </c>
      <c r="H609" t="s">
        <v>74</v>
      </c>
      <c r="I609" t="s">
        <v>12149</v>
      </c>
      <c r="J609" t="s">
        <v>12150</v>
      </c>
      <c r="K609" t="s">
        <v>74</v>
      </c>
      <c r="L609" t="s">
        <v>74</v>
      </c>
      <c r="M609" t="s">
        <v>80</v>
      </c>
      <c r="N609" t="s">
        <v>138</v>
      </c>
      <c r="O609" t="s">
        <v>74</v>
      </c>
      <c r="P609" t="s">
        <v>74</v>
      </c>
      <c r="Q609" t="s">
        <v>74</v>
      </c>
      <c r="R609" t="s">
        <v>74</v>
      </c>
      <c r="S609" t="s">
        <v>74</v>
      </c>
      <c r="T609" t="s">
        <v>12151</v>
      </c>
      <c r="U609" t="s">
        <v>12152</v>
      </c>
      <c r="V609" t="s">
        <v>12153</v>
      </c>
      <c r="W609" t="s">
        <v>12154</v>
      </c>
      <c r="X609" t="s">
        <v>12155</v>
      </c>
      <c r="Y609" t="s">
        <v>12156</v>
      </c>
      <c r="Z609" t="s">
        <v>12157</v>
      </c>
      <c r="AA609" t="s">
        <v>12158</v>
      </c>
      <c r="AB609" t="s">
        <v>12159</v>
      </c>
      <c r="AC609" t="s">
        <v>12160</v>
      </c>
      <c r="AD609" t="s">
        <v>12161</v>
      </c>
      <c r="AE609" t="s">
        <v>12162</v>
      </c>
      <c r="AF609" t="s">
        <v>74</v>
      </c>
      <c r="AG609">
        <v>86</v>
      </c>
      <c r="AH609">
        <v>25</v>
      </c>
      <c r="AI609">
        <v>26</v>
      </c>
      <c r="AJ609">
        <v>1</v>
      </c>
      <c r="AK609">
        <v>18</v>
      </c>
      <c r="AL609" t="s">
        <v>8845</v>
      </c>
      <c r="AM609" t="s">
        <v>8846</v>
      </c>
      <c r="AN609" t="s">
        <v>8847</v>
      </c>
      <c r="AO609" t="s">
        <v>12163</v>
      </c>
      <c r="AP609" t="s">
        <v>12164</v>
      </c>
      <c r="AQ609" t="s">
        <v>74</v>
      </c>
      <c r="AR609" t="s">
        <v>12150</v>
      </c>
      <c r="AS609" t="s">
        <v>12165</v>
      </c>
      <c r="AT609" t="s">
        <v>12068</v>
      </c>
      <c r="AU609">
        <v>2019</v>
      </c>
      <c r="AV609" t="s">
        <v>74</v>
      </c>
      <c r="AW609">
        <v>51</v>
      </c>
      <c r="AX609" t="s">
        <v>74</v>
      </c>
      <c r="AY609" t="s">
        <v>74</v>
      </c>
      <c r="AZ609" t="s">
        <v>74</v>
      </c>
      <c r="BA609" t="s">
        <v>74</v>
      </c>
      <c r="BB609">
        <v>19</v>
      </c>
      <c r="BC609">
        <v>40</v>
      </c>
      <c r="BD609" t="s">
        <v>74</v>
      </c>
      <c r="BE609" t="s">
        <v>12166</v>
      </c>
      <c r="BF609" t="str">
        <f>HYPERLINK("http://dx.doi.org/10.3897/neobiota.51.37250","http://dx.doi.org/10.3897/neobiota.51.37250")</f>
        <v>http://dx.doi.org/10.3897/neobiota.51.37250</v>
      </c>
      <c r="BG609" t="s">
        <v>74</v>
      </c>
      <c r="BH609" t="s">
        <v>74</v>
      </c>
      <c r="BI609">
        <v>22</v>
      </c>
      <c r="BJ609" t="s">
        <v>3524</v>
      </c>
      <c r="BK609" t="s">
        <v>294</v>
      </c>
      <c r="BL609" t="s">
        <v>295</v>
      </c>
      <c r="BM609" t="s">
        <v>12167</v>
      </c>
      <c r="BN609" t="s">
        <v>74</v>
      </c>
      <c r="BO609" t="s">
        <v>342</v>
      </c>
      <c r="BP609" t="s">
        <v>74</v>
      </c>
      <c r="BQ609" t="s">
        <v>74</v>
      </c>
      <c r="BR609" t="s">
        <v>108</v>
      </c>
      <c r="BS609" t="s">
        <v>12168</v>
      </c>
      <c r="BT609" t="str">
        <f>HYPERLINK("https%3A%2F%2Fwww.webofscience.com%2Fwos%2Fwoscc%2Ffull-record%2FWOS:000493798800002","View Full Record in Web of Science")</f>
        <v>View Full Record in Web of Science</v>
      </c>
    </row>
    <row r="610" spans="1:72" x14ac:dyDescent="0.15">
      <c r="A610" t="s">
        <v>133</v>
      </c>
      <c r="B610" t="s">
        <v>12169</v>
      </c>
      <c r="C610" t="s">
        <v>74</v>
      </c>
      <c r="D610" t="s">
        <v>74</v>
      </c>
      <c r="E610" t="s">
        <v>74</v>
      </c>
      <c r="F610" t="s">
        <v>12170</v>
      </c>
      <c r="G610" t="s">
        <v>74</v>
      </c>
      <c r="H610" t="s">
        <v>74</v>
      </c>
      <c r="I610" t="s">
        <v>12171</v>
      </c>
      <c r="J610" t="s">
        <v>1438</v>
      </c>
      <c r="K610" t="s">
        <v>74</v>
      </c>
      <c r="L610" t="s">
        <v>74</v>
      </c>
      <c r="M610" t="s">
        <v>80</v>
      </c>
      <c r="N610" t="s">
        <v>138</v>
      </c>
      <c r="O610" t="s">
        <v>74</v>
      </c>
      <c r="P610" t="s">
        <v>74</v>
      </c>
      <c r="Q610" t="s">
        <v>74</v>
      </c>
      <c r="R610" t="s">
        <v>74</v>
      </c>
      <c r="S610" t="s">
        <v>74</v>
      </c>
      <c r="T610" t="s">
        <v>12172</v>
      </c>
      <c r="U610" t="s">
        <v>12173</v>
      </c>
      <c r="V610" t="s">
        <v>12174</v>
      </c>
      <c r="W610" t="s">
        <v>12175</v>
      </c>
      <c r="X610" t="s">
        <v>12176</v>
      </c>
      <c r="Y610" t="s">
        <v>12177</v>
      </c>
      <c r="Z610" t="s">
        <v>12178</v>
      </c>
      <c r="AA610" t="s">
        <v>12179</v>
      </c>
      <c r="AB610" t="s">
        <v>12180</v>
      </c>
      <c r="AC610" t="s">
        <v>12181</v>
      </c>
      <c r="AD610" t="s">
        <v>12182</v>
      </c>
      <c r="AE610" t="s">
        <v>12183</v>
      </c>
      <c r="AF610" t="s">
        <v>74</v>
      </c>
      <c r="AG610">
        <v>51</v>
      </c>
      <c r="AH610">
        <v>27</v>
      </c>
      <c r="AI610">
        <v>29</v>
      </c>
      <c r="AJ610">
        <v>0</v>
      </c>
      <c r="AK610">
        <v>29</v>
      </c>
      <c r="AL610" t="s">
        <v>1264</v>
      </c>
      <c r="AM610" t="s">
        <v>1265</v>
      </c>
      <c r="AN610" t="s">
        <v>1266</v>
      </c>
      <c r="AO610" t="s">
        <v>1450</v>
      </c>
      <c r="AP610" t="s">
        <v>1451</v>
      </c>
      <c r="AQ610" t="s">
        <v>74</v>
      </c>
      <c r="AR610" t="s">
        <v>1452</v>
      </c>
      <c r="AS610" t="s">
        <v>1453</v>
      </c>
      <c r="AT610" t="s">
        <v>6987</v>
      </c>
      <c r="AU610">
        <v>2019</v>
      </c>
      <c r="AV610">
        <v>34</v>
      </c>
      <c r="AW610">
        <v>10</v>
      </c>
      <c r="AX610" t="s">
        <v>74</v>
      </c>
      <c r="AY610" t="s">
        <v>74</v>
      </c>
      <c r="AZ610" t="s">
        <v>74</v>
      </c>
      <c r="BA610" t="s">
        <v>74</v>
      </c>
      <c r="BB610">
        <v>1570</v>
      </c>
      <c r="BC610">
        <v>1596</v>
      </c>
      <c r="BD610" t="s">
        <v>74</v>
      </c>
      <c r="BE610" t="s">
        <v>12184</v>
      </c>
      <c r="BF610" t="str">
        <f>HYPERLINK("http://dx.doi.org/10.1029/2019PA003632","http://dx.doi.org/10.1029/2019PA003632")</f>
        <v>http://dx.doi.org/10.1029/2019PA003632</v>
      </c>
      <c r="BG610" t="s">
        <v>74</v>
      </c>
      <c r="BH610" t="s">
        <v>11767</v>
      </c>
      <c r="BI610">
        <v>27</v>
      </c>
      <c r="BJ610" t="s">
        <v>1455</v>
      </c>
      <c r="BK610" t="s">
        <v>294</v>
      </c>
      <c r="BL610" t="s">
        <v>1456</v>
      </c>
      <c r="BM610" t="s">
        <v>12185</v>
      </c>
      <c r="BN610" t="s">
        <v>74</v>
      </c>
      <c r="BO610" t="s">
        <v>12186</v>
      </c>
      <c r="BP610" t="s">
        <v>74</v>
      </c>
      <c r="BQ610" t="s">
        <v>74</v>
      </c>
      <c r="BR610" t="s">
        <v>108</v>
      </c>
      <c r="BS610" t="s">
        <v>12187</v>
      </c>
      <c r="BT610" t="str">
        <f>HYPERLINK("https%3A%2F%2Fwww.webofscience.com%2Fwos%2Fwoscc%2Ffull-record%2FWOS:000492497000001","View Full Record in Web of Science")</f>
        <v>View Full Record in Web of Science</v>
      </c>
    </row>
    <row r="611" spans="1:72" x14ac:dyDescent="0.15">
      <c r="A611" t="s">
        <v>133</v>
      </c>
      <c r="B611" t="s">
        <v>12188</v>
      </c>
      <c r="C611" t="s">
        <v>74</v>
      </c>
      <c r="D611" t="s">
        <v>74</v>
      </c>
      <c r="E611" t="s">
        <v>74</v>
      </c>
      <c r="F611" t="s">
        <v>12189</v>
      </c>
      <c r="G611" t="s">
        <v>74</v>
      </c>
      <c r="H611" t="s">
        <v>74</v>
      </c>
      <c r="I611" t="s">
        <v>12190</v>
      </c>
      <c r="J611" t="s">
        <v>12191</v>
      </c>
      <c r="K611" t="s">
        <v>74</v>
      </c>
      <c r="L611" t="s">
        <v>74</v>
      </c>
      <c r="M611" t="s">
        <v>80</v>
      </c>
      <c r="N611" t="s">
        <v>138</v>
      </c>
      <c r="O611" t="s">
        <v>74</v>
      </c>
      <c r="P611" t="s">
        <v>74</v>
      </c>
      <c r="Q611" t="s">
        <v>74</v>
      </c>
      <c r="R611" t="s">
        <v>74</v>
      </c>
      <c r="S611" t="s">
        <v>74</v>
      </c>
      <c r="T611" t="s">
        <v>12192</v>
      </c>
      <c r="U611" t="s">
        <v>12193</v>
      </c>
      <c r="V611" t="s">
        <v>12194</v>
      </c>
      <c r="W611" t="s">
        <v>12195</v>
      </c>
      <c r="X611" t="s">
        <v>12196</v>
      </c>
      <c r="Y611" t="s">
        <v>12197</v>
      </c>
      <c r="Z611" t="s">
        <v>12198</v>
      </c>
      <c r="AA611" t="s">
        <v>12199</v>
      </c>
      <c r="AB611" t="s">
        <v>12200</v>
      </c>
      <c r="AC611" t="s">
        <v>12201</v>
      </c>
      <c r="AD611" t="s">
        <v>12202</v>
      </c>
      <c r="AE611" t="s">
        <v>12203</v>
      </c>
      <c r="AF611" t="s">
        <v>74</v>
      </c>
      <c r="AG611">
        <v>105</v>
      </c>
      <c r="AH611">
        <v>6</v>
      </c>
      <c r="AI611">
        <v>7</v>
      </c>
      <c r="AJ611">
        <v>1</v>
      </c>
      <c r="AK611">
        <v>24</v>
      </c>
      <c r="AL611" t="s">
        <v>2587</v>
      </c>
      <c r="AM611" t="s">
        <v>2588</v>
      </c>
      <c r="AN611" t="s">
        <v>2589</v>
      </c>
      <c r="AO611" t="s">
        <v>74</v>
      </c>
      <c r="AP611" t="s">
        <v>12204</v>
      </c>
      <c r="AQ611" t="s">
        <v>74</v>
      </c>
      <c r="AR611" t="s">
        <v>12205</v>
      </c>
      <c r="AS611" t="s">
        <v>12206</v>
      </c>
      <c r="AT611" t="s">
        <v>12207</v>
      </c>
      <c r="AU611">
        <v>2019</v>
      </c>
      <c r="AV611">
        <v>7</v>
      </c>
      <c r="AW611" t="s">
        <v>74</v>
      </c>
      <c r="AX611" t="s">
        <v>74</v>
      </c>
      <c r="AY611" t="s">
        <v>74</v>
      </c>
      <c r="AZ611" t="s">
        <v>74</v>
      </c>
      <c r="BA611" t="s">
        <v>74</v>
      </c>
      <c r="BB611" t="s">
        <v>74</v>
      </c>
      <c r="BC611" t="s">
        <v>74</v>
      </c>
      <c r="BD611">
        <v>157</v>
      </c>
      <c r="BE611" t="s">
        <v>12208</v>
      </c>
      <c r="BF611" t="str">
        <f>HYPERLINK("http://dx.doi.org/10.3389/fenvs.2019.00157","http://dx.doi.org/10.3389/fenvs.2019.00157")</f>
        <v>http://dx.doi.org/10.3389/fenvs.2019.00157</v>
      </c>
      <c r="BG611" t="s">
        <v>74</v>
      </c>
      <c r="BH611" t="s">
        <v>74</v>
      </c>
      <c r="BI611">
        <v>17</v>
      </c>
      <c r="BJ611" t="s">
        <v>387</v>
      </c>
      <c r="BK611" t="s">
        <v>360</v>
      </c>
      <c r="BL611" t="s">
        <v>388</v>
      </c>
      <c r="BM611" t="s">
        <v>12209</v>
      </c>
      <c r="BN611" t="s">
        <v>74</v>
      </c>
      <c r="BO611" t="s">
        <v>107</v>
      </c>
      <c r="BP611" t="s">
        <v>74</v>
      </c>
      <c r="BQ611" t="s">
        <v>74</v>
      </c>
      <c r="BR611" t="s">
        <v>108</v>
      </c>
      <c r="BS611" t="s">
        <v>12210</v>
      </c>
      <c r="BT611" t="str">
        <f>HYPERLINK("https%3A%2F%2Fwww.webofscience.com%2Fwos%2Fwoscc%2Ffull-record%2FWOS:000496943300001","View Full Record in Web of Science")</f>
        <v>View Full Record in Web of Science</v>
      </c>
    </row>
    <row r="612" spans="1:72" x14ac:dyDescent="0.15">
      <c r="A612" t="s">
        <v>133</v>
      </c>
      <c r="B612" t="s">
        <v>12211</v>
      </c>
      <c r="C612" t="s">
        <v>74</v>
      </c>
      <c r="D612" t="s">
        <v>74</v>
      </c>
      <c r="E612" t="s">
        <v>74</v>
      </c>
      <c r="F612" t="s">
        <v>12212</v>
      </c>
      <c r="G612" t="s">
        <v>74</v>
      </c>
      <c r="H612" t="s">
        <v>74</v>
      </c>
      <c r="I612" t="s">
        <v>12213</v>
      </c>
      <c r="J612" t="s">
        <v>1928</v>
      </c>
      <c r="K612" t="s">
        <v>74</v>
      </c>
      <c r="L612" t="s">
        <v>74</v>
      </c>
      <c r="M612" t="s">
        <v>80</v>
      </c>
      <c r="N612" t="s">
        <v>138</v>
      </c>
      <c r="O612" t="s">
        <v>74</v>
      </c>
      <c r="P612" t="s">
        <v>74</v>
      </c>
      <c r="Q612" t="s">
        <v>74</v>
      </c>
      <c r="R612" t="s">
        <v>74</v>
      </c>
      <c r="S612" t="s">
        <v>74</v>
      </c>
      <c r="T612" t="s">
        <v>12214</v>
      </c>
      <c r="U612" t="s">
        <v>12215</v>
      </c>
      <c r="V612" t="s">
        <v>12216</v>
      </c>
      <c r="W612" t="s">
        <v>12217</v>
      </c>
      <c r="X612" t="s">
        <v>12218</v>
      </c>
      <c r="Y612" t="s">
        <v>12219</v>
      </c>
      <c r="Z612" t="s">
        <v>12220</v>
      </c>
      <c r="AA612" t="s">
        <v>74</v>
      </c>
      <c r="AB612" t="s">
        <v>74</v>
      </c>
      <c r="AC612" t="s">
        <v>12221</v>
      </c>
      <c r="AD612" t="s">
        <v>12221</v>
      </c>
      <c r="AE612" t="s">
        <v>12222</v>
      </c>
      <c r="AF612" t="s">
        <v>74</v>
      </c>
      <c r="AG612">
        <v>58</v>
      </c>
      <c r="AH612">
        <v>7</v>
      </c>
      <c r="AI612">
        <v>9</v>
      </c>
      <c r="AJ612">
        <v>1</v>
      </c>
      <c r="AK612">
        <v>16</v>
      </c>
      <c r="AL612" t="s">
        <v>1264</v>
      </c>
      <c r="AM612" t="s">
        <v>1265</v>
      </c>
      <c r="AN612" t="s">
        <v>1266</v>
      </c>
      <c r="AO612" t="s">
        <v>1940</v>
      </c>
      <c r="AP612" t="s">
        <v>1941</v>
      </c>
      <c r="AQ612" t="s">
        <v>74</v>
      </c>
      <c r="AR612" t="s">
        <v>1942</v>
      </c>
      <c r="AS612" t="s">
        <v>1943</v>
      </c>
      <c r="AT612" t="s">
        <v>6987</v>
      </c>
      <c r="AU612">
        <v>2019</v>
      </c>
      <c r="AV612">
        <v>124</v>
      </c>
      <c r="AW612">
        <v>10</v>
      </c>
      <c r="AX612" t="s">
        <v>74</v>
      </c>
      <c r="AY612" t="s">
        <v>74</v>
      </c>
      <c r="AZ612" t="s">
        <v>74</v>
      </c>
      <c r="BA612" t="s">
        <v>74</v>
      </c>
      <c r="BB612">
        <v>7082</v>
      </c>
      <c r="BC612">
        <v>7103</v>
      </c>
      <c r="BD612" t="s">
        <v>74</v>
      </c>
      <c r="BE612" t="s">
        <v>12223</v>
      </c>
      <c r="BF612" t="str">
        <f>HYPERLINK("http://dx.doi.org/10.1029/2019JC015267","http://dx.doi.org/10.1029/2019JC015267")</f>
        <v>http://dx.doi.org/10.1029/2019JC015267</v>
      </c>
      <c r="BG612" t="s">
        <v>74</v>
      </c>
      <c r="BH612" t="s">
        <v>11767</v>
      </c>
      <c r="BI612">
        <v>22</v>
      </c>
      <c r="BJ612" t="s">
        <v>1945</v>
      </c>
      <c r="BK612" t="s">
        <v>294</v>
      </c>
      <c r="BL612" t="s">
        <v>1945</v>
      </c>
      <c r="BM612" t="s">
        <v>12224</v>
      </c>
      <c r="BN612" t="s">
        <v>74</v>
      </c>
      <c r="BO612" t="s">
        <v>588</v>
      </c>
      <c r="BP612" t="s">
        <v>74</v>
      </c>
      <c r="BQ612" t="s">
        <v>74</v>
      </c>
      <c r="BR612" t="s">
        <v>108</v>
      </c>
      <c r="BS612" t="s">
        <v>12225</v>
      </c>
      <c r="BT612" t="str">
        <f>HYPERLINK("https%3A%2F%2Fwww.webofscience.com%2Fwos%2Fwoscc%2Ffull-record%2FWOS:000491570500001","View Full Record in Web of Science")</f>
        <v>View Full Record in Web of Science</v>
      </c>
    </row>
    <row r="613" spans="1:72" x14ac:dyDescent="0.15">
      <c r="A613" t="s">
        <v>133</v>
      </c>
      <c r="B613" t="s">
        <v>12226</v>
      </c>
      <c r="C613" t="s">
        <v>74</v>
      </c>
      <c r="D613" t="s">
        <v>74</v>
      </c>
      <c r="E613" t="s">
        <v>74</v>
      </c>
      <c r="F613" t="s">
        <v>12227</v>
      </c>
      <c r="G613" t="s">
        <v>74</v>
      </c>
      <c r="H613" t="s">
        <v>74</v>
      </c>
      <c r="I613" t="s">
        <v>12228</v>
      </c>
      <c r="J613" t="s">
        <v>1487</v>
      </c>
      <c r="K613" t="s">
        <v>74</v>
      </c>
      <c r="L613" t="s">
        <v>74</v>
      </c>
      <c r="M613" t="s">
        <v>80</v>
      </c>
      <c r="N613" t="s">
        <v>138</v>
      </c>
      <c r="O613" t="s">
        <v>74</v>
      </c>
      <c r="P613" t="s">
        <v>74</v>
      </c>
      <c r="Q613" t="s">
        <v>74</v>
      </c>
      <c r="R613" t="s">
        <v>74</v>
      </c>
      <c r="S613" t="s">
        <v>74</v>
      </c>
      <c r="T613" t="s">
        <v>12229</v>
      </c>
      <c r="U613" t="s">
        <v>12230</v>
      </c>
      <c r="V613" t="s">
        <v>12231</v>
      </c>
      <c r="W613" t="s">
        <v>12232</v>
      </c>
      <c r="X613" t="s">
        <v>12233</v>
      </c>
      <c r="Y613" t="s">
        <v>10641</v>
      </c>
      <c r="Z613" t="s">
        <v>10642</v>
      </c>
      <c r="AA613" t="s">
        <v>12234</v>
      </c>
      <c r="AB613" t="s">
        <v>12235</v>
      </c>
      <c r="AC613" t="s">
        <v>12236</v>
      </c>
      <c r="AD613" t="s">
        <v>10646</v>
      </c>
      <c r="AE613" t="s">
        <v>12237</v>
      </c>
      <c r="AF613" t="s">
        <v>74</v>
      </c>
      <c r="AG613">
        <v>82</v>
      </c>
      <c r="AH613">
        <v>17</v>
      </c>
      <c r="AI613">
        <v>18</v>
      </c>
      <c r="AJ613">
        <v>0</v>
      </c>
      <c r="AK613">
        <v>19</v>
      </c>
      <c r="AL613" t="s">
        <v>1264</v>
      </c>
      <c r="AM613" t="s">
        <v>1265</v>
      </c>
      <c r="AN613" t="s">
        <v>1266</v>
      </c>
      <c r="AO613" t="s">
        <v>1500</v>
      </c>
      <c r="AP613" t="s">
        <v>1501</v>
      </c>
      <c r="AQ613" t="s">
        <v>74</v>
      </c>
      <c r="AR613" t="s">
        <v>1502</v>
      </c>
      <c r="AS613" t="s">
        <v>1503</v>
      </c>
      <c r="AT613" t="s">
        <v>11962</v>
      </c>
      <c r="AU613">
        <v>2019</v>
      </c>
      <c r="AV613">
        <v>124</v>
      </c>
      <c r="AW613">
        <v>20</v>
      </c>
      <c r="AX613" t="s">
        <v>74</v>
      </c>
      <c r="AY613" t="s">
        <v>74</v>
      </c>
      <c r="AZ613" t="s">
        <v>74</v>
      </c>
      <c r="BA613" t="s">
        <v>74</v>
      </c>
      <c r="BB613">
        <v>10878</v>
      </c>
      <c r="BC613">
        <v>10895</v>
      </c>
      <c r="BD613" t="s">
        <v>74</v>
      </c>
      <c r="BE613" t="s">
        <v>12238</v>
      </c>
      <c r="BF613" t="str">
        <f>HYPERLINK("http://dx.doi.org/10.1029/2019JD030882","http://dx.doi.org/10.1029/2019JD030882")</f>
        <v>http://dx.doi.org/10.1029/2019JD030882</v>
      </c>
      <c r="BG613" t="s">
        <v>74</v>
      </c>
      <c r="BH613" t="s">
        <v>11767</v>
      </c>
      <c r="BI613">
        <v>18</v>
      </c>
      <c r="BJ613" t="s">
        <v>1024</v>
      </c>
      <c r="BK613" t="s">
        <v>294</v>
      </c>
      <c r="BL613" t="s">
        <v>1024</v>
      </c>
      <c r="BM613" t="s">
        <v>11964</v>
      </c>
      <c r="BN613">
        <v>32913697</v>
      </c>
      <c r="BO613" t="s">
        <v>12239</v>
      </c>
      <c r="BP613" t="s">
        <v>74</v>
      </c>
      <c r="BQ613" t="s">
        <v>74</v>
      </c>
      <c r="BR613" t="s">
        <v>108</v>
      </c>
      <c r="BS613" t="s">
        <v>12240</v>
      </c>
      <c r="BT613" t="str">
        <f>HYPERLINK("https%3A%2F%2Fwww.webofscience.com%2Fwos%2Fwoscc%2Ffull-record%2FWOS:000494092200001","View Full Record in Web of Science")</f>
        <v>View Full Record in Web of Science</v>
      </c>
    </row>
    <row r="614" spans="1:72" x14ac:dyDescent="0.15">
      <c r="A614" t="s">
        <v>133</v>
      </c>
      <c r="B614" t="s">
        <v>12241</v>
      </c>
      <c r="C614" t="s">
        <v>74</v>
      </c>
      <c r="D614" t="s">
        <v>74</v>
      </c>
      <c r="E614" t="s">
        <v>74</v>
      </c>
      <c r="F614" t="s">
        <v>12242</v>
      </c>
      <c r="G614" t="s">
        <v>74</v>
      </c>
      <c r="H614" t="s">
        <v>74</v>
      </c>
      <c r="I614" t="s">
        <v>12243</v>
      </c>
      <c r="J614" t="s">
        <v>12244</v>
      </c>
      <c r="K614" t="s">
        <v>74</v>
      </c>
      <c r="L614" t="s">
        <v>74</v>
      </c>
      <c r="M614" t="s">
        <v>80</v>
      </c>
      <c r="N614" t="s">
        <v>138</v>
      </c>
      <c r="O614" t="s">
        <v>74</v>
      </c>
      <c r="P614" t="s">
        <v>74</v>
      </c>
      <c r="Q614" t="s">
        <v>74</v>
      </c>
      <c r="R614" t="s">
        <v>74</v>
      </c>
      <c r="S614" t="s">
        <v>74</v>
      </c>
      <c r="T614" t="s">
        <v>12245</v>
      </c>
      <c r="U614" t="s">
        <v>12246</v>
      </c>
      <c r="V614" t="s">
        <v>12247</v>
      </c>
      <c r="W614" t="s">
        <v>12248</v>
      </c>
      <c r="X614" t="s">
        <v>9814</v>
      </c>
      <c r="Y614" t="s">
        <v>12249</v>
      </c>
      <c r="Z614" t="s">
        <v>12250</v>
      </c>
      <c r="AA614" t="s">
        <v>12251</v>
      </c>
      <c r="AB614" t="s">
        <v>12252</v>
      </c>
      <c r="AC614" t="s">
        <v>12253</v>
      </c>
      <c r="AD614" t="s">
        <v>12254</v>
      </c>
      <c r="AE614" t="s">
        <v>12255</v>
      </c>
      <c r="AF614" t="s">
        <v>74</v>
      </c>
      <c r="AG614">
        <v>91</v>
      </c>
      <c r="AH614">
        <v>9</v>
      </c>
      <c r="AI614">
        <v>9</v>
      </c>
      <c r="AJ614">
        <v>0</v>
      </c>
      <c r="AK614">
        <v>7</v>
      </c>
      <c r="AL614" t="s">
        <v>2587</v>
      </c>
      <c r="AM614" t="s">
        <v>2588</v>
      </c>
      <c r="AN614" t="s">
        <v>2589</v>
      </c>
      <c r="AO614" t="s">
        <v>74</v>
      </c>
      <c r="AP614" t="s">
        <v>12256</v>
      </c>
      <c r="AQ614" t="s">
        <v>74</v>
      </c>
      <c r="AR614" t="s">
        <v>12257</v>
      </c>
      <c r="AS614" t="s">
        <v>12258</v>
      </c>
      <c r="AT614" t="s">
        <v>12259</v>
      </c>
      <c r="AU614">
        <v>2019</v>
      </c>
      <c r="AV614">
        <v>7</v>
      </c>
      <c r="AW614" t="s">
        <v>74</v>
      </c>
      <c r="AX614" t="s">
        <v>74</v>
      </c>
      <c r="AY614" t="s">
        <v>74</v>
      </c>
      <c r="AZ614" t="s">
        <v>74</v>
      </c>
      <c r="BA614" t="s">
        <v>74</v>
      </c>
      <c r="BB614" t="s">
        <v>74</v>
      </c>
      <c r="BC614" t="s">
        <v>74</v>
      </c>
      <c r="BD614">
        <v>274</v>
      </c>
      <c r="BE614" t="s">
        <v>12260</v>
      </c>
      <c r="BF614" t="str">
        <f>HYPERLINK("http://dx.doi.org/10.3389/feart.2019.00274","http://dx.doi.org/10.3389/feart.2019.00274")</f>
        <v>http://dx.doi.org/10.3389/feart.2019.00274</v>
      </c>
      <c r="BG614" t="s">
        <v>74</v>
      </c>
      <c r="BH614" t="s">
        <v>74</v>
      </c>
      <c r="BI614">
        <v>17</v>
      </c>
      <c r="BJ614" t="s">
        <v>849</v>
      </c>
      <c r="BK614" t="s">
        <v>294</v>
      </c>
      <c r="BL614" t="s">
        <v>850</v>
      </c>
      <c r="BM614" t="s">
        <v>12261</v>
      </c>
      <c r="BN614" t="s">
        <v>74</v>
      </c>
      <c r="BO614" t="s">
        <v>693</v>
      </c>
      <c r="BP614" t="s">
        <v>74</v>
      </c>
      <c r="BQ614" t="s">
        <v>74</v>
      </c>
      <c r="BR614" t="s">
        <v>108</v>
      </c>
      <c r="BS614" t="s">
        <v>12262</v>
      </c>
      <c r="BT614" t="str">
        <f>HYPERLINK("https%3A%2F%2Fwww.webofscience.com%2Fwos%2Fwoscc%2Ffull-record%2FWOS:000494456800001","View Full Record in Web of Science")</f>
        <v>View Full Record in Web of Science</v>
      </c>
    </row>
    <row r="615" spans="1:72" x14ac:dyDescent="0.15">
      <c r="A615" t="s">
        <v>133</v>
      </c>
      <c r="B615" t="s">
        <v>12263</v>
      </c>
      <c r="C615" t="s">
        <v>74</v>
      </c>
      <c r="D615" t="s">
        <v>74</v>
      </c>
      <c r="E615" t="s">
        <v>74</v>
      </c>
      <c r="F615" t="s">
        <v>12264</v>
      </c>
      <c r="G615" t="s">
        <v>74</v>
      </c>
      <c r="H615" t="s">
        <v>74</v>
      </c>
      <c r="I615" t="s">
        <v>12265</v>
      </c>
      <c r="J615" t="s">
        <v>12266</v>
      </c>
      <c r="K615" t="s">
        <v>74</v>
      </c>
      <c r="L615" t="s">
        <v>74</v>
      </c>
      <c r="M615" t="s">
        <v>80</v>
      </c>
      <c r="N615" t="s">
        <v>138</v>
      </c>
      <c r="O615" t="s">
        <v>74</v>
      </c>
      <c r="P615" t="s">
        <v>74</v>
      </c>
      <c r="Q615" t="s">
        <v>74</v>
      </c>
      <c r="R615" t="s">
        <v>74</v>
      </c>
      <c r="S615" t="s">
        <v>74</v>
      </c>
      <c r="T615" t="s">
        <v>74</v>
      </c>
      <c r="U615" t="s">
        <v>12267</v>
      </c>
      <c r="V615" t="s">
        <v>12268</v>
      </c>
      <c r="W615" t="s">
        <v>12269</v>
      </c>
      <c r="X615" t="s">
        <v>12270</v>
      </c>
      <c r="Y615" t="s">
        <v>12271</v>
      </c>
      <c r="Z615" t="s">
        <v>12272</v>
      </c>
      <c r="AA615" t="s">
        <v>12273</v>
      </c>
      <c r="AB615" t="s">
        <v>12274</v>
      </c>
      <c r="AC615" t="s">
        <v>12275</v>
      </c>
      <c r="AD615" t="s">
        <v>12276</v>
      </c>
      <c r="AE615" t="s">
        <v>12277</v>
      </c>
      <c r="AF615" t="s">
        <v>74</v>
      </c>
      <c r="AG615">
        <v>97</v>
      </c>
      <c r="AH615">
        <v>12</v>
      </c>
      <c r="AI615">
        <v>12</v>
      </c>
      <c r="AJ615">
        <v>1</v>
      </c>
      <c r="AK615">
        <v>8</v>
      </c>
      <c r="AL615" t="s">
        <v>2099</v>
      </c>
      <c r="AM615" t="s">
        <v>2100</v>
      </c>
      <c r="AN615" t="s">
        <v>2101</v>
      </c>
      <c r="AO615" t="s">
        <v>12278</v>
      </c>
      <c r="AP615" t="s">
        <v>74</v>
      </c>
      <c r="AQ615" t="s">
        <v>74</v>
      </c>
      <c r="AR615" t="s">
        <v>12279</v>
      </c>
      <c r="AS615" t="s">
        <v>12280</v>
      </c>
      <c r="AT615" t="s">
        <v>12259</v>
      </c>
      <c r="AU615">
        <v>2019</v>
      </c>
      <c r="AV615">
        <v>15</v>
      </c>
      <c r="AW615">
        <v>5</v>
      </c>
      <c r="AX615" t="s">
        <v>74</v>
      </c>
      <c r="AY615" t="s">
        <v>74</v>
      </c>
      <c r="AZ615" t="s">
        <v>74</v>
      </c>
      <c r="BA615" t="s">
        <v>74</v>
      </c>
      <c r="BB615">
        <v>1381</v>
      </c>
      <c r="BC615">
        <v>1397</v>
      </c>
      <c r="BD615" t="s">
        <v>74</v>
      </c>
      <c r="BE615" t="s">
        <v>12281</v>
      </c>
      <c r="BF615" t="str">
        <f>HYPERLINK("http://dx.doi.org/10.5194/os-15-1381-2019","http://dx.doi.org/10.5194/os-15-1381-2019")</f>
        <v>http://dx.doi.org/10.5194/os-15-1381-2019</v>
      </c>
      <c r="BG615" t="s">
        <v>74</v>
      </c>
      <c r="BH615" t="s">
        <v>74</v>
      </c>
      <c r="BI615">
        <v>17</v>
      </c>
      <c r="BJ615" t="s">
        <v>610</v>
      </c>
      <c r="BK615" t="s">
        <v>294</v>
      </c>
      <c r="BL615" t="s">
        <v>610</v>
      </c>
      <c r="BM615" t="s">
        <v>12282</v>
      </c>
      <c r="BN615" t="s">
        <v>74</v>
      </c>
      <c r="BO615" t="s">
        <v>976</v>
      </c>
      <c r="BP615" t="s">
        <v>74</v>
      </c>
      <c r="BQ615" t="s">
        <v>74</v>
      </c>
      <c r="BR615" t="s">
        <v>108</v>
      </c>
      <c r="BS615" t="s">
        <v>12283</v>
      </c>
      <c r="BT615" t="str">
        <f>HYPERLINK("https%3A%2F%2Fwww.webofscience.com%2Fwos%2Fwoscc%2Ffull-record%2FWOS:000492749500001","View Full Record in Web of Science")</f>
        <v>View Full Record in Web of Science</v>
      </c>
    </row>
    <row r="616" spans="1:72" x14ac:dyDescent="0.15">
      <c r="A616" t="s">
        <v>133</v>
      </c>
      <c r="B616" t="s">
        <v>12284</v>
      </c>
      <c r="C616" t="s">
        <v>74</v>
      </c>
      <c r="D616" t="s">
        <v>74</v>
      </c>
      <c r="E616" t="s">
        <v>74</v>
      </c>
      <c r="F616" t="s">
        <v>12285</v>
      </c>
      <c r="G616" t="s">
        <v>74</v>
      </c>
      <c r="H616" t="s">
        <v>74</v>
      </c>
      <c r="I616" t="s">
        <v>12286</v>
      </c>
      <c r="J616" t="s">
        <v>1225</v>
      </c>
      <c r="K616" t="s">
        <v>74</v>
      </c>
      <c r="L616" t="s">
        <v>74</v>
      </c>
      <c r="M616" t="s">
        <v>80</v>
      </c>
      <c r="N616" t="s">
        <v>138</v>
      </c>
      <c r="O616" t="s">
        <v>74</v>
      </c>
      <c r="P616" t="s">
        <v>74</v>
      </c>
      <c r="Q616" t="s">
        <v>74</v>
      </c>
      <c r="R616" t="s">
        <v>74</v>
      </c>
      <c r="S616" t="s">
        <v>74</v>
      </c>
      <c r="T616" t="s">
        <v>74</v>
      </c>
      <c r="U616" t="s">
        <v>12287</v>
      </c>
      <c r="V616" t="s">
        <v>12288</v>
      </c>
      <c r="W616" t="s">
        <v>12289</v>
      </c>
      <c r="X616" t="s">
        <v>12290</v>
      </c>
      <c r="Y616" t="s">
        <v>12291</v>
      </c>
      <c r="Z616" t="s">
        <v>12292</v>
      </c>
      <c r="AA616" t="s">
        <v>74</v>
      </c>
      <c r="AB616" t="s">
        <v>12293</v>
      </c>
      <c r="AC616" t="s">
        <v>12294</v>
      </c>
      <c r="AD616" t="s">
        <v>12295</v>
      </c>
      <c r="AE616" t="s">
        <v>12296</v>
      </c>
      <c r="AF616" t="s">
        <v>74</v>
      </c>
      <c r="AG616">
        <v>44</v>
      </c>
      <c r="AH616">
        <v>7</v>
      </c>
      <c r="AI616">
        <v>9</v>
      </c>
      <c r="AJ616">
        <v>1</v>
      </c>
      <c r="AK616">
        <v>15</v>
      </c>
      <c r="AL616" t="s">
        <v>1237</v>
      </c>
      <c r="AM616" t="s">
        <v>1238</v>
      </c>
      <c r="AN616" t="s">
        <v>1239</v>
      </c>
      <c r="AO616" t="s">
        <v>1240</v>
      </c>
      <c r="AP616" t="s">
        <v>74</v>
      </c>
      <c r="AQ616" t="s">
        <v>74</v>
      </c>
      <c r="AR616" t="s">
        <v>1225</v>
      </c>
      <c r="AS616" t="s">
        <v>1241</v>
      </c>
      <c r="AT616" t="s">
        <v>12297</v>
      </c>
      <c r="AU616">
        <v>2019</v>
      </c>
      <c r="AV616">
        <v>14</v>
      </c>
      <c r="AW616">
        <v>10</v>
      </c>
      <c r="AX616" t="s">
        <v>74</v>
      </c>
      <c r="AY616" t="s">
        <v>74</v>
      </c>
      <c r="AZ616" t="s">
        <v>74</v>
      </c>
      <c r="BA616" t="s">
        <v>74</v>
      </c>
      <c r="BB616" t="s">
        <v>74</v>
      </c>
      <c r="BC616" t="s">
        <v>74</v>
      </c>
      <c r="BD616" t="s">
        <v>12298</v>
      </c>
      <c r="BE616" t="s">
        <v>12299</v>
      </c>
      <c r="BF616" t="str">
        <f>HYPERLINK("http://dx.doi.org/10.1371/journal.pone.0224101","http://dx.doi.org/10.1371/journal.pone.0224101")</f>
        <v>http://dx.doi.org/10.1371/journal.pone.0224101</v>
      </c>
      <c r="BG616" t="s">
        <v>74</v>
      </c>
      <c r="BH616" t="s">
        <v>74</v>
      </c>
      <c r="BI616">
        <v>19</v>
      </c>
      <c r="BJ616" t="s">
        <v>1245</v>
      </c>
      <c r="BK616" t="s">
        <v>294</v>
      </c>
      <c r="BL616" t="s">
        <v>1246</v>
      </c>
      <c r="BM616" t="s">
        <v>12300</v>
      </c>
      <c r="BN616">
        <v>31634379</v>
      </c>
      <c r="BO616" t="s">
        <v>2934</v>
      </c>
      <c r="BP616" t="s">
        <v>74</v>
      </c>
      <c r="BQ616" t="s">
        <v>74</v>
      </c>
      <c r="BR616" t="s">
        <v>108</v>
      </c>
      <c r="BS616" t="s">
        <v>12301</v>
      </c>
      <c r="BT616" t="str">
        <f>HYPERLINK("https%3A%2F%2Fwww.webofscience.com%2Fwos%2Fwoscc%2Ffull-record%2FWOS:000532568300024","View Full Record in Web of Science")</f>
        <v>View Full Record in Web of Science</v>
      </c>
    </row>
    <row r="617" spans="1:72" x14ac:dyDescent="0.15">
      <c r="A617" t="s">
        <v>133</v>
      </c>
      <c r="B617" t="s">
        <v>12302</v>
      </c>
      <c r="C617" t="s">
        <v>74</v>
      </c>
      <c r="D617" t="s">
        <v>74</v>
      </c>
      <c r="E617" t="s">
        <v>74</v>
      </c>
      <c r="F617" t="s">
        <v>12303</v>
      </c>
      <c r="G617" t="s">
        <v>74</v>
      </c>
      <c r="H617" t="s">
        <v>74</v>
      </c>
      <c r="I617" t="s">
        <v>12304</v>
      </c>
      <c r="J617" t="s">
        <v>12305</v>
      </c>
      <c r="K617" t="s">
        <v>74</v>
      </c>
      <c r="L617" t="s">
        <v>74</v>
      </c>
      <c r="M617" t="s">
        <v>80</v>
      </c>
      <c r="N617" t="s">
        <v>138</v>
      </c>
      <c r="O617" t="s">
        <v>74</v>
      </c>
      <c r="P617" t="s">
        <v>74</v>
      </c>
      <c r="Q617" t="s">
        <v>74</v>
      </c>
      <c r="R617" t="s">
        <v>74</v>
      </c>
      <c r="S617" t="s">
        <v>74</v>
      </c>
      <c r="T617" t="s">
        <v>12306</v>
      </c>
      <c r="U617" t="s">
        <v>12307</v>
      </c>
      <c r="V617" t="s">
        <v>12308</v>
      </c>
      <c r="W617" t="s">
        <v>12309</v>
      </c>
      <c r="X617" t="s">
        <v>12310</v>
      </c>
      <c r="Y617" t="s">
        <v>12311</v>
      </c>
      <c r="Z617" t="s">
        <v>12312</v>
      </c>
      <c r="AA617" t="s">
        <v>12313</v>
      </c>
      <c r="AB617" t="s">
        <v>74</v>
      </c>
      <c r="AC617" t="s">
        <v>12314</v>
      </c>
      <c r="AD617" t="s">
        <v>12315</v>
      </c>
      <c r="AE617" t="s">
        <v>12316</v>
      </c>
      <c r="AF617" t="s">
        <v>74</v>
      </c>
      <c r="AG617">
        <v>87</v>
      </c>
      <c r="AH617">
        <v>14</v>
      </c>
      <c r="AI617">
        <v>15</v>
      </c>
      <c r="AJ617">
        <v>1</v>
      </c>
      <c r="AK617">
        <v>14</v>
      </c>
      <c r="AL617" t="s">
        <v>2012</v>
      </c>
      <c r="AM617" t="s">
        <v>1730</v>
      </c>
      <c r="AN617" t="s">
        <v>2013</v>
      </c>
      <c r="AO617" t="s">
        <v>12317</v>
      </c>
      <c r="AP617" t="s">
        <v>74</v>
      </c>
      <c r="AQ617" t="s">
        <v>74</v>
      </c>
      <c r="AR617" t="s">
        <v>12318</v>
      </c>
      <c r="AS617" t="s">
        <v>12319</v>
      </c>
      <c r="AT617" t="s">
        <v>12297</v>
      </c>
      <c r="AU617">
        <v>2019</v>
      </c>
      <c r="AV617">
        <v>7</v>
      </c>
      <c r="AW617">
        <v>1</v>
      </c>
      <c r="AX617" t="s">
        <v>74</v>
      </c>
      <c r="AY617" t="s">
        <v>74</v>
      </c>
      <c r="AZ617" t="s">
        <v>74</v>
      </c>
      <c r="BA617" t="s">
        <v>74</v>
      </c>
      <c r="BB617" t="s">
        <v>74</v>
      </c>
      <c r="BC617" t="s">
        <v>74</v>
      </c>
      <c r="BD617">
        <v>29</v>
      </c>
      <c r="BE617" t="s">
        <v>12320</v>
      </c>
      <c r="BF617" t="str">
        <f>HYPERLINK("http://dx.doi.org/10.1186/s40462-019-0175-3","http://dx.doi.org/10.1186/s40462-019-0175-3")</f>
        <v>http://dx.doi.org/10.1186/s40462-019-0175-3</v>
      </c>
      <c r="BG617" t="s">
        <v>74</v>
      </c>
      <c r="BH617" t="s">
        <v>74</v>
      </c>
      <c r="BI617">
        <v>17</v>
      </c>
      <c r="BJ617" t="s">
        <v>437</v>
      </c>
      <c r="BK617" t="s">
        <v>294</v>
      </c>
      <c r="BL617" t="s">
        <v>388</v>
      </c>
      <c r="BM617" t="s">
        <v>12321</v>
      </c>
      <c r="BN617">
        <v>31660153</v>
      </c>
      <c r="BO617" t="s">
        <v>693</v>
      </c>
      <c r="BP617" t="s">
        <v>74</v>
      </c>
      <c r="BQ617" t="s">
        <v>74</v>
      </c>
      <c r="BR617" t="s">
        <v>108</v>
      </c>
      <c r="BS617" t="s">
        <v>12322</v>
      </c>
      <c r="BT617" t="str">
        <f>HYPERLINK("https%3A%2F%2Fwww.webofscience.com%2Fwos%2Fwoscc%2Ffull-record%2FWOS:000491875900001","View Full Record in Web of Science")</f>
        <v>View Full Record in Web of Science</v>
      </c>
    </row>
    <row r="618" spans="1:72" x14ac:dyDescent="0.15">
      <c r="A618" t="s">
        <v>133</v>
      </c>
      <c r="B618" t="s">
        <v>12323</v>
      </c>
      <c r="C618" t="s">
        <v>74</v>
      </c>
      <c r="D618" t="s">
        <v>74</v>
      </c>
      <c r="E618" t="s">
        <v>74</v>
      </c>
      <c r="F618" t="s">
        <v>12324</v>
      </c>
      <c r="G618" t="s">
        <v>74</v>
      </c>
      <c r="H618" t="s">
        <v>74</v>
      </c>
      <c r="I618" t="s">
        <v>12325</v>
      </c>
      <c r="J618" t="s">
        <v>12326</v>
      </c>
      <c r="K618" t="s">
        <v>74</v>
      </c>
      <c r="L618" t="s">
        <v>74</v>
      </c>
      <c r="M618" t="s">
        <v>80</v>
      </c>
      <c r="N618" t="s">
        <v>138</v>
      </c>
      <c r="O618" t="s">
        <v>74</v>
      </c>
      <c r="P618" t="s">
        <v>74</v>
      </c>
      <c r="Q618" t="s">
        <v>74</v>
      </c>
      <c r="R618" t="s">
        <v>74</v>
      </c>
      <c r="S618" t="s">
        <v>74</v>
      </c>
      <c r="T618" t="s">
        <v>12327</v>
      </c>
      <c r="U618" t="s">
        <v>12328</v>
      </c>
      <c r="V618" t="s">
        <v>12329</v>
      </c>
      <c r="W618" t="s">
        <v>12330</v>
      </c>
      <c r="X618" t="s">
        <v>12331</v>
      </c>
      <c r="Y618" t="s">
        <v>12332</v>
      </c>
      <c r="Z618" t="s">
        <v>12333</v>
      </c>
      <c r="AA618" t="s">
        <v>74</v>
      </c>
      <c r="AB618" t="s">
        <v>12334</v>
      </c>
      <c r="AC618" t="s">
        <v>12335</v>
      </c>
      <c r="AD618" t="s">
        <v>12336</v>
      </c>
      <c r="AE618" t="s">
        <v>12337</v>
      </c>
      <c r="AF618" t="s">
        <v>74</v>
      </c>
      <c r="AG618">
        <v>33</v>
      </c>
      <c r="AH618">
        <v>14</v>
      </c>
      <c r="AI618">
        <v>14</v>
      </c>
      <c r="AJ618">
        <v>1</v>
      </c>
      <c r="AK618">
        <v>23</v>
      </c>
      <c r="AL618" t="s">
        <v>429</v>
      </c>
      <c r="AM618" t="s">
        <v>430</v>
      </c>
      <c r="AN618" t="s">
        <v>431</v>
      </c>
      <c r="AO618" t="s">
        <v>12338</v>
      </c>
      <c r="AP618" t="s">
        <v>74</v>
      </c>
      <c r="AQ618" t="s">
        <v>74</v>
      </c>
      <c r="AR618" t="s">
        <v>12326</v>
      </c>
      <c r="AS618" t="s">
        <v>12339</v>
      </c>
      <c r="AT618" t="s">
        <v>291</v>
      </c>
      <c r="AU618">
        <v>2020</v>
      </c>
      <c r="AV618">
        <v>9</v>
      </c>
      <c r="AW618">
        <v>1</v>
      </c>
      <c r="AX618" t="s">
        <v>74</v>
      </c>
      <c r="AY618" t="s">
        <v>74</v>
      </c>
      <c r="AZ618" t="s">
        <v>74</v>
      </c>
      <c r="BA618" t="s">
        <v>74</v>
      </c>
      <c r="BB618" t="s">
        <v>74</v>
      </c>
      <c r="BC618" t="s">
        <v>74</v>
      </c>
      <c r="BD618" t="s">
        <v>12340</v>
      </c>
      <c r="BE618" t="s">
        <v>12341</v>
      </c>
      <c r="BF618" t="str">
        <f>HYPERLINK("http://dx.doi.org/10.1002/mbo3.950","http://dx.doi.org/10.1002/mbo3.950")</f>
        <v>http://dx.doi.org/10.1002/mbo3.950</v>
      </c>
      <c r="BG618" t="s">
        <v>74</v>
      </c>
      <c r="BH618" t="s">
        <v>11767</v>
      </c>
      <c r="BI618">
        <v>14</v>
      </c>
      <c r="BJ618" t="s">
        <v>1713</v>
      </c>
      <c r="BK618" t="s">
        <v>294</v>
      </c>
      <c r="BL618" t="s">
        <v>1713</v>
      </c>
      <c r="BM618" t="s">
        <v>12342</v>
      </c>
      <c r="BN618">
        <v>31637873</v>
      </c>
      <c r="BO618" t="s">
        <v>693</v>
      </c>
      <c r="BP618" t="s">
        <v>74</v>
      </c>
      <c r="BQ618" t="s">
        <v>74</v>
      </c>
      <c r="BR618" t="s">
        <v>108</v>
      </c>
      <c r="BS618" t="s">
        <v>12343</v>
      </c>
      <c r="BT618" t="str">
        <f>HYPERLINK("https%3A%2F%2Fwww.webofscience.com%2Fwos%2Fwoscc%2Ffull-record%2FWOS:000491780700001","View Full Record in Web of Science")</f>
        <v>View Full Record in Web of Science</v>
      </c>
    </row>
    <row r="619" spans="1:72" x14ac:dyDescent="0.15">
      <c r="A619" t="s">
        <v>133</v>
      </c>
      <c r="B619" t="s">
        <v>12344</v>
      </c>
      <c r="C619" t="s">
        <v>74</v>
      </c>
      <c r="D619" t="s">
        <v>74</v>
      </c>
      <c r="E619" t="s">
        <v>74</v>
      </c>
      <c r="F619" t="s">
        <v>12345</v>
      </c>
      <c r="G619" t="s">
        <v>74</v>
      </c>
      <c r="H619" t="s">
        <v>74</v>
      </c>
      <c r="I619" t="s">
        <v>12346</v>
      </c>
      <c r="J619" t="s">
        <v>12347</v>
      </c>
      <c r="K619" t="s">
        <v>74</v>
      </c>
      <c r="L619" t="s">
        <v>74</v>
      </c>
      <c r="M619" t="s">
        <v>80</v>
      </c>
      <c r="N619" t="s">
        <v>138</v>
      </c>
      <c r="O619" t="s">
        <v>74</v>
      </c>
      <c r="P619" t="s">
        <v>74</v>
      </c>
      <c r="Q619" t="s">
        <v>74</v>
      </c>
      <c r="R619" t="s">
        <v>74</v>
      </c>
      <c r="S619" t="s">
        <v>74</v>
      </c>
      <c r="T619" t="s">
        <v>12348</v>
      </c>
      <c r="U619" t="s">
        <v>12349</v>
      </c>
      <c r="V619" t="s">
        <v>12350</v>
      </c>
      <c r="W619" t="s">
        <v>12351</v>
      </c>
      <c r="X619" t="s">
        <v>3815</v>
      </c>
      <c r="Y619" t="s">
        <v>12352</v>
      </c>
      <c r="Z619" t="s">
        <v>12353</v>
      </c>
      <c r="AA619" t="s">
        <v>12354</v>
      </c>
      <c r="AB619" t="s">
        <v>12355</v>
      </c>
      <c r="AC619" t="s">
        <v>12356</v>
      </c>
      <c r="AD619" t="s">
        <v>12357</v>
      </c>
      <c r="AE619" t="s">
        <v>12358</v>
      </c>
      <c r="AF619" t="s">
        <v>74</v>
      </c>
      <c r="AG619">
        <v>72</v>
      </c>
      <c r="AH619">
        <v>16</v>
      </c>
      <c r="AI619">
        <v>16</v>
      </c>
      <c r="AJ619">
        <v>3</v>
      </c>
      <c r="AK619">
        <v>21</v>
      </c>
      <c r="AL619" t="s">
        <v>429</v>
      </c>
      <c r="AM619" t="s">
        <v>430</v>
      </c>
      <c r="AN619" t="s">
        <v>431</v>
      </c>
      <c r="AO619" t="s">
        <v>12359</v>
      </c>
      <c r="AP619" t="s">
        <v>12360</v>
      </c>
      <c r="AQ619" t="s">
        <v>74</v>
      </c>
      <c r="AR619" t="s">
        <v>12361</v>
      </c>
      <c r="AS619" t="s">
        <v>12362</v>
      </c>
      <c r="AT619" t="s">
        <v>291</v>
      </c>
      <c r="AU619">
        <v>2020</v>
      </c>
      <c r="AV619">
        <v>29</v>
      </c>
      <c r="AW619">
        <v>1</v>
      </c>
      <c r="AX619" t="s">
        <v>74</v>
      </c>
      <c r="AY619" t="s">
        <v>74</v>
      </c>
      <c r="AZ619" t="s">
        <v>74</v>
      </c>
      <c r="BA619" t="s">
        <v>74</v>
      </c>
      <c r="BB619">
        <v>100</v>
      </c>
      <c r="BC619">
        <v>110</v>
      </c>
      <c r="BD619" t="s">
        <v>74</v>
      </c>
      <c r="BE619" t="s">
        <v>12363</v>
      </c>
      <c r="BF619" t="str">
        <f>HYPERLINK("http://dx.doi.org/10.1111/fog.12457","http://dx.doi.org/10.1111/fog.12457")</f>
        <v>http://dx.doi.org/10.1111/fog.12457</v>
      </c>
      <c r="BG619" t="s">
        <v>74</v>
      </c>
      <c r="BH619" t="s">
        <v>11767</v>
      </c>
      <c r="BI619">
        <v>11</v>
      </c>
      <c r="BJ619" t="s">
        <v>12364</v>
      </c>
      <c r="BK619" t="s">
        <v>294</v>
      </c>
      <c r="BL619" t="s">
        <v>12364</v>
      </c>
      <c r="BM619" t="s">
        <v>12365</v>
      </c>
      <c r="BN619" t="s">
        <v>74</v>
      </c>
      <c r="BO619" t="s">
        <v>74</v>
      </c>
      <c r="BP619" t="s">
        <v>74</v>
      </c>
      <c r="BQ619" t="s">
        <v>74</v>
      </c>
      <c r="BR619" t="s">
        <v>108</v>
      </c>
      <c r="BS619" t="s">
        <v>12366</v>
      </c>
      <c r="BT619" t="str">
        <f>HYPERLINK("https%3A%2F%2Fwww.webofscience.com%2Fwos%2Fwoscc%2Ffull-record%2FWOS:000491092200001","View Full Record in Web of Science")</f>
        <v>View Full Record in Web of Science</v>
      </c>
    </row>
    <row r="620" spans="1:72" x14ac:dyDescent="0.15">
      <c r="A620" t="s">
        <v>133</v>
      </c>
      <c r="B620" t="s">
        <v>12367</v>
      </c>
      <c r="C620" t="s">
        <v>74</v>
      </c>
      <c r="D620" t="s">
        <v>74</v>
      </c>
      <c r="E620" t="s">
        <v>74</v>
      </c>
      <c r="F620" t="s">
        <v>12368</v>
      </c>
      <c r="G620" t="s">
        <v>74</v>
      </c>
      <c r="H620" t="s">
        <v>74</v>
      </c>
      <c r="I620" t="s">
        <v>12369</v>
      </c>
      <c r="J620" t="s">
        <v>12370</v>
      </c>
      <c r="K620" t="s">
        <v>74</v>
      </c>
      <c r="L620" t="s">
        <v>74</v>
      </c>
      <c r="M620" t="s">
        <v>80</v>
      </c>
      <c r="N620" t="s">
        <v>138</v>
      </c>
      <c r="O620" t="s">
        <v>74</v>
      </c>
      <c r="P620" t="s">
        <v>74</v>
      </c>
      <c r="Q620" t="s">
        <v>74</v>
      </c>
      <c r="R620" t="s">
        <v>74</v>
      </c>
      <c r="S620" t="s">
        <v>74</v>
      </c>
      <c r="T620" t="s">
        <v>12371</v>
      </c>
      <c r="U620" t="s">
        <v>12372</v>
      </c>
      <c r="V620" t="s">
        <v>12373</v>
      </c>
      <c r="W620" t="s">
        <v>12374</v>
      </c>
      <c r="X620" t="s">
        <v>12375</v>
      </c>
      <c r="Y620" t="s">
        <v>12376</v>
      </c>
      <c r="Z620" t="s">
        <v>12377</v>
      </c>
      <c r="AA620" t="s">
        <v>12378</v>
      </c>
      <c r="AB620" t="s">
        <v>12379</v>
      </c>
      <c r="AC620" t="s">
        <v>12380</v>
      </c>
      <c r="AD620" t="s">
        <v>12381</v>
      </c>
      <c r="AE620" t="s">
        <v>12382</v>
      </c>
      <c r="AF620" t="s">
        <v>74</v>
      </c>
      <c r="AG620">
        <v>91</v>
      </c>
      <c r="AH620">
        <v>23</v>
      </c>
      <c r="AI620">
        <v>25</v>
      </c>
      <c r="AJ620">
        <v>1</v>
      </c>
      <c r="AK620">
        <v>19</v>
      </c>
      <c r="AL620" t="s">
        <v>429</v>
      </c>
      <c r="AM620" t="s">
        <v>430</v>
      </c>
      <c r="AN620" t="s">
        <v>431</v>
      </c>
      <c r="AO620" t="s">
        <v>12383</v>
      </c>
      <c r="AP620" t="s">
        <v>12384</v>
      </c>
      <c r="AQ620" t="s">
        <v>74</v>
      </c>
      <c r="AR620" t="s">
        <v>12385</v>
      </c>
      <c r="AS620" t="s">
        <v>12386</v>
      </c>
      <c r="AT620" t="s">
        <v>291</v>
      </c>
      <c r="AU620">
        <v>2020</v>
      </c>
      <c r="AV620">
        <v>225</v>
      </c>
      <c r="AW620">
        <v>2</v>
      </c>
      <c r="AX620" t="s">
        <v>74</v>
      </c>
      <c r="AY620" t="s">
        <v>74</v>
      </c>
      <c r="AZ620" t="s">
        <v>74</v>
      </c>
      <c r="BA620" t="s">
        <v>74</v>
      </c>
      <c r="BB620">
        <v>754</v>
      </c>
      <c r="BC620">
        <v>768</v>
      </c>
      <c r="BD620" t="s">
        <v>74</v>
      </c>
      <c r="BE620" t="s">
        <v>12387</v>
      </c>
      <c r="BF620" t="str">
        <f>HYPERLINK("http://dx.doi.org/10.1111/nph.16167","http://dx.doi.org/10.1111/nph.16167")</f>
        <v>http://dx.doi.org/10.1111/nph.16167</v>
      </c>
      <c r="BG620" t="s">
        <v>74</v>
      </c>
      <c r="BH620" t="s">
        <v>11767</v>
      </c>
      <c r="BI620">
        <v>15</v>
      </c>
      <c r="BJ620" t="s">
        <v>6734</v>
      </c>
      <c r="BK620" t="s">
        <v>294</v>
      </c>
      <c r="BL620" t="s">
        <v>6734</v>
      </c>
      <c r="BM620" t="s">
        <v>12388</v>
      </c>
      <c r="BN620">
        <v>31489634</v>
      </c>
      <c r="BO620" t="s">
        <v>588</v>
      </c>
      <c r="BP620" t="s">
        <v>74</v>
      </c>
      <c r="BQ620" t="s">
        <v>74</v>
      </c>
      <c r="BR620" t="s">
        <v>108</v>
      </c>
      <c r="BS620" t="s">
        <v>12389</v>
      </c>
      <c r="BT620" t="str">
        <f>HYPERLINK("https%3A%2F%2Fwww.webofscience.com%2Fwos%2Fwoscc%2Ffull-record%2FWOS:000491142000001","View Full Record in Web of Science")</f>
        <v>View Full Record in Web of Science</v>
      </c>
    </row>
    <row r="621" spans="1:72" x14ac:dyDescent="0.15">
      <c r="A621" t="s">
        <v>133</v>
      </c>
      <c r="B621" t="s">
        <v>12390</v>
      </c>
      <c r="C621" t="s">
        <v>74</v>
      </c>
      <c r="D621" t="s">
        <v>74</v>
      </c>
      <c r="E621" t="s">
        <v>74</v>
      </c>
      <c r="F621" t="s">
        <v>12391</v>
      </c>
      <c r="G621" t="s">
        <v>74</v>
      </c>
      <c r="H621" t="s">
        <v>74</v>
      </c>
      <c r="I621" t="s">
        <v>12392</v>
      </c>
      <c r="J621" t="s">
        <v>7414</v>
      </c>
      <c r="K621" t="s">
        <v>74</v>
      </c>
      <c r="L621" t="s">
        <v>74</v>
      </c>
      <c r="M621" t="s">
        <v>80</v>
      </c>
      <c r="N621" t="s">
        <v>138</v>
      </c>
      <c r="O621" t="s">
        <v>74</v>
      </c>
      <c r="P621" t="s">
        <v>74</v>
      </c>
      <c r="Q621" t="s">
        <v>74</v>
      </c>
      <c r="R621" t="s">
        <v>74</v>
      </c>
      <c r="S621" t="s">
        <v>74</v>
      </c>
      <c r="T621" t="s">
        <v>74</v>
      </c>
      <c r="U621" t="s">
        <v>12393</v>
      </c>
      <c r="V621" t="s">
        <v>12394</v>
      </c>
      <c r="W621" t="s">
        <v>12395</v>
      </c>
      <c r="X621" t="s">
        <v>12396</v>
      </c>
      <c r="Y621" t="s">
        <v>12397</v>
      </c>
      <c r="Z621" t="s">
        <v>12398</v>
      </c>
      <c r="AA621" t="s">
        <v>12399</v>
      </c>
      <c r="AB621" t="s">
        <v>12400</v>
      </c>
      <c r="AC621" t="s">
        <v>12401</v>
      </c>
      <c r="AD621" t="s">
        <v>12402</v>
      </c>
      <c r="AE621" t="s">
        <v>12403</v>
      </c>
      <c r="AF621" t="s">
        <v>74</v>
      </c>
      <c r="AG621">
        <v>57</v>
      </c>
      <c r="AH621">
        <v>12</v>
      </c>
      <c r="AI621">
        <v>12</v>
      </c>
      <c r="AJ621">
        <v>0</v>
      </c>
      <c r="AK621">
        <v>2</v>
      </c>
      <c r="AL621" t="s">
        <v>96</v>
      </c>
      <c r="AM621" t="s">
        <v>97</v>
      </c>
      <c r="AN621" t="s">
        <v>3769</v>
      </c>
      <c r="AO621" t="s">
        <v>7427</v>
      </c>
      <c r="AP621" t="s">
        <v>7428</v>
      </c>
      <c r="AQ621" t="s">
        <v>74</v>
      </c>
      <c r="AR621" t="s">
        <v>7429</v>
      </c>
      <c r="AS621" t="s">
        <v>7430</v>
      </c>
      <c r="AT621" t="s">
        <v>12404</v>
      </c>
      <c r="AU621">
        <v>2019</v>
      </c>
      <c r="AV621">
        <v>884</v>
      </c>
      <c r="AW621">
        <v>2</v>
      </c>
      <c r="AX621" t="s">
        <v>74</v>
      </c>
      <c r="AY621" t="s">
        <v>74</v>
      </c>
      <c r="AZ621" t="s">
        <v>74</v>
      </c>
      <c r="BA621" t="s">
        <v>74</v>
      </c>
      <c r="BB621" t="s">
        <v>74</v>
      </c>
      <c r="BC621" t="s">
        <v>74</v>
      </c>
      <c r="BD621" t="s">
        <v>12405</v>
      </c>
      <c r="BE621" t="s">
        <v>12406</v>
      </c>
      <c r="BF621" t="str">
        <f>HYPERLINK("http://dx.doi.org/10.3847/2041-8213/ab43e4","http://dx.doi.org/10.3847/2041-8213/ab43e4")</f>
        <v>http://dx.doi.org/10.3847/2041-8213/ab43e4</v>
      </c>
      <c r="BG621" t="s">
        <v>74</v>
      </c>
      <c r="BH621" t="s">
        <v>74</v>
      </c>
      <c r="BI621">
        <v>9</v>
      </c>
      <c r="BJ621" t="s">
        <v>1571</v>
      </c>
      <c r="BK621" t="s">
        <v>294</v>
      </c>
      <c r="BL621" t="s">
        <v>1571</v>
      </c>
      <c r="BM621" t="s">
        <v>12407</v>
      </c>
      <c r="BN621" t="s">
        <v>74</v>
      </c>
      <c r="BO621" t="s">
        <v>588</v>
      </c>
      <c r="BP621" t="s">
        <v>74</v>
      </c>
      <c r="BQ621" t="s">
        <v>74</v>
      </c>
      <c r="BR621" t="s">
        <v>108</v>
      </c>
      <c r="BS621" t="s">
        <v>12408</v>
      </c>
      <c r="BT621" t="str">
        <f>HYPERLINK("https%3A%2F%2Fwww.webofscience.com%2Fwos%2Fwoscc%2Ffull-record%2FWOS:000516538200002","View Full Record in Web of Science")</f>
        <v>View Full Record in Web of Science</v>
      </c>
    </row>
    <row r="622" spans="1:72" x14ac:dyDescent="0.15">
      <c r="A622" t="s">
        <v>133</v>
      </c>
      <c r="B622" t="s">
        <v>12409</v>
      </c>
      <c r="C622" t="s">
        <v>74</v>
      </c>
      <c r="D622" t="s">
        <v>74</v>
      </c>
      <c r="E622" t="s">
        <v>74</v>
      </c>
      <c r="F622" t="s">
        <v>12410</v>
      </c>
      <c r="G622" t="s">
        <v>74</v>
      </c>
      <c r="H622" t="s">
        <v>12411</v>
      </c>
      <c r="I622" t="s">
        <v>12412</v>
      </c>
      <c r="J622" t="s">
        <v>7314</v>
      </c>
      <c r="K622" t="s">
        <v>74</v>
      </c>
      <c r="L622" t="s">
        <v>74</v>
      </c>
      <c r="M622" t="s">
        <v>80</v>
      </c>
      <c r="N622" t="s">
        <v>138</v>
      </c>
      <c r="O622" t="s">
        <v>74</v>
      </c>
      <c r="P622" t="s">
        <v>74</v>
      </c>
      <c r="Q622" t="s">
        <v>74</v>
      </c>
      <c r="R622" t="s">
        <v>74</v>
      </c>
      <c r="S622" t="s">
        <v>74</v>
      </c>
      <c r="T622" t="s">
        <v>12413</v>
      </c>
      <c r="U622" t="s">
        <v>74</v>
      </c>
      <c r="V622" t="s">
        <v>12414</v>
      </c>
      <c r="W622" t="s">
        <v>12415</v>
      </c>
      <c r="X622" t="s">
        <v>12416</v>
      </c>
      <c r="Y622" t="s">
        <v>12417</v>
      </c>
      <c r="Z622" t="s">
        <v>12418</v>
      </c>
      <c r="AA622" t="s">
        <v>12419</v>
      </c>
      <c r="AB622" t="s">
        <v>12420</v>
      </c>
      <c r="AC622" t="s">
        <v>12421</v>
      </c>
      <c r="AD622" t="s">
        <v>12422</v>
      </c>
      <c r="AE622" t="s">
        <v>12423</v>
      </c>
      <c r="AF622" t="s">
        <v>74</v>
      </c>
      <c r="AG622">
        <v>29</v>
      </c>
      <c r="AH622">
        <v>10</v>
      </c>
      <c r="AI622">
        <v>14</v>
      </c>
      <c r="AJ622">
        <v>0</v>
      </c>
      <c r="AK622">
        <v>1</v>
      </c>
      <c r="AL622" t="s">
        <v>96</v>
      </c>
      <c r="AM622" t="s">
        <v>97</v>
      </c>
      <c r="AN622" t="s">
        <v>3769</v>
      </c>
      <c r="AO622" t="s">
        <v>7326</v>
      </c>
      <c r="AP622" t="s">
        <v>7327</v>
      </c>
      <c r="AQ622" t="s">
        <v>74</v>
      </c>
      <c r="AR622" t="s">
        <v>7328</v>
      </c>
      <c r="AS622" t="s">
        <v>7329</v>
      </c>
      <c r="AT622" t="s">
        <v>12404</v>
      </c>
      <c r="AU622">
        <v>2019</v>
      </c>
      <c r="AV622">
        <v>884</v>
      </c>
      <c r="AW622">
        <v>2</v>
      </c>
      <c r="AX622" t="s">
        <v>74</v>
      </c>
      <c r="AY622" t="s">
        <v>74</v>
      </c>
      <c r="AZ622" t="s">
        <v>74</v>
      </c>
      <c r="BA622" t="s">
        <v>74</v>
      </c>
      <c r="BB622" t="s">
        <v>74</v>
      </c>
      <c r="BC622" t="s">
        <v>74</v>
      </c>
      <c r="BD622">
        <v>114</v>
      </c>
      <c r="BE622" t="s">
        <v>12424</v>
      </c>
      <c r="BF622" t="str">
        <f>HYPERLINK("http://dx.doi.org/10.3847/1538-4357/ab391d","http://dx.doi.org/10.3847/1538-4357/ab391d")</f>
        <v>http://dx.doi.org/10.3847/1538-4357/ab391d</v>
      </c>
      <c r="BG622" t="s">
        <v>74</v>
      </c>
      <c r="BH622" t="s">
        <v>74</v>
      </c>
      <c r="BI622">
        <v>15</v>
      </c>
      <c r="BJ622" t="s">
        <v>1571</v>
      </c>
      <c r="BK622" t="s">
        <v>294</v>
      </c>
      <c r="BL622" t="s">
        <v>1571</v>
      </c>
      <c r="BM622" t="s">
        <v>12425</v>
      </c>
      <c r="BN622" t="s">
        <v>74</v>
      </c>
      <c r="BO622" t="s">
        <v>12426</v>
      </c>
      <c r="BP622" t="s">
        <v>74</v>
      </c>
      <c r="BQ622" t="s">
        <v>74</v>
      </c>
      <c r="BR622" t="s">
        <v>108</v>
      </c>
      <c r="BS622" t="s">
        <v>12427</v>
      </c>
      <c r="BT622" t="str">
        <f>HYPERLINK("https%3A%2F%2Fwww.webofscience.com%2Fwos%2Fwoscc%2Ffull-record%2FWOS:000501761200005","View Full Record in Web of Science")</f>
        <v>View Full Record in Web of Science</v>
      </c>
    </row>
    <row r="623" spans="1:72" x14ac:dyDescent="0.15">
      <c r="A623" t="s">
        <v>133</v>
      </c>
      <c r="B623" t="s">
        <v>12428</v>
      </c>
      <c r="C623" t="s">
        <v>74</v>
      </c>
      <c r="D623" t="s">
        <v>74</v>
      </c>
      <c r="E623" t="s">
        <v>74</v>
      </c>
      <c r="F623" t="s">
        <v>12429</v>
      </c>
      <c r="G623" t="s">
        <v>74</v>
      </c>
      <c r="H623" t="s">
        <v>74</v>
      </c>
      <c r="I623" t="s">
        <v>12430</v>
      </c>
      <c r="J623" t="s">
        <v>12431</v>
      </c>
      <c r="K623" t="s">
        <v>74</v>
      </c>
      <c r="L623" t="s">
        <v>74</v>
      </c>
      <c r="M623" t="s">
        <v>80</v>
      </c>
      <c r="N623" t="s">
        <v>138</v>
      </c>
      <c r="O623" t="s">
        <v>74</v>
      </c>
      <c r="P623" t="s">
        <v>74</v>
      </c>
      <c r="Q623" t="s">
        <v>74</v>
      </c>
      <c r="R623" t="s">
        <v>74</v>
      </c>
      <c r="S623" t="s">
        <v>74</v>
      </c>
      <c r="T623" t="s">
        <v>12432</v>
      </c>
      <c r="U623" t="s">
        <v>12433</v>
      </c>
      <c r="V623" t="s">
        <v>12434</v>
      </c>
      <c r="W623" t="s">
        <v>12435</v>
      </c>
      <c r="X623" t="s">
        <v>12436</v>
      </c>
      <c r="Y623" t="s">
        <v>12437</v>
      </c>
      <c r="Z623" t="s">
        <v>12438</v>
      </c>
      <c r="AA623" t="s">
        <v>74</v>
      </c>
      <c r="AB623" t="s">
        <v>12439</v>
      </c>
      <c r="AC623" t="s">
        <v>12440</v>
      </c>
      <c r="AD623" t="s">
        <v>12440</v>
      </c>
      <c r="AE623" t="s">
        <v>12441</v>
      </c>
      <c r="AF623" t="s">
        <v>74</v>
      </c>
      <c r="AG623">
        <v>63</v>
      </c>
      <c r="AH623">
        <v>4</v>
      </c>
      <c r="AI623">
        <v>4</v>
      </c>
      <c r="AJ623">
        <v>0</v>
      </c>
      <c r="AK623">
        <v>5</v>
      </c>
      <c r="AL623" t="s">
        <v>284</v>
      </c>
      <c r="AM623" t="s">
        <v>285</v>
      </c>
      <c r="AN623" t="s">
        <v>286</v>
      </c>
      <c r="AO623" t="s">
        <v>12442</v>
      </c>
      <c r="AP623" t="s">
        <v>12443</v>
      </c>
      <c r="AQ623" t="s">
        <v>74</v>
      </c>
      <c r="AR623" t="s">
        <v>12431</v>
      </c>
      <c r="AS623" t="s">
        <v>12444</v>
      </c>
      <c r="AT623" t="s">
        <v>12404</v>
      </c>
      <c r="AU623">
        <v>2019</v>
      </c>
      <c r="AV623">
        <v>769</v>
      </c>
      <c r="AW623" t="s">
        <v>74</v>
      </c>
      <c r="AX623" t="s">
        <v>74</v>
      </c>
      <c r="AY623" t="s">
        <v>74</v>
      </c>
      <c r="AZ623" t="s">
        <v>74</v>
      </c>
      <c r="BA623" t="s">
        <v>74</v>
      </c>
      <c r="BB623" t="s">
        <v>74</v>
      </c>
      <c r="BC623" t="s">
        <v>74</v>
      </c>
      <c r="BD623">
        <v>228190</v>
      </c>
      <c r="BE623" t="s">
        <v>12445</v>
      </c>
      <c r="BF623" t="str">
        <f>HYPERLINK("http://dx.doi.org/10.1016/j.tecto.2019.228190","http://dx.doi.org/10.1016/j.tecto.2019.228190")</f>
        <v>http://dx.doi.org/10.1016/j.tecto.2019.228190</v>
      </c>
      <c r="BG623" t="s">
        <v>74</v>
      </c>
      <c r="BH623" t="s">
        <v>74</v>
      </c>
      <c r="BI623">
        <v>22</v>
      </c>
      <c r="BJ623" t="s">
        <v>1067</v>
      </c>
      <c r="BK623" t="s">
        <v>294</v>
      </c>
      <c r="BL623" t="s">
        <v>1067</v>
      </c>
      <c r="BM623" t="s">
        <v>12446</v>
      </c>
      <c r="BN623" t="s">
        <v>74</v>
      </c>
      <c r="BO623" t="s">
        <v>74</v>
      </c>
      <c r="BP623" t="s">
        <v>74</v>
      </c>
      <c r="BQ623" t="s">
        <v>74</v>
      </c>
      <c r="BR623" t="s">
        <v>108</v>
      </c>
      <c r="BS623" t="s">
        <v>12447</v>
      </c>
      <c r="BT623" t="str">
        <f>HYPERLINK("https%3A%2F%2Fwww.webofscience.com%2Fwos%2Fwoscc%2Ffull-record%2FWOS:000497249600005","View Full Record in Web of Science")</f>
        <v>View Full Record in Web of Science</v>
      </c>
    </row>
    <row r="624" spans="1:72" x14ac:dyDescent="0.15">
      <c r="A624" t="s">
        <v>133</v>
      </c>
      <c r="B624" t="s">
        <v>12448</v>
      </c>
      <c r="C624" t="s">
        <v>74</v>
      </c>
      <c r="D624" t="s">
        <v>74</v>
      </c>
      <c r="E624" t="s">
        <v>74</v>
      </c>
      <c r="F624" t="s">
        <v>12449</v>
      </c>
      <c r="G624" t="s">
        <v>74</v>
      </c>
      <c r="H624" t="s">
        <v>74</v>
      </c>
      <c r="I624" t="s">
        <v>12450</v>
      </c>
      <c r="J624" t="s">
        <v>1073</v>
      </c>
      <c r="K624" t="s">
        <v>74</v>
      </c>
      <c r="L624" t="s">
        <v>74</v>
      </c>
      <c r="M624" t="s">
        <v>80</v>
      </c>
      <c r="N624" t="s">
        <v>138</v>
      </c>
      <c r="O624" t="s">
        <v>74</v>
      </c>
      <c r="P624" t="s">
        <v>74</v>
      </c>
      <c r="Q624" t="s">
        <v>74</v>
      </c>
      <c r="R624" t="s">
        <v>74</v>
      </c>
      <c r="S624" t="s">
        <v>74</v>
      </c>
      <c r="T624" t="s">
        <v>12451</v>
      </c>
      <c r="U624" t="s">
        <v>12452</v>
      </c>
      <c r="V624" t="s">
        <v>12453</v>
      </c>
      <c r="W624" t="s">
        <v>12454</v>
      </c>
      <c r="X624" t="s">
        <v>12455</v>
      </c>
      <c r="Y624" t="s">
        <v>12456</v>
      </c>
      <c r="Z624" t="s">
        <v>12457</v>
      </c>
      <c r="AA624" t="s">
        <v>12458</v>
      </c>
      <c r="AB624" t="s">
        <v>12459</v>
      </c>
      <c r="AC624" t="s">
        <v>12460</v>
      </c>
      <c r="AD624" t="s">
        <v>12461</v>
      </c>
      <c r="AE624" t="s">
        <v>12462</v>
      </c>
      <c r="AF624" t="s">
        <v>74</v>
      </c>
      <c r="AG624">
        <v>91</v>
      </c>
      <c r="AH624">
        <v>19</v>
      </c>
      <c r="AI624">
        <v>22</v>
      </c>
      <c r="AJ624">
        <v>3</v>
      </c>
      <c r="AK624">
        <v>46</v>
      </c>
      <c r="AL624" t="s">
        <v>284</v>
      </c>
      <c r="AM624" t="s">
        <v>285</v>
      </c>
      <c r="AN624" t="s">
        <v>286</v>
      </c>
      <c r="AO624" t="s">
        <v>1086</v>
      </c>
      <c r="AP624" t="s">
        <v>1087</v>
      </c>
      <c r="AQ624" t="s">
        <v>74</v>
      </c>
      <c r="AR624" t="s">
        <v>1088</v>
      </c>
      <c r="AS624" t="s">
        <v>1089</v>
      </c>
      <c r="AT624" t="s">
        <v>12404</v>
      </c>
      <c r="AU624">
        <v>2019</v>
      </c>
      <c r="AV624">
        <v>688</v>
      </c>
      <c r="AW624" t="s">
        <v>74</v>
      </c>
      <c r="AX624" t="s">
        <v>74</v>
      </c>
      <c r="AY624" t="s">
        <v>74</v>
      </c>
      <c r="AZ624" t="s">
        <v>74</v>
      </c>
      <c r="BA624" t="s">
        <v>74</v>
      </c>
      <c r="BB624">
        <v>174</v>
      </c>
      <c r="BC624">
        <v>183</v>
      </c>
      <c r="BD624" t="s">
        <v>74</v>
      </c>
      <c r="BE624" t="s">
        <v>12463</v>
      </c>
      <c r="BF624" t="str">
        <f>HYPERLINK("http://dx.doi.org/10.1016/j.scitotenv.2019.06.176","http://dx.doi.org/10.1016/j.scitotenv.2019.06.176")</f>
        <v>http://dx.doi.org/10.1016/j.scitotenv.2019.06.176</v>
      </c>
      <c r="BG624" t="s">
        <v>74</v>
      </c>
      <c r="BH624" t="s">
        <v>74</v>
      </c>
      <c r="BI624">
        <v>10</v>
      </c>
      <c r="BJ624" t="s">
        <v>387</v>
      </c>
      <c r="BK624" t="s">
        <v>294</v>
      </c>
      <c r="BL624" t="s">
        <v>388</v>
      </c>
      <c r="BM624" t="s">
        <v>12464</v>
      </c>
      <c r="BN624">
        <v>31229815</v>
      </c>
      <c r="BO624" t="s">
        <v>74</v>
      </c>
      <c r="BP624" t="s">
        <v>74</v>
      </c>
      <c r="BQ624" t="s">
        <v>74</v>
      </c>
      <c r="BR624" t="s">
        <v>108</v>
      </c>
      <c r="BS624" t="s">
        <v>12465</v>
      </c>
      <c r="BT624" t="str">
        <f>HYPERLINK("https%3A%2F%2Fwww.webofscience.com%2Fwos%2Fwoscc%2Ffull-record%2FWOS:000481589100020","View Full Record in Web of Science")</f>
        <v>View Full Record in Web of Science</v>
      </c>
    </row>
    <row r="625" spans="1:72" x14ac:dyDescent="0.15">
      <c r="A625" t="s">
        <v>133</v>
      </c>
      <c r="B625" t="s">
        <v>12466</v>
      </c>
      <c r="C625" t="s">
        <v>74</v>
      </c>
      <c r="D625" t="s">
        <v>74</v>
      </c>
      <c r="E625" t="s">
        <v>74</v>
      </c>
      <c r="F625" t="s">
        <v>12467</v>
      </c>
      <c r="G625" t="s">
        <v>74</v>
      </c>
      <c r="H625" t="s">
        <v>74</v>
      </c>
      <c r="I625" t="s">
        <v>12468</v>
      </c>
      <c r="J625" t="s">
        <v>1073</v>
      </c>
      <c r="K625" t="s">
        <v>74</v>
      </c>
      <c r="L625" t="s">
        <v>74</v>
      </c>
      <c r="M625" t="s">
        <v>80</v>
      </c>
      <c r="N625" t="s">
        <v>138</v>
      </c>
      <c r="O625" t="s">
        <v>74</v>
      </c>
      <c r="P625" t="s">
        <v>74</v>
      </c>
      <c r="Q625" t="s">
        <v>74</v>
      </c>
      <c r="R625" t="s">
        <v>74</v>
      </c>
      <c r="S625" t="s">
        <v>74</v>
      </c>
      <c r="T625" t="s">
        <v>12469</v>
      </c>
      <c r="U625" t="s">
        <v>12470</v>
      </c>
      <c r="V625" t="s">
        <v>12471</v>
      </c>
      <c r="W625" t="s">
        <v>12472</v>
      </c>
      <c r="X625" t="s">
        <v>12473</v>
      </c>
      <c r="Y625" t="s">
        <v>12474</v>
      </c>
      <c r="Z625" t="s">
        <v>12475</v>
      </c>
      <c r="AA625" t="s">
        <v>12476</v>
      </c>
      <c r="AB625" t="s">
        <v>12477</v>
      </c>
      <c r="AC625" t="s">
        <v>12478</v>
      </c>
      <c r="AD625" t="s">
        <v>12478</v>
      </c>
      <c r="AE625" t="s">
        <v>12479</v>
      </c>
      <c r="AF625" t="s">
        <v>74</v>
      </c>
      <c r="AG625">
        <v>33</v>
      </c>
      <c r="AH625">
        <v>8</v>
      </c>
      <c r="AI625">
        <v>8</v>
      </c>
      <c r="AJ625">
        <v>0</v>
      </c>
      <c r="AK625">
        <v>45</v>
      </c>
      <c r="AL625" t="s">
        <v>284</v>
      </c>
      <c r="AM625" t="s">
        <v>285</v>
      </c>
      <c r="AN625" t="s">
        <v>286</v>
      </c>
      <c r="AO625" t="s">
        <v>1086</v>
      </c>
      <c r="AP625" t="s">
        <v>1087</v>
      </c>
      <c r="AQ625" t="s">
        <v>74</v>
      </c>
      <c r="AR625" t="s">
        <v>1088</v>
      </c>
      <c r="AS625" t="s">
        <v>1089</v>
      </c>
      <c r="AT625" t="s">
        <v>12404</v>
      </c>
      <c r="AU625">
        <v>2019</v>
      </c>
      <c r="AV625">
        <v>688</v>
      </c>
      <c r="AW625" t="s">
        <v>74</v>
      </c>
      <c r="AX625" t="s">
        <v>74</v>
      </c>
      <c r="AY625" t="s">
        <v>74</v>
      </c>
      <c r="AZ625" t="s">
        <v>74</v>
      </c>
      <c r="BA625" t="s">
        <v>74</v>
      </c>
      <c r="BB625">
        <v>529</v>
      </c>
      <c r="BC625">
        <v>535</v>
      </c>
      <c r="BD625" t="s">
        <v>74</v>
      </c>
      <c r="BE625" t="s">
        <v>12480</v>
      </c>
      <c r="BF625" t="str">
        <f>HYPERLINK("http://dx.doi.org/10.1016/j.scitotenv.2019.06.180","http://dx.doi.org/10.1016/j.scitotenv.2019.06.180")</f>
        <v>http://dx.doi.org/10.1016/j.scitotenv.2019.06.180</v>
      </c>
      <c r="BG625" t="s">
        <v>74</v>
      </c>
      <c r="BH625" t="s">
        <v>74</v>
      </c>
      <c r="BI625">
        <v>7</v>
      </c>
      <c r="BJ625" t="s">
        <v>387</v>
      </c>
      <c r="BK625" t="s">
        <v>294</v>
      </c>
      <c r="BL625" t="s">
        <v>388</v>
      </c>
      <c r="BM625" t="s">
        <v>12464</v>
      </c>
      <c r="BN625">
        <v>31254818</v>
      </c>
      <c r="BO625" t="s">
        <v>74</v>
      </c>
      <c r="BP625" t="s">
        <v>74</v>
      </c>
      <c r="BQ625" t="s">
        <v>74</v>
      </c>
      <c r="BR625" t="s">
        <v>108</v>
      </c>
      <c r="BS625" t="s">
        <v>12481</v>
      </c>
      <c r="BT625" t="str">
        <f>HYPERLINK("https%3A%2F%2Fwww.webofscience.com%2Fwos%2Fwoscc%2Ffull-record%2FWOS:000481589100053","View Full Record in Web of Science")</f>
        <v>View Full Record in Web of Science</v>
      </c>
    </row>
    <row r="626" spans="1:72" x14ac:dyDescent="0.15">
      <c r="A626" t="s">
        <v>133</v>
      </c>
      <c r="B626" t="s">
        <v>12482</v>
      </c>
      <c r="C626" t="s">
        <v>74</v>
      </c>
      <c r="D626" t="s">
        <v>74</v>
      </c>
      <c r="E626" t="s">
        <v>74</v>
      </c>
      <c r="F626" t="s">
        <v>12483</v>
      </c>
      <c r="G626" t="s">
        <v>74</v>
      </c>
      <c r="H626" t="s">
        <v>74</v>
      </c>
      <c r="I626" t="s">
        <v>12484</v>
      </c>
      <c r="J626" t="s">
        <v>1928</v>
      </c>
      <c r="K626" t="s">
        <v>74</v>
      </c>
      <c r="L626" t="s">
        <v>74</v>
      </c>
      <c r="M626" t="s">
        <v>80</v>
      </c>
      <c r="N626" t="s">
        <v>138</v>
      </c>
      <c r="O626" t="s">
        <v>74</v>
      </c>
      <c r="P626" t="s">
        <v>74</v>
      </c>
      <c r="Q626" t="s">
        <v>74</v>
      </c>
      <c r="R626" t="s">
        <v>74</v>
      </c>
      <c r="S626" t="s">
        <v>74</v>
      </c>
      <c r="T626" t="s">
        <v>12485</v>
      </c>
      <c r="U626" t="s">
        <v>74</v>
      </c>
      <c r="V626" t="s">
        <v>12486</v>
      </c>
      <c r="W626" t="s">
        <v>12487</v>
      </c>
      <c r="X626" t="s">
        <v>12488</v>
      </c>
      <c r="Y626" t="s">
        <v>12489</v>
      </c>
      <c r="Z626" t="s">
        <v>12490</v>
      </c>
      <c r="AA626" t="s">
        <v>12491</v>
      </c>
      <c r="AB626" t="s">
        <v>12492</v>
      </c>
      <c r="AC626" t="s">
        <v>12493</v>
      </c>
      <c r="AD626" t="s">
        <v>12494</v>
      </c>
      <c r="AE626" t="s">
        <v>12495</v>
      </c>
      <c r="AF626" t="s">
        <v>74</v>
      </c>
      <c r="AG626">
        <v>11</v>
      </c>
      <c r="AH626">
        <v>52</v>
      </c>
      <c r="AI626">
        <v>62</v>
      </c>
      <c r="AJ626">
        <v>2</v>
      </c>
      <c r="AK626">
        <v>48</v>
      </c>
      <c r="AL626" t="s">
        <v>1264</v>
      </c>
      <c r="AM626" t="s">
        <v>1265</v>
      </c>
      <c r="AN626" t="s">
        <v>1266</v>
      </c>
      <c r="AO626" t="s">
        <v>1940</v>
      </c>
      <c r="AP626" t="s">
        <v>1941</v>
      </c>
      <c r="AQ626" t="s">
        <v>74</v>
      </c>
      <c r="AR626" t="s">
        <v>1942</v>
      </c>
      <c r="AS626" t="s">
        <v>1943</v>
      </c>
      <c r="AT626" t="s">
        <v>6987</v>
      </c>
      <c r="AU626">
        <v>2019</v>
      </c>
      <c r="AV626">
        <v>124</v>
      </c>
      <c r="AW626">
        <v>10</v>
      </c>
      <c r="AX626" t="s">
        <v>74</v>
      </c>
      <c r="AY626" t="s">
        <v>74</v>
      </c>
      <c r="AZ626" t="s">
        <v>74</v>
      </c>
      <c r="BA626" t="s">
        <v>74</v>
      </c>
      <c r="BB626">
        <v>6942</v>
      </c>
      <c r="BC626">
        <v>6959</v>
      </c>
      <c r="BD626" t="s">
        <v>74</v>
      </c>
      <c r="BE626" t="s">
        <v>12496</v>
      </c>
      <c r="BF626" t="str">
        <f>HYPERLINK("http://dx.doi.org/10.1029/2019JC015486","http://dx.doi.org/10.1029/2019JC015486")</f>
        <v>http://dx.doi.org/10.1029/2019JC015486</v>
      </c>
      <c r="BG626" t="s">
        <v>74</v>
      </c>
      <c r="BH626" t="s">
        <v>11767</v>
      </c>
      <c r="BI626">
        <v>18</v>
      </c>
      <c r="BJ626" t="s">
        <v>1945</v>
      </c>
      <c r="BK626" t="s">
        <v>294</v>
      </c>
      <c r="BL626" t="s">
        <v>1945</v>
      </c>
      <c r="BM626" t="s">
        <v>12224</v>
      </c>
      <c r="BN626" t="s">
        <v>74</v>
      </c>
      <c r="BO626" t="s">
        <v>74</v>
      </c>
      <c r="BP626" t="s">
        <v>74</v>
      </c>
      <c r="BQ626" t="s">
        <v>74</v>
      </c>
      <c r="BR626" t="s">
        <v>108</v>
      </c>
      <c r="BS626" t="s">
        <v>12497</v>
      </c>
      <c r="BT626" t="str">
        <f>HYPERLINK("https%3A%2F%2Fwww.webofscience.com%2Fwos%2Fwoscc%2Ffull-record%2FWOS:000491432900001","View Full Record in Web of Science")</f>
        <v>View Full Record in Web of Science</v>
      </c>
    </row>
    <row r="627" spans="1:72" x14ac:dyDescent="0.15">
      <c r="A627" t="s">
        <v>133</v>
      </c>
      <c r="B627" t="s">
        <v>12498</v>
      </c>
      <c r="C627" t="s">
        <v>74</v>
      </c>
      <c r="D627" t="s">
        <v>74</v>
      </c>
      <c r="E627" t="s">
        <v>74</v>
      </c>
      <c r="F627" t="s">
        <v>12499</v>
      </c>
      <c r="G627" t="s">
        <v>74</v>
      </c>
      <c r="H627" t="s">
        <v>74</v>
      </c>
      <c r="I627" t="s">
        <v>12500</v>
      </c>
      <c r="J627" t="s">
        <v>8206</v>
      </c>
      <c r="K627" t="s">
        <v>74</v>
      </c>
      <c r="L627" t="s">
        <v>74</v>
      </c>
      <c r="M627" t="s">
        <v>80</v>
      </c>
      <c r="N627" t="s">
        <v>138</v>
      </c>
      <c r="O627" t="s">
        <v>74</v>
      </c>
      <c r="P627" t="s">
        <v>74</v>
      </c>
      <c r="Q627" t="s">
        <v>74</v>
      </c>
      <c r="R627" t="s">
        <v>74</v>
      </c>
      <c r="S627" t="s">
        <v>74</v>
      </c>
      <c r="T627" t="s">
        <v>12501</v>
      </c>
      <c r="U627" t="s">
        <v>12502</v>
      </c>
      <c r="V627" t="s">
        <v>12503</v>
      </c>
      <c r="W627" t="s">
        <v>12504</v>
      </c>
      <c r="X627" t="s">
        <v>12505</v>
      </c>
      <c r="Y627" t="s">
        <v>12506</v>
      </c>
      <c r="Z627" t="s">
        <v>12507</v>
      </c>
      <c r="AA627" t="s">
        <v>12508</v>
      </c>
      <c r="AB627" t="s">
        <v>12509</v>
      </c>
      <c r="AC627" t="s">
        <v>12510</v>
      </c>
      <c r="AD627" t="s">
        <v>12511</v>
      </c>
      <c r="AE627" t="s">
        <v>12512</v>
      </c>
      <c r="AF627" t="s">
        <v>74</v>
      </c>
      <c r="AG627">
        <v>56</v>
      </c>
      <c r="AH627">
        <v>6</v>
      </c>
      <c r="AI627">
        <v>6</v>
      </c>
      <c r="AJ627">
        <v>0</v>
      </c>
      <c r="AK627">
        <v>7</v>
      </c>
      <c r="AL627" t="s">
        <v>2587</v>
      </c>
      <c r="AM627" t="s">
        <v>2588</v>
      </c>
      <c r="AN627" t="s">
        <v>2589</v>
      </c>
      <c r="AO627" t="s">
        <v>74</v>
      </c>
      <c r="AP627" t="s">
        <v>8218</v>
      </c>
      <c r="AQ627" t="s">
        <v>74</v>
      </c>
      <c r="AR627" t="s">
        <v>8219</v>
      </c>
      <c r="AS627" t="s">
        <v>8220</v>
      </c>
      <c r="AT627" t="s">
        <v>12513</v>
      </c>
      <c r="AU627">
        <v>2019</v>
      </c>
      <c r="AV627">
        <v>10</v>
      </c>
      <c r="AW627" t="s">
        <v>74</v>
      </c>
      <c r="AX627" t="s">
        <v>74</v>
      </c>
      <c r="AY627" t="s">
        <v>74</v>
      </c>
      <c r="AZ627" t="s">
        <v>74</v>
      </c>
      <c r="BA627" t="s">
        <v>74</v>
      </c>
      <c r="BB627" t="s">
        <v>74</v>
      </c>
      <c r="BC627" t="s">
        <v>74</v>
      </c>
      <c r="BD627">
        <v>1325</v>
      </c>
      <c r="BE627" t="s">
        <v>12514</v>
      </c>
      <c r="BF627" t="str">
        <f>HYPERLINK("http://dx.doi.org/10.3389/fphys.2019.01325","http://dx.doi.org/10.3389/fphys.2019.01325")</f>
        <v>http://dx.doi.org/10.3389/fphys.2019.01325</v>
      </c>
      <c r="BG627" t="s">
        <v>74</v>
      </c>
      <c r="BH627" t="s">
        <v>74</v>
      </c>
      <c r="BI627">
        <v>9</v>
      </c>
      <c r="BJ627" t="s">
        <v>8223</v>
      </c>
      <c r="BK627" t="s">
        <v>294</v>
      </c>
      <c r="BL627" t="s">
        <v>8223</v>
      </c>
      <c r="BM627" t="s">
        <v>12515</v>
      </c>
      <c r="BN627">
        <v>31681024</v>
      </c>
      <c r="BO627" t="s">
        <v>2107</v>
      </c>
      <c r="BP627" t="s">
        <v>74</v>
      </c>
      <c r="BQ627" t="s">
        <v>74</v>
      </c>
      <c r="BR627" t="s">
        <v>108</v>
      </c>
      <c r="BS627" t="s">
        <v>12516</v>
      </c>
      <c r="BT627" t="str">
        <f>HYPERLINK("https%3A%2F%2Fwww.webofscience.com%2Fwos%2Fwoscc%2Ffull-record%2FWOS:000494328700001","View Full Record in Web of Science")</f>
        <v>View Full Record in Web of Science</v>
      </c>
    </row>
    <row r="628" spans="1:72" x14ac:dyDescent="0.15">
      <c r="A628" t="s">
        <v>133</v>
      </c>
      <c r="B628" t="s">
        <v>12517</v>
      </c>
      <c r="C628" t="s">
        <v>74</v>
      </c>
      <c r="D628" t="s">
        <v>74</v>
      </c>
      <c r="E628" t="s">
        <v>74</v>
      </c>
      <c r="F628" t="s">
        <v>12518</v>
      </c>
      <c r="G628" t="s">
        <v>74</v>
      </c>
      <c r="H628" t="s">
        <v>74</v>
      </c>
      <c r="I628" t="s">
        <v>12519</v>
      </c>
      <c r="J628" t="s">
        <v>6994</v>
      </c>
      <c r="K628" t="s">
        <v>74</v>
      </c>
      <c r="L628" t="s">
        <v>74</v>
      </c>
      <c r="M628" t="s">
        <v>80</v>
      </c>
      <c r="N628" t="s">
        <v>138</v>
      </c>
      <c r="O628" t="s">
        <v>74</v>
      </c>
      <c r="P628" t="s">
        <v>74</v>
      </c>
      <c r="Q628" t="s">
        <v>74</v>
      </c>
      <c r="R628" t="s">
        <v>74</v>
      </c>
      <c r="S628" t="s">
        <v>74</v>
      </c>
      <c r="T628" t="s">
        <v>12520</v>
      </c>
      <c r="U628" t="s">
        <v>12521</v>
      </c>
      <c r="V628" t="s">
        <v>12522</v>
      </c>
      <c r="W628" t="s">
        <v>12523</v>
      </c>
      <c r="X628" t="s">
        <v>12524</v>
      </c>
      <c r="Y628" t="s">
        <v>12525</v>
      </c>
      <c r="Z628" t="s">
        <v>12526</v>
      </c>
      <c r="AA628" t="s">
        <v>12527</v>
      </c>
      <c r="AB628" t="s">
        <v>12528</v>
      </c>
      <c r="AC628" t="s">
        <v>12529</v>
      </c>
      <c r="AD628" t="s">
        <v>12530</v>
      </c>
      <c r="AE628" t="s">
        <v>12531</v>
      </c>
      <c r="AF628" t="s">
        <v>74</v>
      </c>
      <c r="AG628">
        <v>58</v>
      </c>
      <c r="AH628">
        <v>15</v>
      </c>
      <c r="AI628">
        <v>18</v>
      </c>
      <c r="AJ628">
        <v>1</v>
      </c>
      <c r="AK628">
        <v>47</v>
      </c>
      <c r="AL628" t="s">
        <v>2587</v>
      </c>
      <c r="AM628" t="s">
        <v>2588</v>
      </c>
      <c r="AN628" t="s">
        <v>2589</v>
      </c>
      <c r="AO628" t="s">
        <v>74</v>
      </c>
      <c r="AP628" t="s">
        <v>7007</v>
      </c>
      <c r="AQ628" t="s">
        <v>74</v>
      </c>
      <c r="AR628" t="s">
        <v>7008</v>
      </c>
      <c r="AS628" t="s">
        <v>7009</v>
      </c>
      <c r="AT628" t="s">
        <v>12513</v>
      </c>
      <c r="AU628">
        <v>2019</v>
      </c>
      <c r="AV628">
        <v>10</v>
      </c>
      <c r="AW628" t="s">
        <v>74</v>
      </c>
      <c r="AX628" t="s">
        <v>74</v>
      </c>
      <c r="AY628" t="s">
        <v>74</v>
      </c>
      <c r="AZ628" t="s">
        <v>74</v>
      </c>
      <c r="BA628" t="s">
        <v>74</v>
      </c>
      <c r="BB628" t="s">
        <v>74</v>
      </c>
      <c r="BC628" t="s">
        <v>74</v>
      </c>
      <c r="BD628">
        <v>2408</v>
      </c>
      <c r="BE628" t="s">
        <v>12532</v>
      </c>
      <c r="BF628" t="str">
        <f>HYPERLINK("http://dx.doi.org/10.3389/fmicb.2019.02408","http://dx.doi.org/10.3389/fmicb.2019.02408")</f>
        <v>http://dx.doi.org/10.3389/fmicb.2019.02408</v>
      </c>
      <c r="BG628" t="s">
        <v>74</v>
      </c>
      <c r="BH628" t="s">
        <v>74</v>
      </c>
      <c r="BI628">
        <v>14</v>
      </c>
      <c r="BJ628" t="s">
        <v>1713</v>
      </c>
      <c r="BK628" t="s">
        <v>294</v>
      </c>
      <c r="BL628" t="s">
        <v>1713</v>
      </c>
      <c r="BM628" t="s">
        <v>12533</v>
      </c>
      <c r="BN628">
        <v>31681251</v>
      </c>
      <c r="BO628" t="s">
        <v>12534</v>
      </c>
      <c r="BP628" t="s">
        <v>74</v>
      </c>
      <c r="BQ628" t="s">
        <v>74</v>
      </c>
      <c r="BR628" t="s">
        <v>108</v>
      </c>
      <c r="BS628" t="s">
        <v>12535</v>
      </c>
      <c r="BT628" t="str">
        <f>HYPERLINK("https%3A%2F%2Fwww.webofscience.com%2Fwos%2Fwoscc%2Ffull-record%2FWOS:000491992700001","View Full Record in Web of Science")</f>
        <v>View Full Record in Web of Science</v>
      </c>
    </row>
    <row r="629" spans="1:72" x14ac:dyDescent="0.15">
      <c r="A629" t="s">
        <v>133</v>
      </c>
      <c r="B629" t="s">
        <v>12536</v>
      </c>
      <c r="C629" t="s">
        <v>74</v>
      </c>
      <c r="D629" t="s">
        <v>74</v>
      </c>
      <c r="E629" t="s">
        <v>74</v>
      </c>
      <c r="F629" t="s">
        <v>12537</v>
      </c>
      <c r="G629" t="s">
        <v>74</v>
      </c>
      <c r="H629" t="s">
        <v>74</v>
      </c>
      <c r="I629" t="s">
        <v>12538</v>
      </c>
      <c r="J629" t="s">
        <v>1928</v>
      </c>
      <c r="K629" t="s">
        <v>74</v>
      </c>
      <c r="L629" t="s">
        <v>74</v>
      </c>
      <c r="M629" t="s">
        <v>80</v>
      </c>
      <c r="N629" t="s">
        <v>138</v>
      </c>
      <c r="O629" t="s">
        <v>74</v>
      </c>
      <c r="P629" t="s">
        <v>74</v>
      </c>
      <c r="Q629" t="s">
        <v>74</v>
      </c>
      <c r="R629" t="s">
        <v>74</v>
      </c>
      <c r="S629" t="s">
        <v>74</v>
      </c>
      <c r="T629" t="s">
        <v>12539</v>
      </c>
      <c r="U629" t="s">
        <v>12540</v>
      </c>
      <c r="V629" t="s">
        <v>12541</v>
      </c>
      <c r="W629" t="s">
        <v>12542</v>
      </c>
      <c r="X629" t="s">
        <v>12543</v>
      </c>
      <c r="Y629" t="s">
        <v>12544</v>
      </c>
      <c r="Z629" t="s">
        <v>12545</v>
      </c>
      <c r="AA629" t="s">
        <v>12546</v>
      </c>
      <c r="AB629" t="s">
        <v>12547</v>
      </c>
      <c r="AC629" t="s">
        <v>12548</v>
      </c>
      <c r="AD629" t="s">
        <v>12549</v>
      </c>
      <c r="AE629" t="s">
        <v>12550</v>
      </c>
      <c r="AF629" t="s">
        <v>74</v>
      </c>
      <c r="AG629">
        <v>57</v>
      </c>
      <c r="AH629">
        <v>30</v>
      </c>
      <c r="AI629">
        <v>31</v>
      </c>
      <c r="AJ629">
        <v>0</v>
      </c>
      <c r="AK629">
        <v>2</v>
      </c>
      <c r="AL629" t="s">
        <v>1264</v>
      </c>
      <c r="AM629" t="s">
        <v>1265</v>
      </c>
      <c r="AN629" t="s">
        <v>1266</v>
      </c>
      <c r="AO629" t="s">
        <v>1940</v>
      </c>
      <c r="AP629" t="s">
        <v>1941</v>
      </c>
      <c r="AQ629" t="s">
        <v>74</v>
      </c>
      <c r="AR629" t="s">
        <v>1942</v>
      </c>
      <c r="AS629" t="s">
        <v>1943</v>
      </c>
      <c r="AT629" t="s">
        <v>6987</v>
      </c>
      <c r="AU629">
        <v>2019</v>
      </c>
      <c r="AV629">
        <v>124</v>
      </c>
      <c r="AW629">
        <v>10</v>
      </c>
      <c r="AX629" t="s">
        <v>74</v>
      </c>
      <c r="AY629" t="s">
        <v>74</v>
      </c>
      <c r="AZ629" t="s">
        <v>74</v>
      </c>
      <c r="BA629" t="s">
        <v>74</v>
      </c>
      <c r="BB629">
        <v>6904</v>
      </c>
      <c r="BC629">
        <v>6926</v>
      </c>
      <c r="BD629" t="s">
        <v>74</v>
      </c>
      <c r="BE629" t="s">
        <v>12551</v>
      </c>
      <c r="BF629" t="str">
        <f>HYPERLINK("http://dx.doi.org/10.1029/2019JC015001","http://dx.doi.org/10.1029/2019JC015001")</f>
        <v>http://dx.doi.org/10.1029/2019JC015001</v>
      </c>
      <c r="BG629" t="s">
        <v>74</v>
      </c>
      <c r="BH629" t="s">
        <v>11767</v>
      </c>
      <c r="BI629">
        <v>23</v>
      </c>
      <c r="BJ629" t="s">
        <v>1945</v>
      </c>
      <c r="BK629" t="s">
        <v>294</v>
      </c>
      <c r="BL629" t="s">
        <v>1945</v>
      </c>
      <c r="BM629" t="s">
        <v>12224</v>
      </c>
      <c r="BN629" t="s">
        <v>74</v>
      </c>
      <c r="BO629" t="s">
        <v>2403</v>
      </c>
      <c r="BP629" t="s">
        <v>74</v>
      </c>
      <c r="BQ629" t="s">
        <v>74</v>
      </c>
      <c r="BR629" t="s">
        <v>108</v>
      </c>
      <c r="BS629" t="s">
        <v>12552</v>
      </c>
      <c r="BT629" t="str">
        <f>HYPERLINK("https%3A%2F%2Fwww.webofscience.com%2Fwos%2Fwoscc%2Ffull-record%2FWOS:000491923300001","View Full Record in Web of Science")</f>
        <v>View Full Record in Web of Science</v>
      </c>
    </row>
    <row r="630" spans="1:72" x14ac:dyDescent="0.15">
      <c r="A630" t="s">
        <v>133</v>
      </c>
      <c r="B630" t="s">
        <v>7388</v>
      </c>
      <c r="C630" t="s">
        <v>74</v>
      </c>
      <c r="D630" t="s">
        <v>74</v>
      </c>
      <c r="E630" t="s">
        <v>74</v>
      </c>
      <c r="F630" t="s">
        <v>7389</v>
      </c>
      <c r="G630" t="s">
        <v>74</v>
      </c>
      <c r="H630" t="s">
        <v>74</v>
      </c>
      <c r="I630" t="s">
        <v>12553</v>
      </c>
      <c r="J630" t="s">
        <v>2026</v>
      </c>
      <c r="K630" t="s">
        <v>74</v>
      </c>
      <c r="L630" t="s">
        <v>74</v>
      </c>
      <c r="M630" t="s">
        <v>80</v>
      </c>
      <c r="N630" t="s">
        <v>930</v>
      </c>
      <c r="O630" t="s">
        <v>74</v>
      </c>
      <c r="P630" t="s">
        <v>74</v>
      </c>
      <c r="Q630" t="s">
        <v>74</v>
      </c>
      <c r="R630" t="s">
        <v>74</v>
      </c>
      <c r="S630" t="s">
        <v>74</v>
      </c>
      <c r="T630" t="s">
        <v>74</v>
      </c>
      <c r="U630" t="s">
        <v>12554</v>
      </c>
      <c r="V630" t="s">
        <v>12555</v>
      </c>
      <c r="W630" t="s">
        <v>12556</v>
      </c>
      <c r="X630" t="s">
        <v>12557</v>
      </c>
      <c r="Y630" t="s">
        <v>12558</v>
      </c>
      <c r="Z630" t="s">
        <v>12559</v>
      </c>
      <c r="AA630" t="s">
        <v>12560</v>
      </c>
      <c r="AB630" t="s">
        <v>12561</v>
      </c>
      <c r="AC630" t="s">
        <v>12562</v>
      </c>
      <c r="AD630" t="s">
        <v>12563</v>
      </c>
      <c r="AE630" t="s">
        <v>12564</v>
      </c>
      <c r="AF630" t="s">
        <v>74</v>
      </c>
      <c r="AG630">
        <v>137</v>
      </c>
      <c r="AH630">
        <v>111</v>
      </c>
      <c r="AI630">
        <v>127</v>
      </c>
      <c r="AJ630">
        <v>24</v>
      </c>
      <c r="AK630">
        <v>136</v>
      </c>
      <c r="AL630" t="s">
        <v>2038</v>
      </c>
      <c r="AM630" t="s">
        <v>1730</v>
      </c>
      <c r="AN630" t="s">
        <v>2039</v>
      </c>
      <c r="AO630" t="s">
        <v>2040</v>
      </c>
      <c r="AP630" t="s">
        <v>74</v>
      </c>
      <c r="AQ630" t="s">
        <v>74</v>
      </c>
      <c r="AR630" t="s">
        <v>2041</v>
      </c>
      <c r="AS630" t="s">
        <v>2042</v>
      </c>
      <c r="AT630" t="s">
        <v>12513</v>
      </c>
      <c r="AU630">
        <v>2019</v>
      </c>
      <c r="AV630">
        <v>10</v>
      </c>
      <c r="AW630" t="s">
        <v>74</v>
      </c>
      <c r="AX630" t="s">
        <v>74</v>
      </c>
      <c r="AY630" t="s">
        <v>74</v>
      </c>
      <c r="AZ630" t="s">
        <v>74</v>
      </c>
      <c r="BA630" t="s">
        <v>74</v>
      </c>
      <c r="BB630" t="s">
        <v>74</v>
      </c>
      <c r="BC630" t="s">
        <v>74</v>
      </c>
      <c r="BD630">
        <v>4742</v>
      </c>
      <c r="BE630" t="s">
        <v>12565</v>
      </c>
      <c r="BF630" t="str">
        <f>HYPERLINK("http://dx.doi.org/10.1038/s41467-019-12668-7","http://dx.doi.org/10.1038/s41467-019-12668-7")</f>
        <v>http://dx.doi.org/10.1038/s41467-019-12668-7</v>
      </c>
      <c r="BG630" t="s">
        <v>74</v>
      </c>
      <c r="BH630" t="s">
        <v>74</v>
      </c>
      <c r="BI630">
        <v>13</v>
      </c>
      <c r="BJ630" t="s">
        <v>1245</v>
      </c>
      <c r="BK630" t="s">
        <v>294</v>
      </c>
      <c r="BL630" t="s">
        <v>1246</v>
      </c>
      <c r="BM630" t="s">
        <v>12566</v>
      </c>
      <c r="BN630">
        <v>31628346</v>
      </c>
      <c r="BO630" t="s">
        <v>1791</v>
      </c>
      <c r="BP630" t="s">
        <v>74</v>
      </c>
      <c r="BQ630" t="s">
        <v>74</v>
      </c>
      <c r="BR630" t="s">
        <v>108</v>
      </c>
      <c r="BS630" t="s">
        <v>12567</v>
      </c>
      <c r="BT630" t="str">
        <f>HYPERLINK("https%3A%2F%2Fwww.webofscience.com%2Fwos%2Fwoscc%2Ffull-record%2FWOS:000490981900011","View Full Record in Web of Science")</f>
        <v>View Full Record in Web of Science</v>
      </c>
    </row>
    <row r="631" spans="1:72" x14ac:dyDescent="0.15">
      <c r="A631" t="s">
        <v>133</v>
      </c>
      <c r="B631" t="s">
        <v>12568</v>
      </c>
      <c r="C631" t="s">
        <v>74</v>
      </c>
      <c r="D631" t="s">
        <v>74</v>
      </c>
      <c r="E631" t="s">
        <v>74</v>
      </c>
      <c r="F631" t="s">
        <v>12569</v>
      </c>
      <c r="G631" t="s">
        <v>74</v>
      </c>
      <c r="H631" t="s">
        <v>74</v>
      </c>
      <c r="I631" t="s">
        <v>12570</v>
      </c>
      <c r="J631" t="s">
        <v>12571</v>
      </c>
      <c r="K631" t="s">
        <v>74</v>
      </c>
      <c r="L631" t="s">
        <v>74</v>
      </c>
      <c r="M631" t="s">
        <v>80</v>
      </c>
      <c r="N631" t="s">
        <v>138</v>
      </c>
      <c r="O631" t="s">
        <v>74</v>
      </c>
      <c r="P631" t="s">
        <v>74</v>
      </c>
      <c r="Q631" t="s">
        <v>74</v>
      </c>
      <c r="R631" t="s">
        <v>74</v>
      </c>
      <c r="S631" t="s">
        <v>74</v>
      </c>
      <c r="T631" t="s">
        <v>12572</v>
      </c>
      <c r="U631" t="s">
        <v>12573</v>
      </c>
      <c r="V631" t="s">
        <v>12574</v>
      </c>
      <c r="W631" t="s">
        <v>12575</v>
      </c>
      <c r="X631" t="s">
        <v>12576</v>
      </c>
      <c r="Y631" t="s">
        <v>12577</v>
      </c>
      <c r="Z631" t="s">
        <v>12578</v>
      </c>
      <c r="AA631" t="s">
        <v>74</v>
      </c>
      <c r="AB631" t="s">
        <v>12579</v>
      </c>
      <c r="AC631" t="s">
        <v>12580</v>
      </c>
      <c r="AD631" t="s">
        <v>12581</v>
      </c>
      <c r="AE631" t="s">
        <v>12582</v>
      </c>
      <c r="AF631" t="s">
        <v>74</v>
      </c>
      <c r="AG631">
        <v>63</v>
      </c>
      <c r="AH631">
        <v>21</v>
      </c>
      <c r="AI631">
        <v>22</v>
      </c>
      <c r="AJ631">
        <v>0</v>
      </c>
      <c r="AK631">
        <v>19</v>
      </c>
      <c r="AL631" t="s">
        <v>1964</v>
      </c>
      <c r="AM631" t="s">
        <v>4096</v>
      </c>
      <c r="AN631" t="s">
        <v>4097</v>
      </c>
      <c r="AO631" t="s">
        <v>12583</v>
      </c>
      <c r="AP631" t="s">
        <v>12584</v>
      </c>
      <c r="AQ631" t="s">
        <v>74</v>
      </c>
      <c r="AR631" t="s">
        <v>12571</v>
      </c>
      <c r="AS631" t="s">
        <v>12585</v>
      </c>
      <c r="AT631" t="s">
        <v>291</v>
      </c>
      <c r="AU631">
        <v>2020</v>
      </c>
      <c r="AV631">
        <v>847</v>
      </c>
      <c r="AW631">
        <v>1</v>
      </c>
      <c r="AX631" t="s">
        <v>74</v>
      </c>
      <c r="AY631" t="s">
        <v>74</v>
      </c>
      <c r="AZ631" t="s">
        <v>74</v>
      </c>
      <c r="BA631" t="s">
        <v>74</v>
      </c>
      <c r="BB631">
        <v>309</v>
      </c>
      <c r="BC631">
        <v>319</v>
      </c>
      <c r="BD631" t="s">
        <v>74</v>
      </c>
      <c r="BE631" t="s">
        <v>12586</v>
      </c>
      <c r="BF631" t="str">
        <f>HYPERLINK("http://dx.doi.org/10.1007/s10750-019-04096-x","http://dx.doi.org/10.1007/s10750-019-04096-x")</f>
        <v>http://dx.doi.org/10.1007/s10750-019-04096-x</v>
      </c>
      <c r="BG631" t="s">
        <v>74</v>
      </c>
      <c r="BH631" t="s">
        <v>11767</v>
      </c>
      <c r="BI631">
        <v>11</v>
      </c>
      <c r="BJ631" t="s">
        <v>557</v>
      </c>
      <c r="BK631" t="s">
        <v>294</v>
      </c>
      <c r="BL631" t="s">
        <v>557</v>
      </c>
      <c r="BM631" t="s">
        <v>12587</v>
      </c>
      <c r="BN631">
        <v>32435070</v>
      </c>
      <c r="BO631" t="s">
        <v>1740</v>
      </c>
      <c r="BP631" t="s">
        <v>74</v>
      </c>
      <c r="BQ631" t="s">
        <v>74</v>
      </c>
      <c r="BR631" t="s">
        <v>108</v>
      </c>
      <c r="BS631" t="s">
        <v>12588</v>
      </c>
      <c r="BT631" t="str">
        <f>HYPERLINK("https%3A%2F%2Fwww.webofscience.com%2Fwos%2Fwoscc%2Ffull-record%2FWOS:000491397900002","View Full Record in Web of Science")</f>
        <v>View Full Record in Web of Science</v>
      </c>
    </row>
    <row r="632" spans="1:72" x14ac:dyDescent="0.15">
      <c r="A632" t="s">
        <v>133</v>
      </c>
      <c r="B632" t="s">
        <v>12589</v>
      </c>
      <c r="C632" t="s">
        <v>74</v>
      </c>
      <c r="D632" t="s">
        <v>74</v>
      </c>
      <c r="E632" t="s">
        <v>74</v>
      </c>
      <c r="F632" t="s">
        <v>12590</v>
      </c>
      <c r="G632" t="s">
        <v>74</v>
      </c>
      <c r="H632" t="s">
        <v>74</v>
      </c>
      <c r="I632" t="s">
        <v>12591</v>
      </c>
      <c r="J632" t="s">
        <v>2723</v>
      </c>
      <c r="K632" t="s">
        <v>74</v>
      </c>
      <c r="L632" t="s">
        <v>74</v>
      </c>
      <c r="M632" t="s">
        <v>80</v>
      </c>
      <c r="N632" t="s">
        <v>7391</v>
      </c>
      <c r="O632" t="s">
        <v>74</v>
      </c>
      <c r="P632" t="s">
        <v>74</v>
      </c>
      <c r="Q632" t="s">
        <v>74</v>
      </c>
      <c r="R632" t="s">
        <v>74</v>
      </c>
      <c r="S632" t="s">
        <v>74</v>
      </c>
      <c r="T632" t="s">
        <v>12592</v>
      </c>
      <c r="U632" t="s">
        <v>74</v>
      </c>
      <c r="V632" t="s">
        <v>74</v>
      </c>
      <c r="W632" t="s">
        <v>12593</v>
      </c>
      <c r="X632" t="s">
        <v>12594</v>
      </c>
      <c r="Y632" t="s">
        <v>12595</v>
      </c>
      <c r="Z632" t="s">
        <v>12596</v>
      </c>
      <c r="AA632" t="s">
        <v>12597</v>
      </c>
      <c r="AB632" t="s">
        <v>12598</v>
      </c>
      <c r="AC632" t="s">
        <v>12599</v>
      </c>
      <c r="AD632" t="s">
        <v>12600</v>
      </c>
      <c r="AE632" t="s">
        <v>74</v>
      </c>
      <c r="AF632" t="s">
        <v>74</v>
      </c>
      <c r="AG632">
        <v>1</v>
      </c>
      <c r="AH632">
        <v>0</v>
      </c>
      <c r="AI632">
        <v>0</v>
      </c>
      <c r="AJ632">
        <v>1</v>
      </c>
      <c r="AK632">
        <v>8</v>
      </c>
      <c r="AL632" t="s">
        <v>2587</v>
      </c>
      <c r="AM632" t="s">
        <v>2588</v>
      </c>
      <c r="AN632" t="s">
        <v>2589</v>
      </c>
      <c r="AO632" t="s">
        <v>74</v>
      </c>
      <c r="AP632" t="s">
        <v>2734</v>
      </c>
      <c r="AQ632" t="s">
        <v>74</v>
      </c>
      <c r="AR632" t="s">
        <v>2735</v>
      </c>
      <c r="AS632" t="s">
        <v>2736</v>
      </c>
      <c r="AT632" t="s">
        <v>12513</v>
      </c>
      <c r="AU632">
        <v>2019</v>
      </c>
      <c r="AV632">
        <v>6</v>
      </c>
      <c r="AW632" t="s">
        <v>74</v>
      </c>
      <c r="AX632" t="s">
        <v>74</v>
      </c>
      <c r="AY632" t="s">
        <v>74</v>
      </c>
      <c r="AZ632" t="s">
        <v>74</v>
      </c>
      <c r="BA632" t="s">
        <v>74</v>
      </c>
      <c r="BB632" t="s">
        <v>74</v>
      </c>
      <c r="BC632" t="s">
        <v>74</v>
      </c>
      <c r="BD632">
        <v>643</v>
      </c>
      <c r="BE632" t="s">
        <v>12601</v>
      </c>
      <c r="BF632" t="str">
        <f>HYPERLINK("http://dx.doi.org/10.3389/fmars.2019.00643","http://dx.doi.org/10.3389/fmars.2019.00643")</f>
        <v>http://dx.doi.org/10.3389/fmars.2019.00643</v>
      </c>
      <c r="BG632" t="s">
        <v>74</v>
      </c>
      <c r="BH632" t="s">
        <v>74</v>
      </c>
      <c r="BI632">
        <v>1</v>
      </c>
      <c r="BJ632" t="s">
        <v>2738</v>
      </c>
      <c r="BK632" t="s">
        <v>294</v>
      </c>
      <c r="BL632" t="s">
        <v>2739</v>
      </c>
      <c r="BM632" t="s">
        <v>12602</v>
      </c>
      <c r="BN632" t="s">
        <v>74</v>
      </c>
      <c r="BO632" t="s">
        <v>693</v>
      </c>
      <c r="BP632" t="s">
        <v>74</v>
      </c>
      <c r="BQ632" t="s">
        <v>74</v>
      </c>
      <c r="BR632" t="s">
        <v>108</v>
      </c>
      <c r="BS632" t="s">
        <v>12603</v>
      </c>
      <c r="BT632" t="str">
        <f>HYPERLINK("https%3A%2F%2Fwww.webofscience.com%2Fwos%2Fwoscc%2Ffull-record%2FWOS:000491076500001","View Full Record in Web of Science")</f>
        <v>View Full Record in Web of Science</v>
      </c>
    </row>
    <row r="633" spans="1:72" x14ac:dyDescent="0.15">
      <c r="A633" t="s">
        <v>133</v>
      </c>
      <c r="B633" t="s">
        <v>12604</v>
      </c>
      <c r="C633" t="s">
        <v>74</v>
      </c>
      <c r="D633" t="s">
        <v>74</v>
      </c>
      <c r="E633" t="s">
        <v>74</v>
      </c>
      <c r="F633" t="s">
        <v>12605</v>
      </c>
      <c r="G633" t="s">
        <v>74</v>
      </c>
      <c r="H633" t="s">
        <v>74</v>
      </c>
      <c r="I633" t="s">
        <v>12606</v>
      </c>
      <c r="J633" t="s">
        <v>6037</v>
      </c>
      <c r="K633" t="s">
        <v>74</v>
      </c>
      <c r="L633" t="s">
        <v>74</v>
      </c>
      <c r="M633" t="s">
        <v>80</v>
      </c>
      <c r="N633" t="s">
        <v>138</v>
      </c>
      <c r="O633" t="s">
        <v>74</v>
      </c>
      <c r="P633" t="s">
        <v>74</v>
      </c>
      <c r="Q633" t="s">
        <v>74</v>
      </c>
      <c r="R633" t="s">
        <v>74</v>
      </c>
      <c r="S633" t="s">
        <v>74</v>
      </c>
      <c r="T633" t="s">
        <v>12607</v>
      </c>
      <c r="U633" t="s">
        <v>12608</v>
      </c>
      <c r="V633" t="s">
        <v>12609</v>
      </c>
      <c r="W633" t="s">
        <v>12610</v>
      </c>
      <c r="X633" t="s">
        <v>12611</v>
      </c>
      <c r="Y633" t="s">
        <v>12612</v>
      </c>
      <c r="Z633" t="s">
        <v>12613</v>
      </c>
      <c r="AA633" t="s">
        <v>12614</v>
      </c>
      <c r="AB633" t="s">
        <v>12615</v>
      </c>
      <c r="AC633" t="s">
        <v>12616</v>
      </c>
      <c r="AD633" t="s">
        <v>12617</v>
      </c>
      <c r="AE633" t="s">
        <v>12618</v>
      </c>
      <c r="AF633" t="s">
        <v>74</v>
      </c>
      <c r="AG633">
        <v>26</v>
      </c>
      <c r="AH633">
        <v>5</v>
      </c>
      <c r="AI633">
        <v>5</v>
      </c>
      <c r="AJ633">
        <v>0</v>
      </c>
      <c r="AK633">
        <v>9</v>
      </c>
      <c r="AL633" t="s">
        <v>1964</v>
      </c>
      <c r="AM633" t="s">
        <v>4096</v>
      </c>
      <c r="AN633" t="s">
        <v>4097</v>
      </c>
      <c r="AO633" t="s">
        <v>6050</v>
      </c>
      <c r="AP633" t="s">
        <v>6051</v>
      </c>
      <c r="AQ633" t="s">
        <v>74</v>
      </c>
      <c r="AR633" t="s">
        <v>6052</v>
      </c>
      <c r="AS633" t="s">
        <v>6053</v>
      </c>
      <c r="AT633" t="s">
        <v>1298</v>
      </c>
      <c r="AU633">
        <v>2020</v>
      </c>
      <c r="AV633">
        <v>113</v>
      </c>
      <c r="AW633">
        <v>3</v>
      </c>
      <c r="AX633" t="s">
        <v>74</v>
      </c>
      <c r="AY633" t="s">
        <v>74</v>
      </c>
      <c r="AZ633" t="s">
        <v>74</v>
      </c>
      <c r="BA633" t="s">
        <v>74</v>
      </c>
      <c r="BB633">
        <v>349</v>
      </c>
      <c r="BC633">
        <v>355</v>
      </c>
      <c r="BD633" t="s">
        <v>74</v>
      </c>
      <c r="BE633" t="s">
        <v>12619</v>
      </c>
      <c r="BF633" t="str">
        <f>HYPERLINK("http://dx.doi.org/10.1007/s10482-019-01345-w","http://dx.doi.org/10.1007/s10482-019-01345-w")</f>
        <v>http://dx.doi.org/10.1007/s10482-019-01345-w</v>
      </c>
      <c r="BG633" t="s">
        <v>74</v>
      </c>
      <c r="BH633" t="s">
        <v>11767</v>
      </c>
      <c r="BI633">
        <v>7</v>
      </c>
      <c r="BJ633" t="s">
        <v>1713</v>
      </c>
      <c r="BK633" t="s">
        <v>294</v>
      </c>
      <c r="BL633" t="s">
        <v>1713</v>
      </c>
      <c r="BM633" t="s">
        <v>12620</v>
      </c>
      <c r="BN633">
        <v>31628625</v>
      </c>
      <c r="BO633" t="s">
        <v>74</v>
      </c>
      <c r="BP633" t="s">
        <v>74</v>
      </c>
      <c r="BQ633" t="s">
        <v>74</v>
      </c>
      <c r="BR633" t="s">
        <v>108</v>
      </c>
      <c r="BS633" t="s">
        <v>12621</v>
      </c>
      <c r="BT633" t="str">
        <f>HYPERLINK("https%3A%2F%2Fwww.webofscience.com%2Fwos%2Fwoscc%2Ffull-record%2FWOS:000491398500002","View Full Record in Web of Science")</f>
        <v>View Full Record in Web of Science</v>
      </c>
    </row>
    <row r="634" spans="1:72" x14ac:dyDescent="0.15">
      <c r="A634" t="s">
        <v>133</v>
      </c>
      <c r="B634" t="s">
        <v>12622</v>
      </c>
      <c r="C634" t="s">
        <v>74</v>
      </c>
      <c r="D634" t="s">
        <v>74</v>
      </c>
      <c r="E634" t="s">
        <v>74</v>
      </c>
      <c r="F634" t="s">
        <v>12623</v>
      </c>
      <c r="G634" t="s">
        <v>74</v>
      </c>
      <c r="H634" t="s">
        <v>74</v>
      </c>
      <c r="I634" t="s">
        <v>12624</v>
      </c>
      <c r="J634" t="s">
        <v>12625</v>
      </c>
      <c r="K634" t="s">
        <v>74</v>
      </c>
      <c r="L634" t="s">
        <v>74</v>
      </c>
      <c r="M634" t="s">
        <v>80</v>
      </c>
      <c r="N634" t="s">
        <v>138</v>
      </c>
      <c r="O634" t="s">
        <v>74</v>
      </c>
      <c r="P634" t="s">
        <v>74</v>
      </c>
      <c r="Q634" t="s">
        <v>74</v>
      </c>
      <c r="R634" t="s">
        <v>74</v>
      </c>
      <c r="S634" t="s">
        <v>74</v>
      </c>
      <c r="T634" t="s">
        <v>12626</v>
      </c>
      <c r="U634" t="s">
        <v>12627</v>
      </c>
      <c r="V634" t="s">
        <v>12628</v>
      </c>
      <c r="W634" t="s">
        <v>12629</v>
      </c>
      <c r="X634" t="s">
        <v>12630</v>
      </c>
      <c r="Y634" t="s">
        <v>12631</v>
      </c>
      <c r="Z634" t="s">
        <v>74</v>
      </c>
      <c r="AA634" t="s">
        <v>12632</v>
      </c>
      <c r="AB634" t="s">
        <v>12633</v>
      </c>
      <c r="AC634" t="s">
        <v>12634</v>
      </c>
      <c r="AD634" t="s">
        <v>12635</v>
      </c>
      <c r="AE634" t="s">
        <v>12636</v>
      </c>
      <c r="AF634" t="s">
        <v>74</v>
      </c>
      <c r="AG634">
        <v>66</v>
      </c>
      <c r="AH634">
        <v>21</v>
      </c>
      <c r="AI634">
        <v>25</v>
      </c>
      <c r="AJ634">
        <v>4</v>
      </c>
      <c r="AK634">
        <v>48</v>
      </c>
      <c r="AL634" t="s">
        <v>1964</v>
      </c>
      <c r="AM634" t="s">
        <v>4096</v>
      </c>
      <c r="AN634" t="s">
        <v>4097</v>
      </c>
      <c r="AO634" t="s">
        <v>12637</v>
      </c>
      <c r="AP634" t="s">
        <v>12638</v>
      </c>
      <c r="AQ634" t="s">
        <v>74</v>
      </c>
      <c r="AR634" t="s">
        <v>12625</v>
      </c>
      <c r="AS634" t="s">
        <v>12639</v>
      </c>
      <c r="AT634" t="s">
        <v>291</v>
      </c>
      <c r="AU634">
        <v>2020</v>
      </c>
      <c r="AV634">
        <v>27</v>
      </c>
      <c r="AW634">
        <v>1</v>
      </c>
      <c r="AX634" t="s">
        <v>74</v>
      </c>
      <c r="AY634" t="s">
        <v>74</v>
      </c>
      <c r="AZ634" t="s">
        <v>74</v>
      </c>
      <c r="BA634" t="s">
        <v>74</v>
      </c>
      <c r="BB634">
        <v>113</v>
      </c>
      <c r="BC634">
        <v>126</v>
      </c>
      <c r="BD634" t="s">
        <v>74</v>
      </c>
      <c r="BE634" t="s">
        <v>12640</v>
      </c>
      <c r="BF634" t="str">
        <f>HYPERLINK("http://dx.doi.org/10.1007/s10570-019-02794-2","http://dx.doi.org/10.1007/s10570-019-02794-2")</f>
        <v>http://dx.doi.org/10.1007/s10570-019-02794-2</v>
      </c>
      <c r="BG634" t="s">
        <v>74</v>
      </c>
      <c r="BH634" t="s">
        <v>11767</v>
      </c>
      <c r="BI634">
        <v>14</v>
      </c>
      <c r="BJ634" t="s">
        <v>12641</v>
      </c>
      <c r="BK634" t="s">
        <v>294</v>
      </c>
      <c r="BL634" t="s">
        <v>12642</v>
      </c>
      <c r="BM634" t="s">
        <v>12643</v>
      </c>
      <c r="BN634" t="s">
        <v>74</v>
      </c>
      <c r="BO634" t="s">
        <v>74</v>
      </c>
      <c r="BP634" t="s">
        <v>74</v>
      </c>
      <c r="BQ634" t="s">
        <v>74</v>
      </c>
      <c r="BR634" t="s">
        <v>108</v>
      </c>
      <c r="BS634" t="s">
        <v>12644</v>
      </c>
      <c r="BT634" t="str">
        <f>HYPERLINK("https%3A%2F%2Fwww.webofscience.com%2Fwos%2Fwoscc%2Ffull-record%2FWOS:000491330600001","View Full Record in Web of Science")</f>
        <v>View Full Record in Web of Science</v>
      </c>
    </row>
    <row r="635" spans="1:72" x14ac:dyDescent="0.15">
      <c r="A635" t="s">
        <v>133</v>
      </c>
      <c r="B635" t="s">
        <v>12645</v>
      </c>
      <c r="C635" t="s">
        <v>74</v>
      </c>
      <c r="D635" t="s">
        <v>74</v>
      </c>
      <c r="E635" t="s">
        <v>74</v>
      </c>
      <c r="F635" t="s">
        <v>12646</v>
      </c>
      <c r="G635" t="s">
        <v>74</v>
      </c>
      <c r="H635" t="s">
        <v>74</v>
      </c>
      <c r="I635" t="s">
        <v>12647</v>
      </c>
      <c r="J635" t="s">
        <v>1774</v>
      </c>
      <c r="K635" t="s">
        <v>74</v>
      </c>
      <c r="L635" t="s">
        <v>74</v>
      </c>
      <c r="M635" t="s">
        <v>80</v>
      </c>
      <c r="N635" t="s">
        <v>138</v>
      </c>
      <c r="O635" t="s">
        <v>74</v>
      </c>
      <c r="P635" t="s">
        <v>74</v>
      </c>
      <c r="Q635" t="s">
        <v>74</v>
      </c>
      <c r="R635" t="s">
        <v>74</v>
      </c>
      <c r="S635" t="s">
        <v>74</v>
      </c>
      <c r="T635" t="s">
        <v>12648</v>
      </c>
      <c r="U635" t="s">
        <v>12649</v>
      </c>
      <c r="V635" t="s">
        <v>12650</v>
      </c>
      <c r="W635" t="s">
        <v>12651</v>
      </c>
      <c r="X635" t="s">
        <v>12652</v>
      </c>
      <c r="Y635" t="s">
        <v>12653</v>
      </c>
      <c r="Z635" t="s">
        <v>12654</v>
      </c>
      <c r="AA635" t="s">
        <v>12655</v>
      </c>
      <c r="AB635" t="s">
        <v>12656</v>
      </c>
      <c r="AC635" t="s">
        <v>12657</v>
      </c>
      <c r="AD635" t="s">
        <v>12658</v>
      </c>
      <c r="AE635" t="s">
        <v>12659</v>
      </c>
      <c r="AF635" t="s">
        <v>74</v>
      </c>
      <c r="AG635">
        <v>149</v>
      </c>
      <c r="AH635">
        <v>189</v>
      </c>
      <c r="AI635">
        <v>201</v>
      </c>
      <c r="AJ635">
        <v>10</v>
      </c>
      <c r="AK635">
        <v>44</v>
      </c>
      <c r="AL635" t="s">
        <v>1264</v>
      </c>
      <c r="AM635" t="s">
        <v>1265</v>
      </c>
      <c r="AN635" t="s">
        <v>1266</v>
      </c>
      <c r="AO635" t="s">
        <v>74</v>
      </c>
      <c r="AP635" t="s">
        <v>1786</v>
      </c>
      <c r="AQ635" t="s">
        <v>74</v>
      </c>
      <c r="AR635" t="s">
        <v>1787</v>
      </c>
      <c r="AS635" t="s">
        <v>1788</v>
      </c>
      <c r="AT635" t="s">
        <v>6987</v>
      </c>
      <c r="AU635">
        <v>2019</v>
      </c>
      <c r="AV635">
        <v>11</v>
      </c>
      <c r="AW635">
        <v>10</v>
      </c>
      <c r="AX635" t="s">
        <v>74</v>
      </c>
      <c r="AY635" t="s">
        <v>74</v>
      </c>
      <c r="AZ635" t="s">
        <v>74</v>
      </c>
      <c r="BA635" t="s">
        <v>74</v>
      </c>
      <c r="BB635">
        <v>3167</v>
      </c>
      <c r="BC635">
        <v>3211</v>
      </c>
      <c r="BD635" t="s">
        <v>74</v>
      </c>
      <c r="BE635" t="s">
        <v>12660</v>
      </c>
      <c r="BF635" t="str">
        <f>HYPERLINK("http://dx.doi.org/10.1029/2019MS001726","http://dx.doi.org/10.1029/2019MS001726")</f>
        <v>http://dx.doi.org/10.1029/2019MS001726</v>
      </c>
      <c r="BG635" t="s">
        <v>74</v>
      </c>
      <c r="BH635" t="s">
        <v>11767</v>
      </c>
      <c r="BI635">
        <v>45</v>
      </c>
      <c r="BJ635" t="s">
        <v>1024</v>
      </c>
      <c r="BK635" t="s">
        <v>294</v>
      </c>
      <c r="BL635" t="s">
        <v>1024</v>
      </c>
      <c r="BM635" t="s">
        <v>12661</v>
      </c>
      <c r="BN635" t="s">
        <v>74</v>
      </c>
      <c r="BO635" t="s">
        <v>12662</v>
      </c>
      <c r="BP635" t="s">
        <v>560</v>
      </c>
      <c r="BQ635" t="s">
        <v>561</v>
      </c>
      <c r="BR635" t="s">
        <v>108</v>
      </c>
      <c r="BS635" t="s">
        <v>12663</v>
      </c>
      <c r="BT635" t="str">
        <f>HYPERLINK("https%3A%2F%2Fwww.webofscience.com%2Fwos%2Fwoscc%2Ffull-record%2FWOS:000491869400001","View Full Record in Web of Science")</f>
        <v>View Full Record in Web of Science</v>
      </c>
    </row>
    <row r="636" spans="1:72" x14ac:dyDescent="0.15">
      <c r="A636" t="s">
        <v>133</v>
      </c>
      <c r="B636" t="s">
        <v>12664</v>
      </c>
      <c r="C636" t="s">
        <v>74</v>
      </c>
      <c r="D636" t="s">
        <v>74</v>
      </c>
      <c r="E636" t="s">
        <v>74</v>
      </c>
      <c r="F636" t="s">
        <v>12665</v>
      </c>
      <c r="G636" t="s">
        <v>74</v>
      </c>
      <c r="H636" t="s">
        <v>74</v>
      </c>
      <c r="I636" t="s">
        <v>12666</v>
      </c>
      <c r="J636" t="s">
        <v>1225</v>
      </c>
      <c r="K636" t="s">
        <v>74</v>
      </c>
      <c r="L636" t="s">
        <v>74</v>
      </c>
      <c r="M636" t="s">
        <v>80</v>
      </c>
      <c r="N636" t="s">
        <v>138</v>
      </c>
      <c r="O636" t="s">
        <v>74</v>
      </c>
      <c r="P636" t="s">
        <v>74</v>
      </c>
      <c r="Q636" t="s">
        <v>74</v>
      </c>
      <c r="R636" t="s">
        <v>74</v>
      </c>
      <c r="S636" t="s">
        <v>74</v>
      </c>
      <c r="T636" t="s">
        <v>74</v>
      </c>
      <c r="U636" t="s">
        <v>12667</v>
      </c>
      <c r="V636" t="s">
        <v>12668</v>
      </c>
      <c r="W636" t="s">
        <v>12669</v>
      </c>
      <c r="X636" t="s">
        <v>12670</v>
      </c>
      <c r="Y636" t="s">
        <v>12671</v>
      </c>
      <c r="Z636" t="s">
        <v>12672</v>
      </c>
      <c r="AA636" t="s">
        <v>12673</v>
      </c>
      <c r="AB636" t="s">
        <v>12674</v>
      </c>
      <c r="AC636" t="s">
        <v>12675</v>
      </c>
      <c r="AD636" t="s">
        <v>12676</v>
      </c>
      <c r="AE636" t="s">
        <v>12677</v>
      </c>
      <c r="AF636" t="s">
        <v>74</v>
      </c>
      <c r="AG636">
        <v>36</v>
      </c>
      <c r="AH636">
        <v>12</v>
      </c>
      <c r="AI636">
        <v>13</v>
      </c>
      <c r="AJ636">
        <v>4</v>
      </c>
      <c r="AK636">
        <v>8</v>
      </c>
      <c r="AL636" t="s">
        <v>1237</v>
      </c>
      <c r="AM636" t="s">
        <v>1238</v>
      </c>
      <c r="AN636" t="s">
        <v>1239</v>
      </c>
      <c r="AO636" t="s">
        <v>1240</v>
      </c>
      <c r="AP636" t="s">
        <v>74</v>
      </c>
      <c r="AQ636" t="s">
        <v>74</v>
      </c>
      <c r="AR636" t="s">
        <v>1225</v>
      </c>
      <c r="AS636" t="s">
        <v>1241</v>
      </c>
      <c r="AT636" t="s">
        <v>12678</v>
      </c>
      <c r="AU636">
        <v>2019</v>
      </c>
      <c r="AV636">
        <v>14</v>
      </c>
      <c r="AW636">
        <v>10</v>
      </c>
      <c r="AX636" t="s">
        <v>74</v>
      </c>
      <c r="AY636" t="s">
        <v>74</v>
      </c>
      <c r="AZ636" t="s">
        <v>74</v>
      </c>
      <c r="BA636" t="s">
        <v>74</v>
      </c>
      <c r="BB636" t="s">
        <v>74</v>
      </c>
      <c r="BC636" t="s">
        <v>74</v>
      </c>
      <c r="BD636" t="s">
        <v>12679</v>
      </c>
      <c r="BE636" t="s">
        <v>12680</v>
      </c>
      <c r="BF636" t="str">
        <f>HYPERLINK("http://dx.doi.org/10.1371/journal.pone.0222498","http://dx.doi.org/10.1371/journal.pone.0222498")</f>
        <v>http://dx.doi.org/10.1371/journal.pone.0222498</v>
      </c>
      <c r="BG636" t="s">
        <v>74</v>
      </c>
      <c r="BH636" t="s">
        <v>74</v>
      </c>
      <c r="BI636">
        <v>17</v>
      </c>
      <c r="BJ636" t="s">
        <v>1245</v>
      </c>
      <c r="BK636" t="s">
        <v>294</v>
      </c>
      <c r="BL636" t="s">
        <v>1246</v>
      </c>
      <c r="BM636" t="s">
        <v>12681</v>
      </c>
      <c r="BN636">
        <v>31622348</v>
      </c>
      <c r="BO636" t="s">
        <v>342</v>
      </c>
      <c r="BP636" t="s">
        <v>74</v>
      </c>
      <c r="BQ636" t="s">
        <v>74</v>
      </c>
      <c r="BR636" t="s">
        <v>108</v>
      </c>
      <c r="BS636" t="s">
        <v>12682</v>
      </c>
      <c r="BT636" t="str">
        <f>HYPERLINK("https%3A%2F%2Fwww.webofscience.com%2Fwos%2Fwoscc%2Ffull-record%2FWOS:000532567300011","View Full Record in Web of Science")</f>
        <v>View Full Record in Web of Science</v>
      </c>
    </row>
    <row r="637" spans="1:72" x14ac:dyDescent="0.15">
      <c r="A637" t="s">
        <v>133</v>
      </c>
      <c r="B637" t="s">
        <v>12683</v>
      </c>
      <c r="C637" t="s">
        <v>74</v>
      </c>
      <c r="D637" t="s">
        <v>74</v>
      </c>
      <c r="E637" t="s">
        <v>74</v>
      </c>
      <c r="F637" t="s">
        <v>12684</v>
      </c>
      <c r="G637" t="s">
        <v>74</v>
      </c>
      <c r="H637" t="s">
        <v>74</v>
      </c>
      <c r="I637" t="s">
        <v>12685</v>
      </c>
      <c r="J637" t="s">
        <v>12686</v>
      </c>
      <c r="K637" t="s">
        <v>74</v>
      </c>
      <c r="L637" t="s">
        <v>74</v>
      </c>
      <c r="M637" t="s">
        <v>80</v>
      </c>
      <c r="N637" t="s">
        <v>138</v>
      </c>
      <c r="O637" t="s">
        <v>74</v>
      </c>
      <c r="P637" t="s">
        <v>74</v>
      </c>
      <c r="Q637" t="s">
        <v>74</v>
      </c>
      <c r="R637" t="s">
        <v>74</v>
      </c>
      <c r="S637" t="s">
        <v>74</v>
      </c>
      <c r="T637" t="s">
        <v>12687</v>
      </c>
      <c r="U637" t="s">
        <v>12688</v>
      </c>
      <c r="V637" t="s">
        <v>12689</v>
      </c>
      <c r="W637" t="s">
        <v>12690</v>
      </c>
      <c r="X637" t="s">
        <v>12691</v>
      </c>
      <c r="Y637" t="s">
        <v>12692</v>
      </c>
      <c r="Z637" t="s">
        <v>12693</v>
      </c>
      <c r="AA637" t="s">
        <v>12694</v>
      </c>
      <c r="AB637" t="s">
        <v>12695</v>
      </c>
      <c r="AC637" t="s">
        <v>12696</v>
      </c>
      <c r="AD637" t="s">
        <v>12697</v>
      </c>
      <c r="AE637" t="s">
        <v>12698</v>
      </c>
      <c r="AF637" t="s">
        <v>74</v>
      </c>
      <c r="AG637">
        <v>52</v>
      </c>
      <c r="AH637">
        <v>15</v>
      </c>
      <c r="AI637">
        <v>15</v>
      </c>
      <c r="AJ637">
        <v>0</v>
      </c>
      <c r="AK637">
        <v>31</v>
      </c>
      <c r="AL637" t="s">
        <v>1964</v>
      </c>
      <c r="AM637" t="s">
        <v>4096</v>
      </c>
      <c r="AN637" t="s">
        <v>4097</v>
      </c>
      <c r="AO637" t="s">
        <v>12699</v>
      </c>
      <c r="AP637" t="s">
        <v>12700</v>
      </c>
      <c r="AQ637" t="s">
        <v>74</v>
      </c>
      <c r="AR637" t="s">
        <v>12701</v>
      </c>
      <c r="AS637" t="s">
        <v>12702</v>
      </c>
      <c r="AT637" t="s">
        <v>291</v>
      </c>
      <c r="AU637">
        <v>2020</v>
      </c>
      <c r="AV637">
        <v>29</v>
      </c>
      <c r="AW637">
        <v>1</v>
      </c>
      <c r="AX637" t="s">
        <v>74</v>
      </c>
      <c r="AY637" t="s">
        <v>74</v>
      </c>
      <c r="AZ637" t="s">
        <v>74</v>
      </c>
      <c r="BA637" t="s">
        <v>74</v>
      </c>
      <c r="BB637">
        <v>173</v>
      </c>
      <c r="BC637">
        <v>186</v>
      </c>
      <c r="BD637" t="s">
        <v>74</v>
      </c>
      <c r="BE637" t="s">
        <v>12703</v>
      </c>
      <c r="BF637" t="str">
        <f>HYPERLINK("http://dx.doi.org/10.1007/s10531-019-01877-7","http://dx.doi.org/10.1007/s10531-019-01877-7")</f>
        <v>http://dx.doi.org/10.1007/s10531-019-01877-7</v>
      </c>
      <c r="BG637" t="s">
        <v>74</v>
      </c>
      <c r="BH637" t="s">
        <v>11767</v>
      </c>
      <c r="BI637">
        <v>14</v>
      </c>
      <c r="BJ637" t="s">
        <v>1596</v>
      </c>
      <c r="BK637" t="s">
        <v>294</v>
      </c>
      <c r="BL637" t="s">
        <v>295</v>
      </c>
      <c r="BM637" t="s">
        <v>12704</v>
      </c>
      <c r="BN637" t="s">
        <v>74</v>
      </c>
      <c r="BO637" t="s">
        <v>74</v>
      </c>
      <c r="BP637" t="s">
        <v>74</v>
      </c>
      <c r="BQ637" t="s">
        <v>74</v>
      </c>
      <c r="BR637" t="s">
        <v>108</v>
      </c>
      <c r="BS637" t="s">
        <v>12705</v>
      </c>
      <c r="BT637" t="str">
        <f>HYPERLINK("https%3A%2F%2Fwww.webofscience.com%2Fwos%2Fwoscc%2Ffull-record%2FWOS:000490847400002","View Full Record in Web of Science")</f>
        <v>View Full Record in Web of Science</v>
      </c>
    </row>
    <row r="638" spans="1:72" x14ac:dyDescent="0.15">
      <c r="A638" t="s">
        <v>133</v>
      </c>
      <c r="B638" t="s">
        <v>12706</v>
      </c>
      <c r="C638" t="s">
        <v>74</v>
      </c>
      <c r="D638" t="s">
        <v>74</v>
      </c>
      <c r="E638" t="s">
        <v>74</v>
      </c>
      <c r="F638" t="s">
        <v>12707</v>
      </c>
      <c r="G638" t="s">
        <v>74</v>
      </c>
      <c r="H638" t="s">
        <v>74</v>
      </c>
      <c r="I638" t="s">
        <v>12708</v>
      </c>
      <c r="J638" t="s">
        <v>3199</v>
      </c>
      <c r="K638" t="s">
        <v>74</v>
      </c>
      <c r="L638" t="s">
        <v>74</v>
      </c>
      <c r="M638" t="s">
        <v>80</v>
      </c>
      <c r="N638" t="s">
        <v>3200</v>
      </c>
      <c r="O638" t="s">
        <v>74</v>
      </c>
      <c r="P638" t="s">
        <v>74</v>
      </c>
      <c r="Q638" t="s">
        <v>74</v>
      </c>
      <c r="R638" t="s">
        <v>74</v>
      </c>
      <c r="S638" t="s">
        <v>74</v>
      </c>
      <c r="T638" t="s">
        <v>74</v>
      </c>
      <c r="U638" t="s">
        <v>12709</v>
      </c>
      <c r="V638" t="s">
        <v>12710</v>
      </c>
      <c r="W638" t="s">
        <v>12711</v>
      </c>
      <c r="X638" t="s">
        <v>12712</v>
      </c>
      <c r="Y638" t="s">
        <v>12713</v>
      </c>
      <c r="Z638" t="s">
        <v>12714</v>
      </c>
      <c r="AA638" t="s">
        <v>12715</v>
      </c>
      <c r="AB638" t="s">
        <v>12716</v>
      </c>
      <c r="AC638" t="s">
        <v>12717</v>
      </c>
      <c r="AD638" t="s">
        <v>12718</v>
      </c>
      <c r="AE638" t="s">
        <v>12719</v>
      </c>
      <c r="AF638" t="s">
        <v>74</v>
      </c>
      <c r="AG638">
        <v>36</v>
      </c>
      <c r="AH638">
        <v>45</v>
      </c>
      <c r="AI638">
        <v>45</v>
      </c>
      <c r="AJ638">
        <v>3</v>
      </c>
      <c r="AK638">
        <v>20</v>
      </c>
      <c r="AL638" t="s">
        <v>2099</v>
      </c>
      <c r="AM638" t="s">
        <v>2100</v>
      </c>
      <c r="AN638" t="s">
        <v>2101</v>
      </c>
      <c r="AO638" t="s">
        <v>3211</v>
      </c>
      <c r="AP638" t="s">
        <v>3212</v>
      </c>
      <c r="AQ638" t="s">
        <v>74</v>
      </c>
      <c r="AR638" t="s">
        <v>3213</v>
      </c>
      <c r="AS638" t="s">
        <v>3214</v>
      </c>
      <c r="AT638" t="s">
        <v>12678</v>
      </c>
      <c r="AU638">
        <v>2019</v>
      </c>
      <c r="AV638">
        <v>11</v>
      </c>
      <c r="AW638">
        <v>4</v>
      </c>
      <c r="AX638" t="s">
        <v>74</v>
      </c>
      <c r="AY638" t="s">
        <v>74</v>
      </c>
      <c r="AZ638" t="s">
        <v>74</v>
      </c>
      <c r="BA638" t="s">
        <v>74</v>
      </c>
      <c r="BB638">
        <v>1553</v>
      </c>
      <c r="BC638">
        <v>1566</v>
      </c>
      <c r="BD638" t="s">
        <v>74</v>
      </c>
      <c r="BE638" t="s">
        <v>12720</v>
      </c>
      <c r="BF638" t="str">
        <f>HYPERLINK("http://dx.doi.org/10.5194/essd-11-1553-2019","http://dx.doi.org/10.5194/essd-11-1553-2019")</f>
        <v>http://dx.doi.org/10.5194/essd-11-1553-2019</v>
      </c>
      <c r="BG638" t="s">
        <v>74</v>
      </c>
      <c r="BH638" t="s">
        <v>74</v>
      </c>
      <c r="BI638">
        <v>14</v>
      </c>
      <c r="BJ638" t="s">
        <v>3217</v>
      </c>
      <c r="BK638" t="s">
        <v>294</v>
      </c>
      <c r="BL638" t="s">
        <v>3218</v>
      </c>
      <c r="BM638" t="s">
        <v>12721</v>
      </c>
      <c r="BN638" t="s">
        <v>74</v>
      </c>
      <c r="BO638" t="s">
        <v>976</v>
      </c>
      <c r="BP638" t="s">
        <v>74</v>
      </c>
      <c r="BQ638" t="s">
        <v>74</v>
      </c>
      <c r="BR638" t="s">
        <v>108</v>
      </c>
      <c r="BS638" t="s">
        <v>12722</v>
      </c>
      <c r="BT638" t="str">
        <f>HYPERLINK("https%3A%2F%2Fwww.webofscience.com%2Fwos%2Fwoscc%2Ffull-record%2FWOS:000491149800001","View Full Record in Web of Science")</f>
        <v>View Full Record in Web of Science</v>
      </c>
    </row>
    <row r="639" spans="1:72" x14ac:dyDescent="0.15">
      <c r="A639" t="s">
        <v>133</v>
      </c>
      <c r="B639" t="s">
        <v>12723</v>
      </c>
      <c r="C639" t="s">
        <v>74</v>
      </c>
      <c r="D639" t="s">
        <v>74</v>
      </c>
      <c r="E639" t="s">
        <v>74</v>
      </c>
      <c r="F639" t="s">
        <v>12724</v>
      </c>
      <c r="G639" t="s">
        <v>74</v>
      </c>
      <c r="H639" t="s">
        <v>74</v>
      </c>
      <c r="I639" t="s">
        <v>12725</v>
      </c>
      <c r="J639" t="s">
        <v>2723</v>
      </c>
      <c r="K639" t="s">
        <v>74</v>
      </c>
      <c r="L639" t="s">
        <v>74</v>
      </c>
      <c r="M639" t="s">
        <v>80</v>
      </c>
      <c r="N639" t="s">
        <v>138</v>
      </c>
      <c r="O639" t="s">
        <v>74</v>
      </c>
      <c r="P639" t="s">
        <v>74</v>
      </c>
      <c r="Q639" t="s">
        <v>74</v>
      </c>
      <c r="R639" t="s">
        <v>74</v>
      </c>
      <c r="S639" t="s">
        <v>74</v>
      </c>
      <c r="T639" t="s">
        <v>12726</v>
      </c>
      <c r="U639" t="s">
        <v>12727</v>
      </c>
      <c r="V639" t="s">
        <v>12728</v>
      </c>
      <c r="W639" t="s">
        <v>12729</v>
      </c>
      <c r="X639" t="s">
        <v>12730</v>
      </c>
      <c r="Y639" t="s">
        <v>12731</v>
      </c>
      <c r="Z639" t="s">
        <v>12732</v>
      </c>
      <c r="AA639" t="s">
        <v>12733</v>
      </c>
      <c r="AB639" t="s">
        <v>12734</v>
      </c>
      <c r="AC639" t="s">
        <v>12735</v>
      </c>
      <c r="AD639" t="s">
        <v>12736</v>
      </c>
      <c r="AE639" t="s">
        <v>12737</v>
      </c>
      <c r="AF639" t="s">
        <v>74</v>
      </c>
      <c r="AG639">
        <v>130</v>
      </c>
      <c r="AH639">
        <v>11</v>
      </c>
      <c r="AI639">
        <v>11</v>
      </c>
      <c r="AJ639">
        <v>1</v>
      </c>
      <c r="AK639">
        <v>9</v>
      </c>
      <c r="AL639" t="s">
        <v>2587</v>
      </c>
      <c r="AM639" t="s">
        <v>2588</v>
      </c>
      <c r="AN639" t="s">
        <v>2589</v>
      </c>
      <c r="AO639" t="s">
        <v>74</v>
      </c>
      <c r="AP639" t="s">
        <v>2734</v>
      </c>
      <c r="AQ639" t="s">
        <v>74</v>
      </c>
      <c r="AR639" t="s">
        <v>2735</v>
      </c>
      <c r="AS639" t="s">
        <v>2736</v>
      </c>
      <c r="AT639" t="s">
        <v>12678</v>
      </c>
      <c r="AU639">
        <v>2019</v>
      </c>
      <c r="AV639">
        <v>6</v>
      </c>
      <c r="AW639" t="s">
        <v>74</v>
      </c>
      <c r="AX639" t="s">
        <v>74</v>
      </c>
      <c r="AY639" t="s">
        <v>74</v>
      </c>
      <c r="AZ639" t="s">
        <v>74</v>
      </c>
      <c r="BA639" t="s">
        <v>74</v>
      </c>
      <c r="BB639" t="s">
        <v>74</v>
      </c>
      <c r="BC639" t="s">
        <v>74</v>
      </c>
      <c r="BD639">
        <v>638</v>
      </c>
      <c r="BE639" t="s">
        <v>12738</v>
      </c>
      <c r="BF639" t="str">
        <f>HYPERLINK("http://dx.doi.org/10.3389/fmars.2019.00638","http://dx.doi.org/10.3389/fmars.2019.00638")</f>
        <v>http://dx.doi.org/10.3389/fmars.2019.00638</v>
      </c>
      <c r="BG639" t="s">
        <v>74</v>
      </c>
      <c r="BH639" t="s">
        <v>74</v>
      </c>
      <c r="BI639">
        <v>17</v>
      </c>
      <c r="BJ639" t="s">
        <v>2738</v>
      </c>
      <c r="BK639" t="s">
        <v>294</v>
      </c>
      <c r="BL639" t="s">
        <v>2739</v>
      </c>
      <c r="BM639" t="s">
        <v>12739</v>
      </c>
      <c r="BN639" t="s">
        <v>74</v>
      </c>
      <c r="BO639" t="s">
        <v>107</v>
      </c>
      <c r="BP639" t="s">
        <v>74</v>
      </c>
      <c r="BQ639" t="s">
        <v>74</v>
      </c>
      <c r="BR639" t="s">
        <v>108</v>
      </c>
      <c r="BS639" t="s">
        <v>12740</v>
      </c>
      <c r="BT639" t="str">
        <f>HYPERLINK("https%3A%2F%2Fwww.webofscience.com%2Fwos%2Fwoscc%2Ffull-record%2FWOS:000490743000001","View Full Record in Web of Science")</f>
        <v>View Full Record in Web of Science</v>
      </c>
    </row>
    <row r="640" spans="1:72" x14ac:dyDescent="0.15">
      <c r="A640" t="s">
        <v>133</v>
      </c>
      <c r="B640" t="s">
        <v>12741</v>
      </c>
      <c r="C640" t="s">
        <v>74</v>
      </c>
      <c r="D640" t="s">
        <v>74</v>
      </c>
      <c r="E640" t="s">
        <v>74</v>
      </c>
      <c r="F640" t="s">
        <v>12742</v>
      </c>
      <c r="G640" t="s">
        <v>74</v>
      </c>
      <c r="H640" t="s">
        <v>74</v>
      </c>
      <c r="I640" t="s">
        <v>12743</v>
      </c>
      <c r="J640" t="s">
        <v>12744</v>
      </c>
      <c r="K640" t="s">
        <v>74</v>
      </c>
      <c r="L640" t="s">
        <v>74</v>
      </c>
      <c r="M640" t="s">
        <v>80</v>
      </c>
      <c r="N640" t="s">
        <v>138</v>
      </c>
      <c r="O640" t="s">
        <v>74</v>
      </c>
      <c r="P640" t="s">
        <v>74</v>
      </c>
      <c r="Q640" t="s">
        <v>74</v>
      </c>
      <c r="R640" t="s">
        <v>74</v>
      </c>
      <c r="S640" t="s">
        <v>74</v>
      </c>
      <c r="T640" t="s">
        <v>12745</v>
      </c>
      <c r="U640" t="s">
        <v>12746</v>
      </c>
      <c r="V640" t="s">
        <v>12747</v>
      </c>
      <c r="W640" t="s">
        <v>12748</v>
      </c>
      <c r="X640" t="s">
        <v>12749</v>
      </c>
      <c r="Y640" t="s">
        <v>12750</v>
      </c>
      <c r="Z640" t="s">
        <v>12751</v>
      </c>
      <c r="AA640" t="s">
        <v>12752</v>
      </c>
      <c r="AB640" t="s">
        <v>12753</v>
      </c>
      <c r="AC640" t="s">
        <v>12754</v>
      </c>
      <c r="AD640" t="s">
        <v>12755</v>
      </c>
      <c r="AE640" t="s">
        <v>12756</v>
      </c>
      <c r="AF640" t="s">
        <v>74</v>
      </c>
      <c r="AG640">
        <v>41</v>
      </c>
      <c r="AH640">
        <v>42</v>
      </c>
      <c r="AI640">
        <v>48</v>
      </c>
      <c r="AJ640">
        <v>3</v>
      </c>
      <c r="AK640">
        <v>39</v>
      </c>
      <c r="AL640" t="s">
        <v>429</v>
      </c>
      <c r="AM640" t="s">
        <v>430</v>
      </c>
      <c r="AN640" t="s">
        <v>431</v>
      </c>
      <c r="AO640" t="s">
        <v>12757</v>
      </c>
      <c r="AP640" t="s">
        <v>12758</v>
      </c>
      <c r="AQ640" t="s">
        <v>74</v>
      </c>
      <c r="AR640" t="s">
        <v>12759</v>
      </c>
      <c r="AS640" t="s">
        <v>12760</v>
      </c>
      <c r="AT640" t="s">
        <v>1270</v>
      </c>
      <c r="AU640">
        <v>2019</v>
      </c>
      <c r="AV640">
        <v>22</v>
      </c>
      <c r="AW640">
        <v>12</v>
      </c>
      <c r="AX640" t="s">
        <v>74</v>
      </c>
      <c r="AY640" t="s">
        <v>74</v>
      </c>
      <c r="AZ640" t="s">
        <v>74</v>
      </c>
      <c r="BA640" t="s">
        <v>74</v>
      </c>
      <c r="BB640">
        <v>2111</v>
      </c>
      <c r="BC640">
        <v>2119</v>
      </c>
      <c r="BD640" t="s">
        <v>74</v>
      </c>
      <c r="BE640" t="s">
        <v>12761</v>
      </c>
      <c r="BF640" t="str">
        <f>HYPERLINK("http://dx.doi.org/10.1111/ele.13399","http://dx.doi.org/10.1111/ele.13399")</f>
        <v>http://dx.doi.org/10.1111/ele.13399</v>
      </c>
      <c r="BG640" t="s">
        <v>74</v>
      </c>
      <c r="BH640" t="s">
        <v>11767</v>
      </c>
      <c r="BI640">
        <v>9</v>
      </c>
      <c r="BJ640" t="s">
        <v>437</v>
      </c>
      <c r="BK640" t="s">
        <v>294</v>
      </c>
      <c r="BL640" t="s">
        <v>388</v>
      </c>
      <c r="BM640" t="s">
        <v>12762</v>
      </c>
      <c r="BN640">
        <v>31621153</v>
      </c>
      <c r="BO640" t="s">
        <v>12763</v>
      </c>
      <c r="BP640" t="s">
        <v>74</v>
      </c>
      <c r="BQ640" t="s">
        <v>74</v>
      </c>
      <c r="BR640" t="s">
        <v>108</v>
      </c>
      <c r="BS640" t="s">
        <v>12764</v>
      </c>
      <c r="BT640" t="str">
        <f>HYPERLINK("https%3A%2F%2Fwww.webofscience.com%2Fwos%2Fwoscc%2Ffull-record%2FWOS:000490512100001","View Full Record in Web of Science")</f>
        <v>View Full Record in Web of Science</v>
      </c>
    </row>
    <row r="641" spans="1:72" x14ac:dyDescent="0.15">
      <c r="A641" t="s">
        <v>133</v>
      </c>
      <c r="B641" t="s">
        <v>12765</v>
      </c>
      <c r="C641" t="s">
        <v>74</v>
      </c>
      <c r="D641" t="s">
        <v>74</v>
      </c>
      <c r="E641" t="s">
        <v>74</v>
      </c>
      <c r="F641" t="s">
        <v>12766</v>
      </c>
      <c r="G641" t="s">
        <v>74</v>
      </c>
      <c r="H641" t="s">
        <v>74</v>
      </c>
      <c r="I641" t="s">
        <v>12767</v>
      </c>
      <c r="J641" t="s">
        <v>1553</v>
      </c>
      <c r="K641" t="s">
        <v>74</v>
      </c>
      <c r="L641" t="s">
        <v>74</v>
      </c>
      <c r="M641" t="s">
        <v>80</v>
      </c>
      <c r="N641" t="s">
        <v>1333</v>
      </c>
      <c r="O641" t="s">
        <v>74</v>
      </c>
      <c r="P641" t="s">
        <v>74</v>
      </c>
      <c r="Q641" t="s">
        <v>74</v>
      </c>
      <c r="R641" t="s">
        <v>74</v>
      </c>
      <c r="S641" t="s">
        <v>74</v>
      </c>
      <c r="T641" t="s">
        <v>12768</v>
      </c>
      <c r="U641" t="s">
        <v>12769</v>
      </c>
      <c r="V641" t="s">
        <v>12770</v>
      </c>
      <c r="W641" t="s">
        <v>12771</v>
      </c>
      <c r="X641" t="s">
        <v>12772</v>
      </c>
      <c r="Y641" t="s">
        <v>12773</v>
      </c>
      <c r="Z641" t="s">
        <v>12774</v>
      </c>
      <c r="AA641" t="s">
        <v>12775</v>
      </c>
      <c r="AB641" t="s">
        <v>12776</v>
      </c>
      <c r="AC641" t="s">
        <v>12777</v>
      </c>
      <c r="AD641" t="s">
        <v>12778</v>
      </c>
      <c r="AE641" t="s">
        <v>12779</v>
      </c>
      <c r="AF641" t="s">
        <v>74</v>
      </c>
      <c r="AG641">
        <v>12</v>
      </c>
      <c r="AH641">
        <v>1</v>
      </c>
      <c r="AI641">
        <v>1</v>
      </c>
      <c r="AJ641">
        <v>1</v>
      </c>
      <c r="AK641">
        <v>20</v>
      </c>
      <c r="AL641" t="s">
        <v>1264</v>
      </c>
      <c r="AM641" t="s">
        <v>1265</v>
      </c>
      <c r="AN641" t="s">
        <v>1266</v>
      </c>
      <c r="AO641" t="s">
        <v>1566</v>
      </c>
      <c r="AP641" t="s">
        <v>1567</v>
      </c>
      <c r="AQ641" t="s">
        <v>74</v>
      </c>
      <c r="AR641" t="s">
        <v>1568</v>
      </c>
      <c r="AS641" t="s">
        <v>1569</v>
      </c>
      <c r="AT641" t="s">
        <v>6987</v>
      </c>
      <c r="AU641">
        <v>2019</v>
      </c>
      <c r="AV641">
        <v>124</v>
      </c>
      <c r="AW641">
        <v>10</v>
      </c>
      <c r="AX641" t="s">
        <v>74</v>
      </c>
      <c r="AY641" t="s">
        <v>74</v>
      </c>
      <c r="AZ641" t="s">
        <v>74</v>
      </c>
      <c r="BA641" t="s">
        <v>74</v>
      </c>
      <c r="BB641">
        <v>8169</v>
      </c>
      <c r="BC641">
        <v>8171</v>
      </c>
      <c r="BD641" t="s">
        <v>74</v>
      </c>
      <c r="BE641" t="s">
        <v>12780</v>
      </c>
      <c r="BF641" t="str">
        <f>HYPERLINK("http://dx.doi.org/10.1029/2019JA026538","http://dx.doi.org/10.1029/2019JA026538")</f>
        <v>http://dx.doi.org/10.1029/2019JA026538</v>
      </c>
      <c r="BG641" t="s">
        <v>74</v>
      </c>
      <c r="BH641" t="s">
        <v>11767</v>
      </c>
      <c r="BI641">
        <v>3</v>
      </c>
      <c r="BJ641" t="s">
        <v>1571</v>
      </c>
      <c r="BK641" t="s">
        <v>294</v>
      </c>
      <c r="BL641" t="s">
        <v>1571</v>
      </c>
      <c r="BM641" t="s">
        <v>12781</v>
      </c>
      <c r="BN641" t="s">
        <v>74</v>
      </c>
      <c r="BO641" t="s">
        <v>588</v>
      </c>
      <c r="BP641" t="s">
        <v>74</v>
      </c>
      <c r="BQ641" t="s">
        <v>74</v>
      </c>
      <c r="BR641" t="s">
        <v>108</v>
      </c>
      <c r="BS641" t="s">
        <v>12782</v>
      </c>
      <c r="BT641" t="str">
        <f>HYPERLINK("https%3A%2F%2Fwww.webofscience.com%2Fwos%2Fwoscc%2Ffull-record%2FWOS:000490636100001","View Full Record in Web of Science")</f>
        <v>View Full Record in Web of Science</v>
      </c>
    </row>
    <row r="642" spans="1:72" x14ac:dyDescent="0.15">
      <c r="A642" t="s">
        <v>133</v>
      </c>
      <c r="B642" t="s">
        <v>12783</v>
      </c>
      <c r="C642" t="s">
        <v>74</v>
      </c>
      <c r="D642" t="s">
        <v>74</v>
      </c>
      <c r="E642" t="s">
        <v>74</v>
      </c>
      <c r="F642" t="s">
        <v>12784</v>
      </c>
      <c r="G642" t="s">
        <v>74</v>
      </c>
      <c r="H642" t="s">
        <v>74</v>
      </c>
      <c r="I642" t="s">
        <v>12785</v>
      </c>
      <c r="J642" t="s">
        <v>1252</v>
      </c>
      <c r="K642" t="s">
        <v>74</v>
      </c>
      <c r="L642" t="s">
        <v>74</v>
      </c>
      <c r="M642" t="s">
        <v>80</v>
      </c>
      <c r="N642" t="s">
        <v>138</v>
      </c>
      <c r="O642" t="s">
        <v>74</v>
      </c>
      <c r="P642" t="s">
        <v>74</v>
      </c>
      <c r="Q642" t="s">
        <v>74</v>
      </c>
      <c r="R642" t="s">
        <v>74</v>
      </c>
      <c r="S642" t="s">
        <v>74</v>
      </c>
      <c r="T642" t="s">
        <v>12786</v>
      </c>
      <c r="U642" t="s">
        <v>12787</v>
      </c>
      <c r="V642" t="s">
        <v>12788</v>
      </c>
      <c r="W642" t="s">
        <v>12789</v>
      </c>
      <c r="X642" t="s">
        <v>12790</v>
      </c>
      <c r="Y642" t="s">
        <v>12791</v>
      </c>
      <c r="Z642" t="s">
        <v>12792</v>
      </c>
      <c r="AA642" t="s">
        <v>74</v>
      </c>
      <c r="AB642" t="s">
        <v>12793</v>
      </c>
      <c r="AC642" t="s">
        <v>12794</v>
      </c>
      <c r="AD642" t="s">
        <v>12795</v>
      </c>
      <c r="AE642" t="s">
        <v>12796</v>
      </c>
      <c r="AF642" t="s">
        <v>74</v>
      </c>
      <c r="AG642">
        <v>58</v>
      </c>
      <c r="AH642">
        <v>6</v>
      </c>
      <c r="AI642">
        <v>7</v>
      </c>
      <c r="AJ642">
        <v>1</v>
      </c>
      <c r="AK642">
        <v>25</v>
      </c>
      <c r="AL642" t="s">
        <v>1264</v>
      </c>
      <c r="AM642" t="s">
        <v>1265</v>
      </c>
      <c r="AN642" t="s">
        <v>1266</v>
      </c>
      <c r="AO642" t="s">
        <v>74</v>
      </c>
      <c r="AP642" t="s">
        <v>1267</v>
      </c>
      <c r="AQ642" t="s">
        <v>74</v>
      </c>
      <c r="AR642" t="s">
        <v>1268</v>
      </c>
      <c r="AS642" t="s">
        <v>1269</v>
      </c>
      <c r="AT642" t="s">
        <v>6987</v>
      </c>
      <c r="AU642">
        <v>2019</v>
      </c>
      <c r="AV642">
        <v>6</v>
      </c>
      <c r="AW642">
        <v>10</v>
      </c>
      <c r="AX642" t="s">
        <v>74</v>
      </c>
      <c r="AY642" t="s">
        <v>74</v>
      </c>
      <c r="AZ642" t="s">
        <v>74</v>
      </c>
      <c r="BA642" t="s">
        <v>74</v>
      </c>
      <c r="BB642">
        <v>1887</v>
      </c>
      <c r="BC642">
        <v>1899</v>
      </c>
      <c r="BD642" t="s">
        <v>74</v>
      </c>
      <c r="BE642" t="s">
        <v>12797</v>
      </c>
      <c r="BF642" t="str">
        <f>HYPERLINK("http://dx.doi.org/10.1029/2019EA000771","http://dx.doi.org/10.1029/2019EA000771")</f>
        <v>http://dx.doi.org/10.1029/2019EA000771</v>
      </c>
      <c r="BG642" t="s">
        <v>74</v>
      </c>
      <c r="BH642" t="s">
        <v>11767</v>
      </c>
      <c r="BI642">
        <v>13</v>
      </c>
      <c r="BJ642" t="s">
        <v>1273</v>
      </c>
      <c r="BK642" t="s">
        <v>294</v>
      </c>
      <c r="BL642" t="s">
        <v>1274</v>
      </c>
      <c r="BM642" t="s">
        <v>11768</v>
      </c>
      <c r="BN642" t="s">
        <v>74</v>
      </c>
      <c r="BO642" t="s">
        <v>107</v>
      </c>
      <c r="BP642" t="s">
        <v>74</v>
      </c>
      <c r="BQ642" t="s">
        <v>74</v>
      </c>
      <c r="BR642" t="s">
        <v>108</v>
      </c>
      <c r="BS642" t="s">
        <v>12798</v>
      </c>
      <c r="BT642" t="str">
        <f>HYPERLINK("https%3A%2F%2Fwww.webofscience.com%2Fwos%2Fwoscc%2Ffull-record%2FWOS:000490472500001","View Full Record in Web of Science")</f>
        <v>View Full Record in Web of Science</v>
      </c>
    </row>
    <row r="643" spans="1:72" x14ac:dyDescent="0.15">
      <c r="A643" t="s">
        <v>133</v>
      </c>
      <c r="B643" t="s">
        <v>12799</v>
      </c>
      <c r="C643" t="s">
        <v>74</v>
      </c>
      <c r="D643" t="s">
        <v>74</v>
      </c>
      <c r="E643" t="s">
        <v>74</v>
      </c>
      <c r="F643" t="s">
        <v>12800</v>
      </c>
      <c r="G643" t="s">
        <v>74</v>
      </c>
      <c r="H643" t="s">
        <v>74</v>
      </c>
      <c r="I643" t="s">
        <v>12801</v>
      </c>
      <c r="J643" t="s">
        <v>1225</v>
      </c>
      <c r="K643" t="s">
        <v>74</v>
      </c>
      <c r="L643" t="s">
        <v>74</v>
      </c>
      <c r="M643" t="s">
        <v>80</v>
      </c>
      <c r="N643" t="s">
        <v>138</v>
      </c>
      <c r="O643" t="s">
        <v>74</v>
      </c>
      <c r="P643" t="s">
        <v>74</v>
      </c>
      <c r="Q643" t="s">
        <v>74</v>
      </c>
      <c r="R643" t="s">
        <v>74</v>
      </c>
      <c r="S643" t="s">
        <v>74</v>
      </c>
      <c r="T643" t="s">
        <v>74</v>
      </c>
      <c r="U643" t="s">
        <v>12802</v>
      </c>
      <c r="V643" t="s">
        <v>12803</v>
      </c>
      <c r="W643" t="s">
        <v>12804</v>
      </c>
      <c r="X643" t="s">
        <v>12805</v>
      </c>
      <c r="Y643" t="s">
        <v>12806</v>
      </c>
      <c r="Z643" t="s">
        <v>12807</v>
      </c>
      <c r="AA643" t="s">
        <v>12808</v>
      </c>
      <c r="AB643" t="s">
        <v>12809</v>
      </c>
      <c r="AC643" t="s">
        <v>12810</v>
      </c>
      <c r="AD643" t="s">
        <v>12811</v>
      </c>
      <c r="AE643" t="s">
        <v>12812</v>
      </c>
      <c r="AF643" t="s">
        <v>74</v>
      </c>
      <c r="AG643">
        <v>71</v>
      </c>
      <c r="AH643">
        <v>7</v>
      </c>
      <c r="AI643">
        <v>7</v>
      </c>
      <c r="AJ643">
        <v>0</v>
      </c>
      <c r="AK643">
        <v>5</v>
      </c>
      <c r="AL643" t="s">
        <v>1237</v>
      </c>
      <c r="AM643" t="s">
        <v>1238</v>
      </c>
      <c r="AN643" t="s">
        <v>1239</v>
      </c>
      <c r="AO643" t="s">
        <v>1240</v>
      </c>
      <c r="AP643" t="s">
        <v>74</v>
      </c>
      <c r="AQ643" t="s">
        <v>74</v>
      </c>
      <c r="AR643" t="s">
        <v>1225</v>
      </c>
      <c r="AS643" t="s">
        <v>1241</v>
      </c>
      <c r="AT643" t="s">
        <v>12813</v>
      </c>
      <c r="AU643">
        <v>2019</v>
      </c>
      <c r="AV643">
        <v>14</v>
      </c>
      <c r="AW643">
        <v>10</v>
      </c>
      <c r="AX643" t="s">
        <v>74</v>
      </c>
      <c r="AY643" t="s">
        <v>74</v>
      </c>
      <c r="AZ643" t="s">
        <v>74</v>
      </c>
      <c r="BA643" t="s">
        <v>74</v>
      </c>
      <c r="BB643" t="s">
        <v>74</v>
      </c>
      <c r="BC643" t="s">
        <v>74</v>
      </c>
      <c r="BD643" t="s">
        <v>12814</v>
      </c>
      <c r="BE643" t="s">
        <v>12815</v>
      </c>
      <c r="BF643" t="str">
        <f>HYPERLINK("http://dx.doi.org/10.1371/journal.pone.0223748","http://dx.doi.org/10.1371/journal.pone.0223748")</f>
        <v>http://dx.doi.org/10.1371/journal.pone.0223748</v>
      </c>
      <c r="BG643" t="s">
        <v>74</v>
      </c>
      <c r="BH643" t="s">
        <v>74</v>
      </c>
      <c r="BI643">
        <v>20</v>
      </c>
      <c r="BJ643" t="s">
        <v>1245</v>
      </c>
      <c r="BK643" t="s">
        <v>294</v>
      </c>
      <c r="BL643" t="s">
        <v>1246</v>
      </c>
      <c r="BM643" t="s">
        <v>12816</v>
      </c>
      <c r="BN643">
        <v>31613924</v>
      </c>
      <c r="BO643" t="s">
        <v>693</v>
      </c>
      <c r="BP643" t="s">
        <v>74</v>
      </c>
      <c r="BQ643" t="s">
        <v>74</v>
      </c>
      <c r="BR643" t="s">
        <v>108</v>
      </c>
      <c r="BS643" t="s">
        <v>12817</v>
      </c>
      <c r="BT643" t="str">
        <f>HYPERLINK("https%3A%2F%2Fwww.webofscience.com%2Fwos%2Fwoscc%2Ffull-record%2FWOS:000532565700030","View Full Record in Web of Science")</f>
        <v>View Full Record in Web of Science</v>
      </c>
    </row>
    <row r="644" spans="1:72" x14ac:dyDescent="0.15">
      <c r="A644" t="s">
        <v>133</v>
      </c>
      <c r="B644" t="s">
        <v>12818</v>
      </c>
      <c r="C644" t="s">
        <v>74</v>
      </c>
      <c r="D644" t="s">
        <v>74</v>
      </c>
      <c r="E644" t="s">
        <v>74</v>
      </c>
      <c r="F644" t="s">
        <v>12819</v>
      </c>
      <c r="G644" t="s">
        <v>74</v>
      </c>
      <c r="H644" t="s">
        <v>74</v>
      </c>
      <c r="I644" t="s">
        <v>12820</v>
      </c>
      <c r="J644" t="s">
        <v>5052</v>
      </c>
      <c r="K644" t="s">
        <v>74</v>
      </c>
      <c r="L644" t="s">
        <v>74</v>
      </c>
      <c r="M644" t="s">
        <v>80</v>
      </c>
      <c r="N644" t="s">
        <v>138</v>
      </c>
      <c r="O644" t="s">
        <v>74</v>
      </c>
      <c r="P644" t="s">
        <v>74</v>
      </c>
      <c r="Q644" t="s">
        <v>74</v>
      </c>
      <c r="R644" t="s">
        <v>74</v>
      </c>
      <c r="S644" t="s">
        <v>74</v>
      </c>
      <c r="T644" t="s">
        <v>12821</v>
      </c>
      <c r="U644" t="s">
        <v>12822</v>
      </c>
      <c r="V644" t="s">
        <v>12823</v>
      </c>
      <c r="W644" t="s">
        <v>12824</v>
      </c>
      <c r="X644" t="s">
        <v>12825</v>
      </c>
      <c r="Y644" t="s">
        <v>12826</v>
      </c>
      <c r="Z644" t="s">
        <v>12827</v>
      </c>
      <c r="AA644" t="s">
        <v>12828</v>
      </c>
      <c r="AB644" t="s">
        <v>12829</v>
      </c>
      <c r="AC644" t="s">
        <v>12830</v>
      </c>
      <c r="AD644" t="s">
        <v>12831</v>
      </c>
      <c r="AE644" t="s">
        <v>12832</v>
      </c>
      <c r="AF644" t="s">
        <v>74</v>
      </c>
      <c r="AG644">
        <v>28</v>
      </c>
      <c r="AH644">
        <v>2</v>
      </c>
      <c r="AI644">
        <v>2</v>
      </c>
      <c r="AJ644">
        <v>0</v>
      </c>
      <c r="AK644">
        <v>4</v>
      </c>
      <c r="AL644" t="s">
        <v>379</v>
      </c>
      <c r="AM644" t="s">
        <v>380</v>
      </c>
      <c r="AN644" t="s">
        <v>381</v>
      </c>
      <c r="AO644" t="s">
        <v>5065</v>
      </c>
      <c r="AP644" t="s">
        <v>5066</v>
      </c>
      <c r="AQ644" t="s">
        <v>74</v>
      </c>
      <c r="AR644" t="s">
        <v>5067</v>
      </c>
      <c r="AS644" t="s">
        <v>5068</v>
      </c>
      <c r="AT644" t="s">
        <v>12813</v>
      </c>
      <c r="AU644">
        <v>2019</v>
      </c>
      <c r="AV644">
        <v>193</v>
      </c>
      <c r="AW644" t="s">
        <v>74</v>
      </c>
      <c r="AX644" t="s">
        <v>74</v>
      </c>
      <c r="AY644" t="s">
        <v>74</v>
      </c>
      <c r="AZ644" t="s">
        <v>74</v>
      </c>
      <c r="BA644" t="s">
        <v>74</v>
      </c>
      <c r="BB644" t="s">
        <v>74</v>
      </c>
      <c r="BC644" t="s">
        <v>74</v>
      </c>
      <c r="BD644">
        <v>105087</v>
      </c>
      <c r="BE644" t="s">
        <v>12833</v>
      </c>
      <c r="BF644" t="str">
        <f>HYPERLINK("http://dx.doi.org/10.1016/j.jastp.2019.105087","http://dx.doi.org/10.1016/j.jastp.2019.105087")</f>
        <v>http://dx.doi.org/10.1016/j.jastp.2019.105087</v>
      </c>
      <c r="BG644" t="s">
        <v>74</v>
      </c>
      <c r="BH644" t="s">
        <v>74</v>
      </c>
      <c r="BI644">
        <v>7</v>
      </c>
      <c r="BJ644" t="s">
        <v>5070</v>
      </c>
      <c r="BK644" t="s">
        <v>294</v>
      </c>
      <c r="BL644" t="s">
        <v>5070</v>
      </c>
      <c r="BM644" t="s">
        <v>12834</v>
      </c>
      <c r="BN644" t="s">
        <v>74</v>
      </c>
      <c r="BO644" t="s">
        <v>559</v>
      </c>
      <c r="BP644" t="s">
        <v>74</v>
      </c>
      <c r="BQ644" t="s">
        <v>74</v>
      </c>
      <c r="BR644" t="s">
        <v>108</v>
      </c>
      <c r="BS644" t="s">
        <v>12835</v>
      </c>
      <c r="BT644" t="str">
        <f>HYPERLINK("https%3A%2F%2Fwww.webofscience.com%2Fwos%2Fwoscc%2Ffull-record%2FWOS:000497960400019","View Full Record in Web of Science")</f>
        <v>View Full Record in Web of Science</v>
      </c>
    </row>
    <row r="645" spans="1:72" x14ac:dyDescent="0.15">
      <c r="A645" t="s">
        <v>133</v>
      </c>
      <c r="B645" t="s">
        <v>12836</v>
      </c>
      <c r="C645" t="s">
        <v>74</v>
      </c>
      <c r="D645" t="s">
        <v>74</v>
      </c>
      <c r="E645" t="s">
        <v>74</v>
      </c>
      <c r="F645" t="s">
        <v>12837</v>
      </c>
      <c r="G645" t="s">
        <v>74</v>
      </c>
      <c r="H645" t="s">
        <v>74</v>
      </c>
      <c r="I645" t="s">
        <v>12838</v>
      </c>
      <c r="J645" t="s">
        <v>12839</v>
      </c>
      <c r="K645" t="s">
        <v>74</v>
      </c>
      <c r="L645" t="s">
        <v>74</v>
      </c>
      <c r="M645" t="s">
        <v>80</v>
      </c>
      <c r="N645" t="s">
        <v>138</v>
      </c>
      <c r="O645" t="s">
        <v>74</v>
      </c>
      <c r="P645" t="s">
        <v>74</v>
      </c>
      <c r="Q645" t="s">
        <v>74</v>
      </c>
      <c r="R645" t="s">
        <v>74</v>
      </c>
      <c r="S645" t="s">
        <v>74</v>
      </c>
      <c r="T645" t="s">
        <v>12840</v>
      </c>
      <c r="U645" t="s">
        <v>12841</v>
      </c>
      <c r="V645" t="s">
        <v>12842</v>
      </c>
      <c r="W645" t="s">
        <v>12843</v>
      </c>
      <c r="X645" t="s">
        <v>12844</v>
      </c>
      <c r="Y645" t="s">
        <v>12845</v>
      </c>
      <c r="Z645" t="s">
        <v>12846</v>
      </c>
      <c r="AA645" t="s">
        <v>74</v>
      </c>
      <c r="AB645" t="s">
        <v>74</v>
      </c>
      <c r="AC645" t="s">
        <v>12847</v>
      </c>
      <c r="AD645" t="s">
        <v>12848</v>
      </c>
      <c r="AE645" t="s">
        <v>12849</v>
      </c>
      <c r="AF645" t="s">
        <v>74</v>
      </c>
      <c r="AG645">
        <v>60</v>
      </c>
      <c r="AH645">
        <v>47</v>
      </c>
      <c r="AI645">
        <v>55</v>
      </c>
      <c r="AJ645">
        <v>18</v>
      </c>
      <c r="AK645">
        <v>103</v>
      </c>
      <c r="AL645" t="s">
        <v>284</v>
      </c>
      <c r="AM645" t="s">
        <v>285</v>
      </c>
      <c r="AN645" t="s">
        <v>286</v>
      </c>
      <c r="AO645" t="s">
        <v>12850</v>
      </c>
      <c r="AP645" t="s">
        <v>12851</v>
      </c>
      <c r="AQ645" t="s">
        <v>74</v>
      </c>
      <c r="AR645" t="s">
        <v>12839</v>
      </c>
      <c r="AS645" t="s">
        <v>12852</v>
      </c>
      <c r="AT645" t="s">
        <v>12813</v>
      </c>
      <c r="AU645">
        <v>2019</v>
      </c>
      <c r="AV645">
        <v>512</v>
      </c>
      <c r="AW645" t="s">
        <v>74</v>
      </c>
      <c r="AX645" t="s">
        <v>74</v>
      </c>
      <c r="AY645" t="s">
        <v>74</v>
      </c>
      <c r="AZ645" t="s">
        <v>74</v>
      </c>
      <c r="BA645" t="s">
        <v>74</v>
      </c>
      <c r="BB645" t="s">
        <v>74</v>
      </c>
      <c r="BC645" t="s">
        <v>74</v>
      </c>
      <c r="BD645">
        <v>734281</v>
      </c>
      <c r="BE645" t="s">
        <v>12853</v>
      </c>
      <c r="BF645" t="str">
        <f>HYPERLINK("http://dx.doi.org/10.1016/j.aquaculture.2019.734281","http://dx.doi.org/10.1016/j.aquaculture.2019.734281")</f>
        <v>http://dx.doi.org/10.1016/j.aquaculture.2019.734281</v>
      </c>
      <c r="BG645" t="s">
        <v>74</v>
      </c>
      <c r="BH645" t="s">
        <v>74</v>
      </c>
      <c r="BI645">
        <v>14</v>
      </c>
      <c r="BJ645" t="s">
        <v>3008</v>
      </c>
      <c r="BK645" t="s">
        <v>294</v>
      </c>
      <c r="BL645" t="s">
        <v>3008</v>
      </c>
      <c r="BM645" t="s">
        <v>12854</v>
      </c>
      <c r="BN645" t="s">
        <v>74</v>
      </c>
      <c r="BO645" t="s">
        <v>74</v>
      </c>
      <c r="BP645" t="s">
        <v>74</v>
      </c>
      <c r="BQ645" t="s">
        <v>74</v>
      </c>
      <c r="BR645" t="s">
        <v>108</v>
      </c>
      <c r="BS645" t="s">
        <v>12855</v>
      </c>
      <c r="BT645" t="str">
        <f>HYPERLINK("https%3A%2F%2Fwww.webofscience.com%2Fwos%2Fwoscc%2Ffull-record%2FWOS:000491992200013","View Full Record in Web of Science")</f>
        <v>View Full Record in Web of Science</v>
      </c>
    </row>
    <row r="646" spans="1:72" x14ac:dyDescent="0.15">
      <c r="A646" t="s">
        <v>133</v>
      </c>
      <c r="B646" t="s">
        <v>12856</v>
      </c>
      <c r="C646" t="s">
        <v>74</v>
      </c>
      <c r="D646" t="s">
        <v>74</v>
      </c>
      <c r="E646" t="s">
        <v>74</v>
      </c>
      <c r="F646" t="s">
        <v>12857</v>
      </c>
      <c r="G646" t="s">
        <v>74</v>
      </c>
      <c r="H646" t="s">
        <v>74</v>
      </c>
      <c r="I646" t="s">
        <v>12858</v>
      </c>
      <c r="J646" t="s">
        <v>1487</v>
      </c>
      <c r="K646" t="s">
        <v>74</v>
      </c>
      <c r="L646" t="s">
        <v>74</v>
      </c>
      <c r="M646" t="s">
        <v>80</v>
      </c>
      <c r="N646" t="s">
        <v>138</v>
      </c>
      <c r="O646" t="s">
        <v>74</v>
      </c>
      <c r="P646" t="s">
        <v>74</v>
      </c>
      <c r="Q646" t="s">
        <v>74</v>
      </c>
      <c r="R646" t="s">
        <v>74</v>
      </c>
      <c r="S646" t="s">
        <v>74</v>
      </c>
      <c r="T646" t="s">
        <v>12859</v>
      </c>
      <c r="U646" t="s">
        <v>12860</v>
      </c>
      <c r="V646" t="s">
        <v>12861</v>
      </c>
      <c r="W646" t="s">
        <v>12862</v>
      </c>
      <c r="X646" t="s">
        <v>12863</v>
      </c>
      <c r="Y646" t="s">
        <v>12864</v>
      </c>
      <c r="Z646" t="s">
        <v>12865</v>
      </c>
      <c r="AA646" t="s">
        <v>12866</v>
      </c>
      <c r="AB646" t="s">
        <v>12867</v>
      </c>
      <c r="AC646" t="s">
        <v>12868</v>
      </c>
      <c r="AD646" t="s">
        <v>12869</v>
      </c>
      <c r="AE646" t="s">
        <v>12870</v>
      </c>
      <c r="AF646" t="s">
        <v>74</v>
      </c>
      <c r="AG646">
        <v>79</v>
      </c>
      <c r="AH646">
        <v>22</v>
      </c>
      <c r="AI646">
        <v>22</v>
      </c>
      <c r="AJ646">
        <v>2</v>
      </c>
      <c r="AK646">
        <v>9</v>
      </c>
      <c r="AL646" t="s">
        <v>1264</v>
      </c>
      <c r="AM646" t="s">
        <v>1265</v>
      </c>
      <c r="AN646" t="s">
        <v>1266</v>
      </c>
      <c r="AO646" t="s">
        <v>1500</v>
      </c>
      <c r="AP646" t="s">
        <v>1501</v>
      </c>
      <c r="AQ646" t="s">
        <v>74</v>
      </c>
      <c r="AR646" t="s">
        <v>1502</v>
      </c>
      <c r="AS646" t="s">
        <v>1503</v>
      </c>
      <c r="AT646" t="s">
        <v>12871</v>
      </c>
      <c r="AU646">
        <v>2019</v>
      </c>
      <c r="AV646">
        <v>124</v>
      </c>
      <c r="AW646">
        <v>19</v>
      </c>
      <c r="AX646" t="s">
        <v>74</v>
      </c>
      <c r="AY646" t="s">
        <v>74</v>
      </c>
      <c r="AZ646" t="s">
        <v>74</v>
      </c>
      <c r="BA646" t="s">
        <v>74</v>
      </c>
      <c r="BB646">
        <v>10364</v>
      </c>
      <c r="BC646">
        <v>10384</v>
      </c>
      <c r="BD646" t="s">
        <v>74</v>
      </c>
      <c r="BE646" t="s">
        <v>12872</v>
      </c>
      <c r="BF646" t="str">
        <f>HYPERLINK("http://dx.doi.org/10.1029/2019JD030932","http://dx.doi.org/10.1029/2019JD030932")</f>
        <v>http://dx.doi.org/10.1029/2019JD030932</v>
      </c>
      <c r="BG646" t="s">
        <v>74</v>
      </c>
      <c r="BH646" t="s">
        <v>11767</v>
      </c>
      <c r="BI646">
        <v>21</v>
      </c>
      <c r="BJ646" t="s">
        <v>1024</v>
      </c>
      <c r="BK646" t="s">
        <v>294</v>
      </c>
      <c r="BL646" t="s">
        <v>1024</v>
      </c>
      <c r="BM646" t="s">
        <v>12873</v>
      </c>
      <c r="BN646" t="s">
        <v>74</v>
      </c>
      <c r="BO646" t="s">
        <v>10668</v>
      </c>
      <c r="BP646" t="s">
        <v>74</v>
      </c>
      <c r="BQ646" t="s">
        <v>74</v>
      </c>
      <c r="BR646" t="s">
        <v>108</v>
      </c>
      <c r="BS646" t="s">
        <v>12874</v>
      </c>
      <c r="BT646" t="str">
        <f>HYPERLINK("https%3A%2F%2Fwww.webofscience.com%2Fwos%2Fwoscc%2Ffull-record%2FWOS:000492222700001","View Full Record in Web of Science")</f>
        <v>View Full Record in Web of Science</v>
      </c>
    </row>
    <row r="647" spans="1:72" x14ac:dyDescent="0.15">
      <c r="A647" t="s">
        <v>133</v>
      </c>
      <c r="B647" t="s">
        <v>12875</v>
      </c>
      <c r="C647" t="s">
        <v>74</v>
      </c>
      <c r="D647" t="s">
        <v>74</v>
      </c>
      <c r="E647" t="s">
        <v>74</v>
      </c>
      <c r="F647" t="s">
        <v>12876</v>
      </c>
      <c r="G647" t="s">
        <v>74</v>
      </c>
      <c r="H647" t="s">
        <v>74</v>
      </c>
      <c r="I647" t="s">
        <v>12877</v>
      </c>
      <c r="J647" t="s">
        <v>1412</v>
      </c>
      <c r="K647" t="s">
        <v>74</v>
      </c>
      <c r="L647" t="s">
        <v>74</v>
      </c>
      <c r="M647" t="s">
        <v>80</v>
      </c>
      <c r="N647" t="s">
        <v>138</v>
      </c>
      <c r="O647" t="s">
        <v>74</v>
      </c>
      <c r="P647" t="s">
        <v>74</v>
      </c>
      <c r="Q647" t="s">
        <v>74</v>
      </c>
      <c r="R647" t="s">
        <v>74</v>
      </c>
      <c r="S647" t="s">
        <v>74</v>
      </c>
      <c r="T647" t="s">
        <v>12878</v>
      </c>
      <c r="U647" t="s">
        <v>12879</v>
      </c>
      <c r="V647" t="s">
        <v>12880</v>
      </c>
      <c r="W647" t="s">
        <v>12881</v>
      </c>
      <c r="X647" t="s">
        <v>12882</v>
      </c>
      <c r="Y647" t="s">
        <v>12883</v>
      </c>
      <c r="Z647" t="s">
        <v>3559</v>
      </c>
      <c r="AA647" t="s">
        <v>12884</v>
      </c>
      <c r="AB647" t="s">
        <v>12885</v>
      </c>
      <c r="AC647" t="s">
        <v>12886</v>
      </c>
      <c r="AD647" t="s">
        <v>12887</v>
      </c>
      <c r="AE647" t="s">
        <v>12888</v>
      </c>
      <c r="AF647" t="s">
        <v>74</v>
      </c>
      <c r="AG647">
        <v>38</v>
      </c>
      <c r="AH647">
        <v>98</v>
      </c>
      <c r="AI647">
        <v>104</v>
      </c>
      <c r="AJ647">
        <v>1</v>
      </c>
      <c r="AK647">
        <v>39</v>
      </c>
      <c r="AL647" t="s">
        <v>1425</v>
      </c>
      <c r="AM647" t="s">
        <v>1265</v>
      </c>
      <c r="AN647" t="s">
        <v>1426</v>
      </c>
      <c r="AO647" t="s">
        <v>1427</v>
      </c>
      <c r="AP647" t="s">
        <v>74</v>
      </c>
      <c r="AQ647" t="s">
        <v>74</v>
      </c>
      <c r="AR647" t="s">
        <v>1429</v>
      </c>
      <c r="AS647" t="s">
        <v>1430</v>
      </c>
      <c r="AT647" t="s">
        <v>12813</v>
      </c>
      <c r="AU647">
        <v>2019</v>
      </c>
      <c r="AV647">
        <v>116</v>
      </c>
      <c r="AW647">
        <v>42</v>
      </c>
      <c r="AX647" t="s">
        <v>74</v>
      </c>
      <c r="AY647" t="s">
        <v>74</v>
      </c>
      <c r="AZ647" t="s">
        <v>74</v>
      </c>
      <c r="BA647" t="s">
        <v>74</v>
      </c>
      <c r="BB647">
        <v>20892</v>
      </c>
      <c r="BC647">
        <v>20897</v>
      </c>
      <c r="BD647" t="s">
        <v>74</v>
      </c>
      <c r="BE647" t="s">
        <v>12889</v>
      </c>
      <c r="BF647" t="str">
        <f>HYPERLINK("http://dx.doi.org/10.1073/pnas.1909816116","http://dx.doi.org/10.1073/pnas.1909816116")</f>
        <v>http://dx.doi.org/10.1073/pnas.1909816116</v>
      </c>
      <c r="BG647" t="s">
        <v>74</v>
      </c>
      <c r="BH647" t="s">
        <v>74</v>
      </c>
      <c r="BI647">
        <v>6</v>
      </c>
      <c r="BJ647" t="s">
        <v>1245</v>
      </c>
      <c r="BK647" t="s">
        <v>294</v>
      </c>
      <c r="BL647" t="s">
        <v>1246</v>
      </c>
      <c r="BM647" t="s">
        <v>12890</v>
      </c>
      <c r="BN647">
        <v>31570571</v>
      </c>
      <c r="BO647" t="s">
        <v>1740</v>
      </c>
      <c r="BP647" t="s">
        <v>74</v>
      </c>
      <c r="BQ647" t="s">
        <v>74</v>
      </c>
      <c r="BR647" t="s">
        <v>108</v>
      </c>
      <c r="BS647" t="s">
        <v>12891</v>
      </c>
      <c r="BT647" t="str">
        <f>HYPERLINK("https%3A%2F%2Fwww.webofscience.com%2Fwos%2Fwoscc%2Ffull-record%2FWOS:000490183000020","View Full Record in Web of Science")</f>
        <v>View Full Record in Web of Science</v>
      </c>
    </row>
    <row r="648" spans="1:72" x14ac:dyDescent="0.15">
      <c r="A648" t="s">
        <v>133</v>
      </c>
      <c r="B648" t="s">
        <v>12892</v>
      </c>
      <c r="C648" t="s">
        <v>74</v>
      </c>
      <c r="D648" t="s">
        <v>74</v>
      </c>
      <c r="E648" t="s">
        <v>74</v>
      </c>
      <c r="F648" t="s">
        <v>12893</v>
      </c>
      <c r="G648" t="s">
        <v>74</v>
      </c>
      <c r="H648" t="s">
        <v>74</v>
      </c>
      <c r="I648" t="s">
        <v>12894</v>
      </c>
      <c r="J648" t="s">
        <v>2429</v>
      </c>
      <c r="K648" t="s">
        <v>74</v>
      </c>
      <c r="L648" t="s">
        <v>74</v>
      </c>
      <c r="M648" t="s">
        <v>80</v>
      </c>
      <c r="N648" t="s">
        <v>138</v>
      </c>
      <c r="O648" t="s">
        <v>74</v>
      </c>
      <c r="P648" t="s">
        <v>74</v>
      </c>
      <c r="Q648" t="s">
        <v>74</v>
      </c>
      <c r="R648" t="s">
        <v>74</v>
      </c>
      <c r="S648" t="s">
        <v>74</v>
      </c>
      <c r="T648" t="s">
        <v>12895</v>
      </c>
      <c r="U648" t="s">
        <v>12896</v>
      </c>
      <c r="V648" t="s">
        <v>12897</v>
      </c>
      <c r="W648" t="s">
        <v>12898</v>
      </c>
      <c r="X648" t="s">
        <v>12899</v>
      </c>
      <c r="Y648" t="s">
        <v>12900</v>
      </c>
      <c r="Z648" t="s">
        <v>12901</v>
      </c>
      <c r="AA648" t="s">
        <v>74</v>
      </c>
      <c r="AB648" t="s">
        <v>12902</v>
      </c>
      <c r="AC648" t="s">
        <v>12903</v>
      </c>
      <c r="AD648" t="s">
        <v>12904</v>
      </c>
      <c r="AE648" t="s">
        <v>12905</v>
      </c>
      <c r="AF648" t="s">
        <v>74</v>
      </c>
      <c r="AG648">
        <v>53</v>
      </c>
      <c r="AH648">
        <v>23</v>
      </c>
      <c r="AI648">
        <v>23</v>
      </c>
      <c r="AJ648">
        <v>1</v>
      </c>
      <c r="AK648">
        <v>12</v>
      </c>
      <c r="AL648" t="s">
        <v>379</v>
      </c>
      <c r="AM648" t="s">
        <v>380</v>
      </c>
      <c r="AN648" t="s">
        <v>381</v>
      </c>
      <c r="AO648" t="s">
        <v>2441</v>
      </c>
      <c r="AP648" t="s">
        <v>74</v>
      </c>
      <c r="AQ648" t="s">
        <v>74</v>
      </c>
      <c r="AR648" t="s">
        <v>2442</v>
      </c>
      <c r="AS648" t="s">
        <v>2443</v>
      </c>
      <c r="AT648" t="s">
        <v>12813</v>
      </c>
      <c r="AU648">
        <v>2019</v>
      </c>
      <c r="AV648">
        <v>222</v>
      </c>
      <c r="AW648" t="s">
        <v>74</v>
      </c>
      <c r="AX648" t="s">
        <v>74</v>
      </c>
      <c r="AY648" t="s">
        <v>74</v>
      </c>
      <c r="AZ648" t="s">
        <v>74</v>
      </c>
      <c r="BA648" t="s">
        <v>74</v>
      </c>
      <c r="BB648" t="s">
        <v>74</v>
      </c>
      <c r="BC648" t="s">
        <v>74</v>
      </c>
      <c r="BD648">
        <v>105904</v>
      </c>
      <c r="BE648" t="s">
        <v>12906</v>
      </c>
      <c r="BF648" t="str">
        <f>HYPERLINK("http://dx.doi.org/10.1016/j.quascirev.2019.105904","http://dx.doi.org/10.1016/j.quascirev.2019.105904")</f>
        <v>http://dx.doi.org/10.1016/j.quascirev.2019.105904</v>
      </c>
      <c r="BG648" t="s">
        <v>74</v>
      </c>
      <c r="BH648" t="s">
        <v>74</v>
      </c>
      <c r="BI648">
        <v>22</v>
      </c>
      <c r="BJ648" t="s">
        <v>462</v>
      </c>
      <c r="BK648" t="s">
        <v>294</v>
      </c>
      <c r="BL648" t="s">
        <v>463</v>
      </c>
      <c r="BM648" t="s">
        <v>12907</v>
      </c>
      <c r="BN648" t="s">
        <v>74</v>
      </c>
      <c r="BO648" t="s">
        <v>559</v>
      </c>
      <c r="BP648" t="s">
        <v>74</v>
      </c>
      <c r="BQ648" t="s">
        <v>74</v>
      </c>
      <c r="BR648" t="s">
        <v>108</v>
      </c>
      <c r="BS648" t="s">
        <v>12908</v>
      </c>
      <c r="BT648" t="str">
        <f>HYPERLINK("https%3A%2F%2Fwww.webofscience.com%2Fwos%2Fwoscc%2Ffull-record%2FWOS:000491685900014","View Full Record in Web of Science")</f>
        <v>View Full Record in Web of Science</v>
      </c>
    </row>
    <row r="649" spans="1:72" x14ac:dyDescent="0.15">
      <c r="A649" t="s">
        <v>133</v>
      </c>
      <c r="B649" t="s">
        <v>12909</v>
      </c>
      <c r="C649" t="s">
        <v>74</v>
      </c>
      <c r="D649" t="s">
        <v>74</v>
      </c>
      <c r="E649" t="s">
        <v>74</v>
      </c>
      <c r="F649" t="s">
        <v>12910</v>
      </c>
      <c r="G649" t="s">
        <v>74</v>
      </c>
      <c r="H649" t="s">
        <v>74</v>
      </c>
      <c r="I649" t="s">
        <v>12911</v>
      </c>
      <c r="J649" t="s">
        <v>12912</v>
      </c>
      <c r="K649" t="s">
        <v>74</v>
      </c>
      <c r="L649" t="s">
        <v>74</v>
      </c>
      <c r="M649" t="s">
        <v>80</v>
      </c>
      <c r="N649" t="s">
        <v>138</v>
      </c>
      <c r="O649" t="s">
        <v>74</v>
      </c>
      <c r="P649" t="s">
        <v>74</v>
      </c>
      <c r="Q649" t="s">
        <v>74</v>
      </c>
      <c r="R649" t="s">
        <v>74</v>
      </c>
      <c r="S649" t="s">
        <v>74</v>
      </c>
      <c r="T649" t="s">
        <v>12913</v>
      </c>
      <c r="U649" t="s">
        <v>74</v>
      </c>
      <c r="V649" t="s">
        <v>12914</v>
      </c>
      <c r="W649" t="s">
        <v>12915</v>
      </c>
      <c r="X649" t="s">
        <v>12916</v>
      </c>
      <c r="Y649" t="s">
        <v>12917</v>
      </c>
      <c r="Z649" t="s">
        <v>12918</v>
      </c>
      <c r="AA649" t="s">
        <v>74</v>
      </c>
      <c r="AB649" t="s">
        <v>74</v>
      </c>
      <c r="AC649" t="s">
        <v>12919</v>
      </c>
      <c r="AD649" t="s">
        <v>12920</v>
      </c>
      <c r="AE649" t="s">
        <v>12921</v>
      </c>
      <c r="AF649" t="s">
        <v>74</v>
      </c>
      <c r="AG649">
        <v>37</v>
      </c>
      <c r="AH649">
        <v>15</v>
      </c>
      <c r="AI649">
        <v>15</v>
      </c>
      <c r="AJ649">
        <v>1</v>
      </c>
      <c r="AK649">
        <v>27</v>
      </c>
      <c r="AL649" t="s">
        <v>1964</v>
      </c>
      <c r="AM649" t="s">
        <v>1965</v>
      </c>
      <c r="AN649" t="s">
        <v>1966</v>
      </c>
      <c r="AO649" t="s">
        <v>12922</v>
      </c>
      <c r="AP649" t="s">
        <v>12923</v>
      </c>
      <c r="AQ649" t="s">
        <v>74</v>
      </c>
      <c r="AR649" t="s">
        <v>12924</v>
      </c>
      <c r="AS649" t="s">
        <v>12925</v>
      </c>
      <c r="AT649" t="s">
        <v>1270</v>
      </c>
      <c r="AU649">
        <v>2019</v>
      </c>
      <c r="AV649">
        <v>47</v>
      </c>
      <c r="AW649">
        <v>12</v>
      </c>
      <c r="AX649" t="s">
        <v>74</v>
      </c>
      <c r="AY649" t="s">
        <v>74</v>
      </c>
      <c r="AZ649" t="s">
        <v>74</v>
      </c>
      <c r="BA649" t="s">
        <v>74</v>
      </c>
      <c r="BB649">
        <v>2113</v>
      </c>
      <c r="BC649">
        <v>2127</v>
      </c>
      <c r="BD649" t="s">
        <v>74</v>
      </c>
      <c r="BE649" t="s">
        <v>12926</v>
      </c>
      <c r="BF649" t="str">
        <f>HYPERLINK("http://dx.doi.org/10.1007/s12524-019-01040-3","http://dx.doi.org/10.1007/s12524-019-01040-3")</f>
        <v>http://dx.doi.org/10.1007/s12524-019-01040-3</v>
      </c>
      <c r="BG649" t="s">
        <v>74</v>
      </c>
      <c r="BH649" t="s">
        <v>11767</v>
      </c>
      <c r="BI649">
        <v>15</v>
      </c>
      <c r="BJ649" t="s">
        <v>12927</v>
      </c>
      <c r="BK649" t="s">
        <v>294</v>
      </c>
      <c r="BL649" t="s">
        <v>12928</v>
      </c>
      <c r="BM649" t="s">
        <v>12929</v>
      </c>
      <c r="BN649" t="s">
        <v>74</v>
      </c>
      <c r="BO649" t="s">
        <v>74</v>
      </c>
      <c r="BP649" t="s">
        <v>74</v>
      </c>
      <c r="BQ649" t="s">
        <v>74</v>
      </c>
      <c r="BR649" t="s">
        <v>108</v>
      </c>
      <c r="BS649" t="s">
        <v>12930</v>
      </c>
      <c r="BT649" t="str">
        <f>HYPERLINK("https%3A%2F%2Fwww.webofscience.com%2Fwos%2Fwoscc%2Ffull-record%2FWOS:000490878900001","View Full Record in Web of Science")</f>
        <v>View Full Record in Web of Science</v>
      </c>
    </row>
    <row r="650" spans="1:72" x14ac:dyDescent="0.15">
      <c r="A650" t="s">
        <v>133</v>
      </c>
      <c r="B650" t="s">
        <v>12931</v>
      </c>
      <c r="C650" t="s">
        <v>74</v>
      </c>
      <c r="D650" t="s">
        <v>74</v>
      </c>
      <c r="E650" t="s">
        <v>74</v>
      </c>
      <c r="F650" t="s">
        <v>12932</v>
      </c>
      <c r="G650" t="s">
        <v>74</v>
      </c>
      <c r="H650" t="s">
        <v>74</v>
      </c>
      <c r="I650" t="s">
        <v>12933</v>
      </c>
      <c r="J650" t="s">
        <v>4378</v>
      </c>
      <c r="K650" t="s">
        <v>74</v>
      </c>
      <c r="L650" t="s">
        <v>74</v>
      </c>
      <c r="M650" t="s">
        <v>80</v>
      </c>
      <c r="N650" t="s">
        <v>930</v>
      </c>
      <c r="O650" t="s">
        <v>74</v>
      </c>
      <c r="P650" t="s">
        <v>74</v>
      </c>
      <c r="Q650" t="s">
        <v>74</v>
      </c>
      <c r="R650" t="s">
        <v>74</v>
      </c>
      <c r="S650" t="s">
        <v>74</v>
      </c>
      <c r="T650" t="s">
        <v>74</v>
      </c>
      <c r="U650" t="s">
        <v>12934</v>
      </c>
      <c r="V650" t="s">
        <v>12935</v>
      </c>
      <c r="W650" t="s">
        <v>12936</v>
      </c>
      <c r="X650" t="s">
        <v>12937</v>
      </c>
      <c r="Y650" t="s">
        <v>12938</v>
      </c>
      <c r="Z650" t="s">
        <v>12939</v>
      </c>
      <c r="AA650" t="s">
        <v>12940</v>
      </c>
      <c r="AB650" t="s">
        <v>12941</v>
      </c>
      <c r="AC650" t="s">
        <v>12942</v>
      </c>
      <c r="AD650" t="s">
        <v>12942</v>
      </c>
      <c r="AE650" t="s">
        <v>12943</v>
      </c>
      <c r="AF650" t="s">
        <v>74</v>
      </c>
      <c r="AG650">
        <v>206</v>
      </c>
      <c r="AH650">
        <v>21</v>
      </c>
      <c r="AI650">
        <v>22</v>
      </c>
      <c r="AJ650">
        <v>6</v>
      </c>
      <c r="AK650">
        <v>59</v>
      </c>
      <c r="AL650" t="s">
        <v>284</v>
      </c>
      <c r="AM650" t="s">
        <v>285</v>
      </c>
      <c r="AN650" t="s">
        <v>286</v>
      </c>
      <c r="AO650" t="s">
        <v>4390</v>
      </c>
      <c r="AP650" t="s">
        <v>4391</v>
      </c>
      <c r="AQ650" t="s">
        <v>74</v>
      </c>
      <c r="AR650" t="s">
        <v>4392</v>
      </c>
      <c r="AS650" t="s">
        <v>4393</v>
      </c>
      <c r="AT650" t="s">
        <v>12813</v>
      </c>
      <c r="AU650">
        <v>2019</v>
      </c>
      <c r="AV650">
        <v>532</v>
      </c>
      <c r="AW650" t="s">
        <v>74</v>
      </c>
      <c r="AX650" t="s">
        <v>74</v>
      </c>
      <c r="AY650" t="s">
        <v>74</v>
      </c>
      <c r="AZ650" t="s">
        <v>74</v>
      </c>
      <c r="BA650" t="s">
        <v>74</v>
      </c>
      <c r="BB650" t="s">
        <v>74</v>
      </c>
      <c r="BC650" t="s">
        <v>74</v>
      </c>
      <c r="BD650">
        <v>109251</v>
      </c>
      <c r="BE650" t="s">
        <v>12944</v>
      </c>
      <c r="BF650" t="str">
        <f>HYPERLINK("http://dx.doi.org/10.1016/j.palaeo.2019.109251","http://dx.doi.org/10.1016/j.palaeo.2019.109251")</f>
        <v>http://dx.doi.org/10.1016/j.palaeo.2019.109251</v>
      </c>
      <c r="BG650" t="s">
        <v>74</v>
      </c>
      <c r="BH650" t="s">
        <v>74</v>
      </c>
      <c r="BI650">
        <v>18</v>
      </c>
      <c r="BJ650" t="s">
        <v>4395</v>
      </c>
      <c r="BK650" t="s">
        <v>294</v>
      </c>
      <c r="BL650" t="s">
        <v>4396</v>
      </c>
      <c r="BM650" t="s">
        <v>12945</v>
      </c>
      <c r="BN650" t="s">
        <v>74</v>
      </c>
      <c r="BO650" t="s">
        <v>559</v>
      </c>
      <c r="BP650" t="s">
        <v>74</v>
      </c>
      <c r="BQ650" t="s">
        <v>74</v>
      </c>
      <c r="BR650" t="s">
        <v>108</v>
      </c>
      <c r="BS650" t="s">
        <v>12946</v>
      </c>
      <c r="BT650" t="str">
        <f>HYPERLINK("https%3A%2F%2Fwww.webofscience.com%2Fwos%2Fwoscc%2Ffull-record%2FWOS:000484871600006","View Full Record in Web of Science")</f>
        <v>View Full Record in Web of Science</v>
      </c>
    </row>
    <row r="651" spans="1:72" x14ac:dyDescent="0.15">
      <c r="A651" t="s">
        <v>133</v>
      </c>
      <c r="B651" t="s">
        <v>12947</v>
      </c>
      <c r="C651" t="s">
        <v>74</v>
      </c>
      <c r="D651" t="s">
        <v>74</v>
      </c>
      <c r="E651" t="s">
        <v>74</v>
      </c>
      <c r="F651" t="s">
        <v>12948</v>
      </c>
      <c r="G651" t="s">
        <v>74</v>
      </c>
      <c r="H651" t="s">
        <v>74</v>
      </c>
      <c r="I651" t="s">
        <v>12949</v>
      </c>
      <c r="J651" t="s">
        <v>10687</v>
      </c>
      <c r="K651" t="s">
        <v>74</v>
      </c>
      <c r="L651" t="s">
        <v>74</v>
      </c>
      <c r="M651" t="s">
        <v>80</v>
      </c>
      <c r="N651" t="s">
        <v>1333</v>
      </c>
      <c r="O651" t="s">
        <v>74</v>
      </c>
      <c r="P651" t="s">
        <v>74</v>
      </c>
      <c r="Q651" t="s">
        <v>74</v>
      </c>
      <c r="R651" t="s">
        <v>74</v>
      </c>
      <c r="S651" t="s">
        <v>74</v>
      </c>
      <c r="T651" t="s">
        <v>74</v>
      </c>
      <c r="U651" t="s">
        <v>74</v>
      </c>
      <c r="V651" t="s">
        <v>74</v>
      </c>
      <c r="W651" t="s">
        <v>12950</v>
      </c>
      <c r="X651" t="s">
        <v>12951</v>
      </c>
      <c r="Y651" t="s">
        <v>12952</v>
      </c>
      <c r="Z651" t="s">
        <v>12953</v>
      </c>
      <c r="AA651" t="s">
        <v>12954</v>
      </c>
      <c r="AB651" t="s">
        <v>12955</v>
      </c>
      <c r="AC651" t="s">
        <v>74</v>
      </c>
      <c r="AD651" t="s">
        <v>74</v>
      </c>
      <c r="AE651" t="s">
        <v>74</v>
      </c>
      <c r="AF651" t="s">
        <v>74</v>
      </c>
      <c r="AG651">
        <v>14</v>
      </c>
      <c r="AH651">
        <v>5</v>
      </c>
      <c r="AI651">
        <v>5</v>
      </c>
      <c r="AJ651">
        <v>0</v>
      </c>
      <c r="AK651">
        <v>0</v>
      </c>
      <c r="AL651" t="s">
        <v>1964</v>
      </c>
      <c r="AM651" t="s">
        <v>4096</v>
      </c>
      <c r="AN651" t="s">
        <v>4097</v>
      </c>
      <c r="AO651" t="s">
        <v>10697</v>
      </c>
      <c r="AP651" t="s">
        <v>10698</v>
      </c>
      <c r="AQ651" t="s">
        <v>74</v>
      </c>
      <c r="AR651" t="s">
        <v>10699</v>
      </c>
      <c r="AS651" t="s">
        <v>10700</v>
      </c>
      <c r="AT651" t="s">
        <v>3457</v>
      </c>
      <c r="AU651">
        <v>2019</v>
      </c>
      <c r="AV651">
        <v>40</v>
      </c>
      <c r="AW651">
        <v>6</v>
      </c>
      <c r="AX651" t="s">
        <v>74</v>
      </c>
      <c r="AY651" t="s">
        <v>74</v>
      </c>
      <c r="AZ651" t="s">
        <v>555</v>
      </c>
      <c r="BA651" t="s">
        <v>74</v>
      </c>
      <c r="BB651">
        <v>1245</v>
      </c>
      <c r="BC651">
        <v>1249</v>
      </c>
      <c r="BD651" t="s">
        <v>74</v>
      </c>
      <c r="BE651" t="s">
        <v>12956</v>
      </c>
      <c r="BF651" t="str">
        <f>HYPERLINK("http://dx.doi.org/10.1007/s10712-019-09574-4","http://dx.doi.org/10.1007/s10712-019-09574-4")</f>
        <v>http://dx.doi.org/10.1007/s10712-019-09574-4</v>
      </c>
      <c r="BG651" t="s">
        <v>74</v>
      </c>
      <c r="BH651" t="s">
        <v>11767</v>
      </c>
      <c r="BI651">
        <v>5</v>
      </c>
      <c r="BJ651" t="s">
        <v>1067</v>
      </c>
      <c r="BK651" t="s">
        <v>294</v>
      </c>
      <c r="BL651" t="s">
        <v>1067</v>
      </c>
      <c r="BM651" t="s">
        <v>10702</v>
      </c>
      <c r="BN651" t="s">
        <v>74</v>
      </c>
      <c r="BO651" t="s">
        <v>588</v>
      </c>
      <c r="BP651" t="s">
        <v>74</v>
      </c>
      <c r="BQ651" t="s">
        <v>74</v>
      </c>
      <c r="BR651" t="s">
        <v>108</v>
      </c>
      <c r="BS651" t="s">
        <v>12957</v>
      </c>
      <c r="BT651" t="str">
        <f>HYPERLINK("https%3A%2F%2Fwww.webofscience.com%2Fwos%2Fwoscc%2Ffull-record%2FWOS:000489921900001","View Full Record in Web of Science")</f>
        <v>View Full Record in Web of Science</v>
      </c>
    </row>
    <row r="652" spans="1:72" x14ac:dyDescent="0.15">
      <c r="A652" t="s">
        <v>133</v>
      </c>
      <c r="B652" t="s">
        <v>12958</v>
      </c>
      <c r="C652" t="s">
        <v>74</v>
      </c>
      <c r="D652" t="s">
        <v>74</v>
      </c>
      <c r="E652" t="s">
        <v>74</v>
      </c>
      <c r="F652" t="s">
        <v>12959</v>
      </c>
      <c r="G652" t="s">
        <v>74</v>
      </c>
      <c r="H652" t="s">
        <v>74</v>
      </c>
      <c r="I652" t="s">
        <v>12960</v>
      </c>
      <c r="J652" t="s">
        <v>12961</v>
      </c>
      <c r="K652" t="s">
        <v>74</v>
      </c>
      <c r="L652" t="s">
        <v>74</v>
      </c>
      <c r="M652" t="s">
        <v>80</v>
      </c>
      <c r="N652" t="s">
        <v>138</v>
      </c>
      <c r="O652" t="s">
        <v>74</v>
      </c>
      <c r="P652" t="s">
        <v>74</v>
      </c>
      <c r="Q652" t="s">
        <v>74</v>
      </c>
      <c r="R652" t="s">
        <v>74</v>
      </c>
      <c r="S652" t="s">
        <v>74</v>
      </c>
      <c r="T652" t="s">
        <v>12962</v>
      </c>
      <c r="U652" t="s">
        <v>12963</v>
      </c>
      <c r="V652" t="s">
        <v>12964</v>
      </c>
      <c r="W652" t="s">
        <v>12965</v>
      </c>
      <c r="X652" t="s">
        <v>12966</v>
      </c>
      <c r="Y652" t="s">
        <v>12967</v>
      </c>
      <c r="Z652" t="s">
        <v>12968</v>
      </c>
      <c r="AA652" t="s">
        <v>12969</v>
      </c>
      <c r="AB652" t="s">
        <v>12970</v>
      </c>
      <c r="AC652" t="s">
        <v>12971</v>
      </c>
      <c r="AD652" t="s">
        <v>12972</v>
      </c>
      <c r="AE652" t="s">
        <v>12973</v>
      </c>
      <c r="AF652" t="s">
        <v>74</v>
      </c>
      <c r="AG652">
        <v>39</v>
      </c>
      <c r="AH652">
        <v>62</v>
      </c>
      <c r="AI652">
        <v>72</v>
      </c>
      <c r="AJ652">
        <v>28</v>
      </c>
      <c r="AK652">
        <v>172</v>
      </c>
      <c r="AL652" t="s">
        <v>379</v>
      </c>
      <c r="AM652" t="s">
        <v>380</v>
      </c>
      <c r="AN652" t="s">
        <v>381</v>
      </c>
      <c r="AO652" t="s">
        <v>12974</v>
      </c>
      <c r="AP652" t="s">
        <v>74</v>
      </c>
      <c r="AQ652" t="s">
        <v>74</v>
      </c>
      <c r="AR652" t="s">
        <v>12975</v>
      </c>
      <c r="AS652" t="s">
        <v>12976</v>
      </c>
      <c r="AT652" t="s">
        <v>12813</v>
      </c>
      <c r="AU652">
        <v>2019</v>
      </c>
      <c r="AV652">
        <v>163</v>
      </c>
      <c r="AW652" t="s">
        <v>74</v>
      </c>
      <c r="AX652" t="s">
        <v>74</v>
      </c>
      <c r="AY652" t="s">
        <v>74</v>
      </c>
      <c r="AZ652" t="s">
        <v>74</v>
      </c>
      <c r="BA652" t="s">
        <v>74</v>
      </c>
      <c r="BB652" t="s">
        <v>74</v>
      </c>
      <c r="BC652" t="s">
        <v>74</v>
      </c>
      <c r="BD652">
        <v>114901</v>
      </c>
      <c r="BE652" t="s">
        <v>12977</v>
      </c>
      <c r="BF652" t="str">
        <f>HYPERLINK("http://dx.doi.org/10.1016/j.watres.2019.114901","http://dx.doi.org/10.1016/j.watres.2019.114901")</f>
        <v>http://dx.doi.org/10.1016/j.watres.2019.114901</v>
      </c>
      <c r="BG652" t="s">
        <v>74</v>
      </c>
      <c r="BH652" t="s">
        <v>74</v>
      </c>
      <c r="BI652">
        <v>11</v>
      </c>
      <c r="BJ652" t="s">
        <v>12978</v>
      </c>
      <c r="BK652" t="s">
        <v>294</v>
      </c>
      <c r="BL652" t="s">
        <v>12979</v>
      </c>
      <c r="BM652" t="s">
        <v>12980</v>
      </c>
      <c r="BN652">
        <v>31362208</v>
      </c>
      <c r="BO652" t="s">
        <v>1482</v>
      </c>
      <c r="BP652" t="s">
        <v>74</v>
      </c>
      <c r="BQ652" t="s">
        <v>74</v>
      </c>
      <c r="BR652" t="s">
        <v>108</v>
      </c>
      <c r="BS652" t="s">
        <v>12981</v>
      </c>
      <c r="BT652" t="str">
        <f>HYPERLINK("https%3A%2F%2Fwww.webofscience.com%2Fwos%2Fwoscc%2Ffull-record%2FWOS:000483006400049","View Full Record in Web of Science")</f>
        <v>View Full Record in Web of Science</v>
      </c>
    </row>
    <row r="653" spans="1:72" x14ac:dyDescent="0.15">
      <c r="A653" t="s">
        <v>133</v>
      </c>
      <c r="B653" t="s">
        <v>12982</v>
      </c>
      <c r="C653" t="s">
        <v>74</v>
      </c>
      <c r="D653" t="s">
        <v>74</v>
      </c>
      <c r="E653" t="s">
        <v>74</v>
      </c>
      <c r="F653" t="s">
        <v>12983</v>
      </c>
      <c r="G653" t="s">
        <v>74</v>
      </c>
      <c r="H653" t="s">
        <v>74</v>
      </c>
      <c r="I653" t="s">
        <v>12984</v>
      </c>
      <c r="J653" t="s">
        <v>7909</v>
      </c>
      <c r="K653" t="s">
        <v>74</v>
      </c>
      <c r="L653" t="s">
        <v>74</v>
      </c>
      <c r="M653" t="s">
        <v>80</v>
      </c>
      <c r="N653" t="s">
        <v>138</v>
      </c>
      <c r="O653" t="s">
        <v>74</v>
      </c>
      <c r="P653" t="s">
        <v>74</v>
      </c>
      <c r="Q653" t="s">
        <v>74</v>
      </c>
      <c r="R653" t="s">
        <v>74</v>
      </c>
      <c r="S653" t="s">
        <v>74</v>
      </c>
      <c r="T653" t="s">
        <v>12985</v>
      </c>
      <c r="U653" t="s">
        <v>12986</v>
      </c>
      <c r="V653" t="s">
        <v>12987</v>
      </c>
      <c r="W653" t="s">
        <v>12988</v>
      </c>
      <c r="X653" t="s">
        <v>12989</v>
      </c>
      <c r="Y653" t="s">
        <v>12990</v>
      </c>
      <c r="Z653" t="s">
        <v>12991</v>
      </c>
      <c r="AA653" t="s">
        <v>74</v>
      </c>
      <c r="AB653" t="s">
        <v>12992</v>
      </c>
      <c r="AC653" t="s">
        <v>12993</v>
      </c>
      <c r="AD653" t="s">
        <v>12994</v>
      </c>
      <c r="AE653" t="s">
        <v>12995</v>
      </c>
      <c r="AF653" t="s">
        <v>74</v>
      </c>
      <c r="AG653">
        <v>43</v>
      </c>
      <c r="AH653">
        <v>1</v>
      </c>
      <c r="AI653">
        <v>1</v>
      </c>
      <c r="AJ653">
        <v>0</v>
      </c>
      <c r="AK653">
        <v>12</v>
      </c>
      <c r="AL653" t="s">
        <v>4680</v>
      </c>
      <c r="AM653" t="s">
        <v>1730</v>
      </c>
      <c r="AN653" t="s">
        <v>4681</v>
      </c>
      <c r="AO653" t="s">
        <v>7921</v>
      </c>
      <c r="AP653" t="s">
        <v>7922</v>
      </c>
      <c r="AQ653" t="s">
        <v>74</v>
      </c>
      <c r="AR653" t="s">
        <v>7923</v>
      </c>
      <c r="AS653" t="s">
        <v>7924</v>
      </c>
      <c r="AT653" t="s">
        <v>12813</v>
      </c>
      <c r="AU653">
        <v>2019</v>
      </c>
      <c r="AV653">
        <v>226</v>
      </c>
      <c r="AW653" t="s">
        <v>74</v>
      </c>
      <c r="AX653" t="s">
        <v>74</v>
      </c>
      <c r="AY653" t="s">
        <v>74</v>
      </c>
      <c r="AZ653" t="s">
        <v>74</v>
      </c>
      <c r="BA653" t="s">
        <v>74</v>
      </c>
      <c r="BB653" t="s">
        <v>74</v>
      </c>
      <c r="BC653" t="s">
        <v>74</v>
      </c>
      <c r="BD653">
        <v>106276</v>
      </c>
      <c r="BE653" t="s">
        <v>12996</v>
      </c>
      <c r="BF653" t="str">
        <f>HYPERLINK("http://dx.doi.org/10.1016/j.ecss.2019.106276","http://dx.doi.org/10.1016/j.ecss.2019.106276")</f>
        <v>http://dx.doi.org/10.1016/j.ecss.2019.106276</v>
      </c>
      <c r="BG653" t="s">
        <v>74</v>
      </c>
      <c r="BH653" t="s">
        <v>74</v>
      </c>
      <c r="BI653">
        <v>6</v>
      </c>
      <c r="BJ653" t="s">
        <v>1814</v>
      </c>
      <c r="BK653" t="s">
        <v>294</v>
      </c>
      <c r="BL653" t="s">
        <v>1814</v>
      </c>
      <c r="BM653" t="s">
        <v>12997</v>
      </c>
      <c r="BN653" t="s">
        <v>74</v>
      </c>
      <c r="BO653" t="s">
        <v>74</v>
      </c>
      <c r="BP653" t="s">
        <v>74</v>
      </c>
      <c r="BQ653" t="s">
        <v>74</v>
      </c>
      <c r="BR653" t="s">
        <v>108</v>
      </c>
      <c r="BS653" t="s">
        <v>12998</v>
      </c>
      <c r="BT653" t="str">
        <f>HYPERLINK("https%3A%2F%2Fwww.webofscience.com%2Fwos%2Fwoscc%2Ffull-record%2FWOS:000482495700033","View Full Record in Web of Science")</f>
        <v>View Full Record in Web of Science</v>
      </c>
    </row>
    <row r="654" spans="1:72" x14ac:dyDescent="0.15">
      <c r="A654" t="s">
        <v>133</v>
      </c>
      <c r="B654" t="s">
        <v>12999</v>
      </c>
      <c r="C654" t="s">
        <v>74</v>
      </c>
      <c r="D654" t="s">
        <v>74</v>
      </c>
      <c r="E654" t="s">
        <v>74</v>
      </c>
      <c r="F654" t="s">
        <v>13000</v>
      </c>
      <c r="G654" t="s">
        <v>74</v>
      </c>
      <c r="H654" t="s">
        <v>74</v>
      </c>
      <c r="I654" t="s">
        <v>13001</v>
      </c>
      <c r="J654" t="s">
        <v>2088</v>
      </c>
      <c r="K654" t="s">
        <v>74</v>
      </c>
      <c r="L654" t="s">
        <v>74</v>
      </c>
      <c r="M654" t="s">
        <v>80</v>
      </c>
      <c r="N654" t="s">
        <v>138</v>
      </c>
      <c r="O654" t="s">
        <v>74</v>
      </c>
      <c r="P654" t="s">
        <v>74</v>
      </c>
      <c r="Q654" t="s">
        <v>74</v>
      </c>
      <c r="R654" t="s">
        <v>74</v>
      </c>
      <c r="S654" t="s">
        <v>74</v>
      </c>
      <c r="T654" t="s">
        <v>74</v>
      </c>
      <c r="U654" t="s">
        <v>13002</v>
      </c>
      <c r="V654" t="s">
        <v>13003</v>
      </c>
      <c r="W654" t="s">
        <v>13004</v>
      </c>
      <c r="X654" t="s">
        <v>13005</v>
      </c>
      <c r="Y654" t="s">
        <v>13006</v>
      </c>
      <c r="Z654" t="s">
        <v>13007</v>
      </c>
      <c r="AA654" t="s">
        <v>13008</v>
      </c>
      <c r="AB654" t="s">
        <v>13009</v>
      </c>
      <c r="AC654" t="s">
        <v>13010</v>
      </c>
      <c r="AD654" t="s">
        <v>13011</v>
      </c>
      <c r="AE654" t="s">
        <v>13012</v>
      </c>
      <c r="AF654" t="s">
        <v>74</v>
      </c>
      <c r="AG654">
        <v>40</v>
      </c>
      <c r="AH654">
        <v>10</v>
      </c>
      <c r="AI654">
        <v>10</v>
      </c>
      <c r="AJ654">
        <v>1</v>
      </c>
      <c r="AK654">
        <v>4</v>
      </c>
      <c r="AL654" t="s">
        <v>2099</v>
      </c>
      <c r="AM654" t="s">
        <v>2100</v>
      </c>
      <c r="AN654" t="s">
        <v>2101</v>
      </c>
      <c r="AO654" t="s">
        <v>2102</v>
      </c>
      <c r="AP654" t="s">
        <v>2103</v>
      </c>
      <c r="AQ654" t="s">
        <v>74</v>
      </c>
      <c r="AR654" t="s">
        <v>2088</v>
      </c>
      <c r="AS654" t="s">
        <v>2104</v>
      </c>
      <c r="AT654" t="s">
        <v>13013</v>
      </c>
      <c r="AU654">
        <v>2019</v>
      </c>
      <c r="AV654">
        <v>13</v>
      </c>
      <c r="AW654">
        <v>10</v>
      </c>
      <c r="AX654" t="s">
        <v>74</v>
      </c>
      <c r="AY654" t="s">
        <v>74</v>
      </c>
      <c r="AZ654" t="s">
        <v>74</v>
      </c>
      <c r="BA654" t="s">
        <v>74</v>
      </c>
      <c r="BB654">
        <v>2673</v>
      </c>
      <c r="BC654">
        <v>2691</v>
      </c>
      <c r="BD654" t="s">
        <v>74</v>
      </c>
      <c r="BE654" t="s">
        <v>13014</v>
      </c>
      <c r="BF654" t="str">
        <f>HYPERLINK("http://dx.doi.org/10.5194/tc-13-2673-2019","http://dx.doi.org/10.5194/tc-13-2673-2019")</f>
        <v>http://dx.doi.org/10.5194/tc-13-2673-2019</v>
      </c>
      <c r="BG654" t="s">
        <v>74</v>
      </c>
      <c r="BH654" t="s">
        <v>74</v>
      </c>
      <c r="BI654">
        <v>19</v>
      </c>
      <c r="BJ654" t="s">
        <v>462</v>
      </c>
      <c r="BK654" t="s">
        <v>294</v>
      </c>
      <c r="BL654" t="s">
        <v>463</v>
      </c>
      <c r="BM654" t="s">
        <v>13015</v>
      </c>
      <c r="BN654" t="s">
        <v>74</v>
      </c>
      <c r="BO654" t="s">
        <v>976</v>
      </c>
      <c r="BP654" t="s">
        <v>74</v>
      </c>
      <c r="BQ654" t="s">
        <v>74</v>
      </c>
      <c r="BR654" t="s">
        <v>108</v>
      </c>
      <c r="BS654" t="s">
        <v>13016</v>
      </c>
      <c r="BT654" t="str">
        <f>HYPERLINK("https%3A%2F%2Fwww.webofscience.com%2Fwos%2Fwoscc%2Ffull-record%2FWOS:000490541000001","View Full Record in Web of Science")</f>
        <v>View Full Record in Web of Science</v>
      </c>
    </row>
    <row r="655" spans="1:72" x14ac:dyDescent="0.15">
      <c r="A655" t="s">
        <v>133</v>
      </c>
      <c r="B655" t="s">
        <v>13017</v>
      </c>
      <c r="C655" t="s">
        <v>74</v>
      </c>
      <c r="D655" t="s">
        <v>74</v>
      </c>
      <c r="E655" t="s">
        <v>74</v>
      </c>
      <c r="F655" t="s">
        <v>13018</v>
      </c>
      <c r="G655" t="s">
        <v>74</v>
      </c>
      <c r="H655" t="s">
        <v>74</v>
      </c>
      <c r="I655" t="s">
        <v>13019</v>
      </c>
      <c r="J655" t="s">
        <v>13020</v>
      </c>
      <c r="K655" t="s">
        <v>74</v>
      </c>
      <c r="L655" t="s">
        <v>74</v>
      </c>
      <c r="M655" t="s">
        <v>80</v>
      </c>
      <c r="N655" t="s">
        <v>138</v>
      </c>
      <c r="O655" t="s">
        <v>74</v>
      </c>
      <c r="P655" t="s">
        <v>74</v>
      </c>
      <c r="Q655" t="s">
        <v>74</v>
      </c>
      <c r="R655" t="s">
        <v>74</v>
      </c>
      <c r="S655" t="s">
        <v>74</v>
      </c>
      <c r="T655" t="s">
        <v>13021</v>
      </c>
      <c r="U655" t="s">
        <v>13022</v>
      </c>
      <c r="V655" t="s">
        <v>13023</v>
      </c>
      <c r="W655" t="s">
        <v>13024</v>
      </c>
      <c r="X655" t="s">
        <v>13025</v>
      </c>
      <c r="Y655" t="s">
        <v>13026</v>
      </c>
      <c r="Z655" t="s">
        <v>13027</v>
      </c>
      <c r="AA655" t="s">
        <v>13028</v>
      </c>
      <c r="AB655" t="s">
        <v>13029</v>
      </c>
      <c r="AC655" t="s">
        <v>13030</v>
      </c>
      <c r="AD655" t="s">
        <v>13031</v>
      </c>
      <c r="AE655" t="s">
        <v>13032</v>
      </c>
      <c r="AF655" t="s">
        <v>74</v>
      </c>
      <c r="AG655">
        <v>60</v>
      </c>
      <c r="AH655">
        <v>24</v>
      </c>
      <c r="AI655">
        <v>24</v>
      </c>
      <c r="AJ655">
        <v>2</v>
      </c>
      <c r="AK655">
        <v>24</v>
      </c>
      <c r="AL655" t="s">
        <v>429</v>
      </c>
      <c r="AM655" t="s">
        <v>430</v>
      </c>
      <c r="AN655" t="s">
        <v>431</v>
      </c>
      <c r="AO655" t="s">
        <v>13033</v>
      </c>
      <c r="AP655" t="s">
        <v>13034</v>
      </c>
      <c r="AQ655" t="s">
        <v>74</v>
      </c>
      <c r="AR655" t="s">
        <v>13035</v>
      </c>
      <c r="AS655" t="s">
        <v>13036</v>
      </c>
      <c r="AT655" t="s">
        <v>291</v>
      </c>
      <c r="AU655">
        <v>2020</v>
      </c>
      <c r="AV655">
        <v>13</v>
      </c>
      <c r="AW655">
        <v>1</v>
      </c>
      <c r="AX655" t="s">
        <v>74</v>
      </c>
      <c r="AY655" t="s">
        <v>74</v>
      </c>
      <c r="AZ655" t="s">
        <v>74</v>
      </c>
      <c r="BA655" t="s">
        <v>74</v>
      </c>
      <c r="BB655">
        <v>77</v>
      </c>
      <c r="BC655">
        <v>90</v>
      </c>
      <c r="BD655" t="s">
        <v>74</v>
      </c>
      <c r="BE655" t="s">
        <v>13037</v>
      </c>
      <c r="BF655" t="str">
        <f>HYPERLINK("http://dx.doi.org/10.1111/icad.12389","http://dx.doi.org/10.1111/icad.12389")</f>
        <v>http://dx.doi.org/10.1111/icad.12389</v>
      </c>
      <c r="BG655" t="s">
        <v>74</v>
      </c>
      <c r="BH655" t="s">
        <v>11767</v>
      </c>
      <c r="BI655">
        <v>14</v>
      </c>
      <c r="BJ655" t="s">
        <v>13038</v>
      </c>
      <c r="BK655" t="s">
        <v>294</v>
      </c>
      <c r="BL655" t="s">
        <v>13039</v>
      </c>
      <c r="BM655" t="s">
        <v>13040</v>
      </c>
      <c r="BN655" t="s">
        <v>74</v>
      </c>
      <c r="BO655" t="s">
        <v>10615</v>
      </c>
      <c r="BP655" t="s">
        <v>74</v>
      </c>
      <c r="BQ655" t="s">
        <v>74</v>
      </c>
      <c r="BR655" t="s">
        <v>108</v>
      </c>
      <c r="BS655" t="s">
        <v>13041</v>
      </c>
      <c r="BT655" t="str">
        <f>HYPERLINK("https%3A%2F%2Fwww.webofscience.com%2Fwos%2Fwoscc%2Ffull-record%2FWOS:000490381000001","View Full Record in Web of Science")</f>
        <v>View Full Record in Web of Science</v>
      </c>
    </row>
    <row r="656" spans="1:72" x14ac:dyDescent="0.15">
      <c r="A656" t="s">
        <v>133</v>
      </c>
      <c r="B656" t="s">
        <v>13042</v>
      </c>
      <c r="C656" t="s">
        <v>74</v>
      </c>
      <c r="D656" t="s">
        <v>74</v>
      </c>
      <c r="E656" t="s">
        <v>74</v>
      </c>
      <c r="F656" t="s">
        <v>13043</v>
      </c>
      <c r="G656" t="s">
        <v>74</v>
      </c>
      <c r="H656" t="s">
        <v>74</v>
      </c>
      <c r="I656" t="s">
        <v>13044</v>
      </c>
      <c r="J656" t="s">
        <v>3507</v>
      </c>
      <c r="K656" t="s">
        <v>74</v>
      </c>
      <c r="L656" t="s">
        <v>74</v>
      </c>
      <c r="M656" t="s">
        <v>80</v>
      </c>
      <c r="N656" t="s">
        <v>138</v>
      </c>
      <c r="O656" t="s">
        <v>74</v>
      </c>
      <c r="P656" t="s">
        <v>74</v>
      </c>
      <c r="Q656" t="s">
        <v>74</v>
      </c>
      <c r="R656" t="s">
        <v>74</v>
      </c>
      <c r="S656" t="s">
        <v>74</v>
      </c>
      <c r="T656" t="s">
        <v>13045</v>
      </c>
      <c r="U656" t="s">
        <v>13046</v>
      </c>
      <c r="V656" t="s">
        <v>13047</v>
      </c>
      <c r="W656" t="s">
        <v>13048</v>
      </c>
      <c r="X656" t="s">
        <v>13049</v>
      </c>
      <c r="Y656" t="s">
        <v>13050</v>
      </c>
      <c r="Z656" t="s">
        <v>13051</v>
      </c>
      <c r="AA656" t="s">
        <v>13052</v>
      </c>
      <c r="AB656" t="s">
        <v>13053</v>
      </c>
      <c r="AC656" t="s">
        <v>13054</v>
      </c>
      <c r="AD656" t="s">
        <v>13055</v>
      </c>
      <c r="AE656" t="s">
        <v>13056</v>
      </c>
      <c r="AF656" t="s">
        <v>74</v>
      </c>
      <c r="AG656">
        <v>77</v>
      </c>
      <c r="AH656">
        <v>3</v>
      </c>
      <c r="AI656">
        <v>4</v>
      </c>
      <c r="AJ656">
        <v>2</v>
      </c>
      <c r="AK656">
        <v>6</v>
      </c>
      <c r="AL656" t="s">
        <v>1964</v>
      </c>
      <c r="AM656" t="s">
        <v>1965</v>
      </c>
      <c r="AN656" t="s">
        <v>1966</v>
      </c>
      <c r="AO656" t="s">
        <v>3519</v>
      </c>
      <c r="AP656" t="s">
        <v>3520</v>
      </c>
      <c r="AQ656" t="s">
        <v>74</v>
      </c>
      <c r="AR656" t="s">
        <v>3521</v>
      </c>
      <c r="AS656" t="s">
        <v>3522</v>
      </c>
      <c r="AT656" t="s">
        <v>1270</v>
      </c>
      <c r="AU656">
        <v>2019</v>
      </c>
      <c r="AV656">
        <v>42</v>
      </c>
      <c r="AW656">
        <v>12</v>
      </c>
      <c r="AX656" t="s">
        <v>74</v>
      </c>
      <c r="AY656" t="s">
        <v>74</v>
      </c>
      <c r="AZ656" t="s">
        <v>74</v>
      </c>
      <c r="BA656" t="s">
        <v>74</v>
      </c>
      <c r="BB656">
        <v>2205</v>
      </c>
      <c r="BC656">
        <v>2217</v>
      </c>
      <c r="BD656" t="s">
        <v>74</v>
      </c>
      <c r="BE656" t="s">
        <v>13057</v>
      </c>
      <c r="BF656" t="str">
        <f>HYPERLINK("http://dx.doi.org/10.1007/s00300-019-02592-3","http://dx.doi.org/10.1007/s00300-019-02592-3")</f>
        <v>http://dx.doi.org/10.1007/s00300-019-02592-3</v>
      </c>
      <c r="BG656" t="s">
        <v>74</v>
      </c>
      <c r="BH656" t="s">
        <v>11767</v>
      </c>
      <c r="BI656">
        <v>13</v>
      </c>
      <c r="BJ656" t="s">
        <v>3524</v>
      </c>
      <c r="BK656" t="s">
        <v>294</v>
      </c>
      <c r="BL656" t="s">
        <v>295</v>
      </c>
      <c r="BM656" t="s">
        <v>5497</v>
      </c>
      <c r="BN656" t="s">
        <v>74</v>
      </c>
      <c r="BO656" t="s">
        <v>2403</v>
      </c>
      <c r="BP656" t="s">
        <v>74</v>
      </c>
      <c r="BQ656" t="s">
        <v>74</v>
      </c>
      <c r="BR656" t="s">
        <v>108</v>
      </c>
      <c r="BS656" t="s">
        <v>13058</v>
      </c>
      <c r="BT656" t="str">
        <f>HYPERLINK("https%3A%2F%2Fwww.webofscience.com%2Fwos%2Fwoscc%2Ffull-record%2FWOS:000492230800001","View Full Record in Web of Science")</f>
        <v>View Full Record in Web of Science</v>
      </c>
    </row>
    <row r="657" spans="1:72" x14ac:dyDescent="0.15">
      <c r="A657" t="s">
        <v>133</v>
      </c>
      <c r="B657" t="s">
        <v>13059</v>
      </c>
      <c r="C657" t="s">
        <v>74</v>
      </c>
      <c r="D657" t="s">
        <v>74</v>
      </c>
      <c r="E657" t="s">
        <v>74</v>
      </c>
      <c r="F657" t="s">
        <v>13060</v>
      </c>
      <c r="G657" t="s">
        <v>74</v>
      </c>
      <c r="H657" t="s">
        <v>74</v>
      </c>
      <c r="I657" t="s">
        <v>13061</v>
      </c>
      <c r="J657" t="s">
        <v>1666</v>
      </c>
      <c r="K657" t="s">
        <v>74</v>
      </c>
      <c r="L657" t="s">
        <v>74</v>
      </c>
      <c r="M657" t="s">
        <v>80</v>
      </c>
      <c r="N657" t="s">
        <v>138</v>
      </c>
      <c r="O657" t="s">
        <v>74</v>
      </c>
      <c r="P657" t="s">
        <v>74</v>
      </c>
      <c r="Q657" t="s">
        <v>74</v>
      </c>
      <c r="R657" t="s">
        <v>74</v>
      </c>
      <c r="S657" t="s">
        <v>74</v>
      </c>
      <c r="T657" t="s">
        <v>13062</v>
      </c>
      <c r="U657" t="s">
        <v>13063</v>
      </c>
      <c r="V657" t="s">
        <v>13064</v>
      </c>
      <c r="W657" t="s">
        <v>13065</v>
      </c>
      <c r="X657" t="s">
        <v>13066</v>
      </c>
      <c r="Y657" t="s">
        <v>13067</v>
      </c>
      <c r="Z657" t="s">
        <v>13068</v>
      </c>
      <c r="AA657" t="s">
        <v>13069</v>
      </c>
      <c r="AB657" t="s">
        <v>13070</v>
      </c>
      <c r="AC657" t="s">
        <v>13071</v>
      </c>
      <c r="AD657" t="s">
        <v>13072</v>
      </c>
      <c r="AE657" t="s">
        <v>13073</v>
      </c>
      <c r="AF657" t="s">
        <v>74</v>
      </c>
      <c r="AG657">
        <v>48</v>
      </c>
      <c r="AH657">
        <v>6</v>
      </c>
      <c r="AI657">
        <v>6</v>
      </c>
      <c r="AJ657">
        <v>2</v>
      </c>
      <c r="AK657">
        <v>8</v>
      </c>
      <c r="AL657" t="s">
        <v>578</v>
      </c>
      <c r="AM657" t="s">
        <v>380</v>
      </c>
      <c r="AN657" t="s">
        <v>579</v>
      </c>
      <c r="AO657" t="s">
        <v>1679</v>
      </c>
      <c r="AP657" t="s">
        <v>74</v>
      </c>
      <c r="AQ657" t="s">
        <v>74</v>
      </c>
      <c r="AR657" t="s">
        <v>1680</v>
      </c>
      <c r="AS657" t="s">
        <v>1681</v>
      </c>
      <c r="AT657" t="s">
        <v>13074</v>
      </c>
      <c r="AU657">
        <v>2019</v>
      </c>
      <c r="AV657">
        <v>7</v>
      </c>
      <c r="AW657" t="s">
        <v>74</v>
      </c>
      <c r="AX657" t="s">
        <v>74</v>
      </c>
      <c r="AY657" t="s">
        <v>74</v>
      </c>
      <c r="AZ657" t="s">
        <v>74</v>
      </c>
      <c r="BA657" t="s">
        <v>74</v>
      </c>
      <c r="BB657" t="s">
        <v>74</v>
      </c>
      <c r="BC657" t="s">
        <v>74</v>
      </c>
      <c r="BD657" t="s">
        <v>13075</v>
      </c>
      <c r="BE657" t="s">
        <v>13076</v>
      </c>
      <c r="BF657" t="str">
        <f>HYPERLINK("http://dx.doi.org/10.1093/conphys/coz049","http://dx.doi.org/10.1093/conphys/coz049")</f>
        <v>http://dx.doi.org/10.1093/conphys/coz049</v>
      </c>
      <c r="BG657" t="s">
        <v>74</v>
      </c>
      <c r="BH657" t="s">
        <v>74</v>
      </c>
      <c r="BI657">
        <v>12</v>
      </c>
      <c r="BJ657" t="s">
        <v>1685</v>
      </c>
      <c r="BK657" t="s">
        <v>294</v>
      </c>
      <c r="BL657" t="s">
        <v>1686</v>
      </c>
      <c r="BM657" t="s">
        <v>13077</v>
      </c>
      <c r="BN657">
        <v>31620287</v>
      </c>
      <c r="BO657" t="s">
        <v>693</v>
      </c>
      <c r="BP657" t="s">
        <v>74</v>
      </c>
      <c r="BQ657" t="s">
        <v>74</v>
      </c>
      <c r="BR657" t="s">
        <v>108</v>
      </c>
      <c r="BS657" t="s">
        <v>13078</v>
      </c>
      <c r="BT657" t="str">
        <f>HYPERLINK("https%3A%2F%2Fwww.webofscience.com%2Fwos%2Fwoscc%2Ffull-record%2FWOS:000522809300001","View Full Record in Web of Science")</f>
        <v>View Full Record in Web of Science</v>
      </c>
    </row>
    <row r="658" spans="1:72" x14ac:dyDescent="0.15">
      <c r="A658" t="s">
        <v>133</v>
      </c>
      <c r="B658" t="s">
        <v>13079</v>
      </c>
      <c r="C658" t="s">
        <v>74</v>
      </c>
      <c r="D658" t="s">
        <v>74</v>
      </c>
      <c r="E658" t="s">
        <v>74</v>
      </c>
      <c r="F658" t="s">
        <v>13080</v>
      </c>
      <c r="G658" t="s">
        <v>74</v>
      </c>
      <c r="H658" t="s">
        <v>74</v>
      </c>
      <c r="I658" t="s">
        <v>13081</v>
      </c>
      <c r="J658" t="s">
        <v>13082</v>
      </c>
      <c r="K658" t="s">
        <v>74</v>
      </c>
      <c r="L658" t="s">
        <v>74</v>
      </c>
      <c r="M658" t="s">
        <v>80</v>
      </c>
      <c r="N658" t="s">
        <v>138</v>
      </c>
      <c r="O658" t="s">
        <v>74</v>
      </c>
      <c r="P658" t="s">
        <v>74</v>
      </c>
      <c r="Q658" t="s">
        <v>74</v>
      </c>
      <c r="R658" t="s">
        <v>74</v>
      </c>
      <c r="S658" t="s">
        <v>74</v>
      </c>
      <c r="T658" t="s">
        <v>13083</v>
      </c>
      <c r="U658" t="s">
        <v>13084</v>
      </c>
      <c r="V658" t="s">
        <v>13085</v>
      </c>
      <c r="W658" t="s">
        <v>13086</v>
      </c>
      <c r="X658" t="s">
        <v>13087</v>
      </c>
      <c r="Y658" t="s">
        <v>13088</v>
      </c>
      <c r="Z658" t="s">
        <v>13089</v>
      </c>
      <c r="AA658" t="s">
        <v>74</v>
      </c>
      <c r="AB658" t="s">
        <v>13090</v>
      </c>
      <c r="AC658" t="s">
        <v>13091</v>
      </c>
      <c r="AD658" t="s">
        <v>13092</v>
      </c>
      <c r="AE658" t="s">
        <v>13093</v>
      </c>
      <c r="AF658" t="s">
        <v>74</v>
      </c>
      <c r="AG658">
        <v>194</v>
      </c>
      <c r="AH658">
        <v>88</v>
      </c>
      <c r="AI658">
        <v>91</v>
      </c>
      <c r="AJ658">
        <v>11</v>
      </c>
      <c r="AK658">
        <v>17</v>
      </c>
      <c r="AL658" t="s">
        <v>2587</v>
      </c>
      <c r="AM658" t="s">
        <v>2588</v>
      </c>
      <c r="AN658" t="s">
        <v>2589</v>
      </c>
      <c r="AO658" t="s">
        <v>74</v>
      </c>
      <c r="AP658" t="s">
        <v>13094</v>
      </c>
      <c r="AQ658" t="s">
        <v>74</v>
      </c>
      <c r="AR658" t="s">
        <v>13095</v>
      </c>
      <c r="AS658" t="s">
        <v>13096</v>
      </c>
      <c r="AT658" t="s">
        <v>13074</v>
      </c>
      <c r="AU658">
        <v>2019</v>
      </c>
      <c r="AV658">
        <v>1</v>
      </c>
      <c r="AW658" t="s">
        <v>74</v>
      </c>
      <c r="AX658" t="s">
        <v>74</v>
      </c>
      <c r="AY658" t="s">
        <v>74</v>
      </c>
      <c r="AZ658" t="s">
        <v>74</v>
      </c>
      <c r="BA658" t="s">
        <v>74</v>
      </c>
      <c r="BB658" t="s">
        <v>74</v>
      </c>
      <c r="BC658" t="s">
        <v>74</v>
      </c>
      <c r="BD658">
        <v>7</v>
      </c>
      <c r="BE658" t="s">
        <v>13097</v>
      </c>
      <c r="BF658" t="str">
        <f>HYPERLINK("http://dx.doi.org/10.3389/fclim.2019.00007","http://dx.doi.org/10.3389/fclim.2019.00007")</f>
        <v>http://dx.doi.org/10.3389/fclim.2019.00007</v>
      </c>
      <c r="BG658" t="s">
        <v>74</v>
      </c>
      <c r="BH658" t="s">
        <v>74</v>
      </c>
      <c r="BI658">
        <v>21</v>
      </c>
      <c r="BJ658" t="s">
        <v>13098</v>
      </c>
      <c r="BK658" t="s">
        <v>160</v>
      </c>
      <c r="BL658" t="s">
        <v>388</v>
      </c>
      <c r="BM658" t="s">
        <v>13099</v>
      </c>
      <c r="BN658" t="s">
        <v>74</v>
      </c>
      <c r="BO658" t="s">
        <v>1354</v>
      </c>
      <c r="BP658" t="s">
        <v>74</v>
      </c>
      <c r="BQ658" t="s">
        <v>74</v>
      </c>
      <c r="BR658" t="s">
        <v>108</v>
      </c>
      <c r="BS658" t="s">
        <v>13100</v>
      </c>
      <c r="BT658" t="str">
        <f>HYPERLINK("https%3A%2F%2Fwww.webofscience.com%2Fwos%2Fwoscc%2Ffull-record%2FWOS:001024571100001","View Full Record in Web of Science")</f>
        <v>View Full Record in Web of Science</v>
      </c>
    </row>
    <row r="659" spans="1:72" x14ac:dyDescent="0.15">
      <c r="A659" t="s">
        <v>133</v>
      </c>
      <c r="B659" t="s">
        <v>13101</v>
      </c>
      <c r="C659" t="s">
        <v>74</v>
      </c>
      <c r="D659" t="s">
        <v>74</v>
      </c>
      <c r="E659" t="s">
        <v>74</v>
      </c>
      <c r="F659" t="s">
        <v>13102</v>
      </c>
      <c r="G659" t="s">
        <v>74</v>
      </c>
      <c r="H659" t="s">
        <v>74</v>
      </c>
      <c r="I659" t="s">
        <v>13103</v>
      </c>
      <c r="J659" t="s">
        <v>6994</v>
      </c>
      <c r="K659" t="s">
        <v>74</v>
      </c>
      <c r="L659" t="s">
        <v>74</v>
      </c>
      <c r="M659" t="s">
        <v>80</v>
      </c>
      <c r="N659" t="s">
        <v>138</v>
      </c>
      <c r="O659" t="s">
        <v>74</v>
      </c>
      <c r="P659" t="s">
        <v>74</v>
      </c>
      <c r="Q659" t="s">
        <v>74</v>
      </c>
      <c r="R659" t="s">
        <v>74</v>
      </c>
      <c r="S659" t="s">
        <v>74</v>
      </c>
      <c r="T659" t="s">
        <v>13104</v>
      </c>
      <c r="U659" t="s">
        <v>13105</v>
      </c>
      <c r="V659" t="s">
        <v>13106</v>
      </c>
      <c r="W659" t="s">
        <v>13107</v>
      </c>
      <c r="X659" t="s">
        <v>13108</v>
      </c>
      <c r="Y659" t="s">
        <v>13109</v>
      </c>
      <c r="Z659" t="s">
        <v>13110</v>
      </c>
      <c r="AA659" t="s">
        <v>13111</v>
      </c>
      <c r="AB659" t="s">
        <v>13112</v>
      </c>
      <c r="AC659" t="s">
        <v>13113</v>
      </c>
      <c r="AD659" t="s">
        <v>13114</v>
      </c>
      <c r="AE659" t="s">
        <v>13115</v>
      </c>
      <c r="AF659" t="s">
        <v>74</v>
      </c>
      <c r="AG659">
        <v>100</v>
      </c>
      <c r="AH659">
        <v>39</v>
      </c>
      <c r="AI659">
        <v>39</v>
      </c>
      <c r="AJ659">
        <v>3</v>
      </c>
      <c r="AK659">
        <v>73</v>
      </c>
      <c r="AL659" t="s">
        <v>2587</v>
      </c>
      <c r="AM659" t="s">
        <v>2588</v>
      </c>
      <c r="AN659" t="s">
        <v>2589</v>
      </c>
      <c r="AO659" t="s">
        <v>74</v>
      </c>
      <c r="AP659" t="s">
        <v>7007</v>
      </c>
      <c r="AQ659" t="s">
        <v>74</v>
      </c>
      <c r="AR659" t="s">
        <v>7008</v>
      </c>
      <c r="AS659" t="s">
        <v>7009</v>
      </c>
      <c r="AT659" t="s">
        <v>13074</v>
      </c>
      <c r="AU659">
        <v>2019</v>
      </c>
      <c r="AV659">
        <v>10</v>
      </c>
      <c r="AW659" t="s">
        <v>74</v>
      </c>
      <c r="AX659" t="s">
        <v>74</v>
      </c>
      <c r="AY659" t="s">
        <v>74</v>
      </c>
      <c r="AZ659" t="s">
        <v>74</v>
      </c>
      <c r="BA659" t="s">
        <v>74</v>
      </c>
      <c r="BB659" t="s">
        <v>74</v>
      </c>
      <c r="BC659" t="s">
        <v>74</v>
      </c>
      <c r="BD659">
        <v>2348</v>
      </c>
      <c r="BE659" t="s">
        <v>13116</v>
      </c>
      <c r="BF659" t="str">
        <f>HYPERLINK("http://dx.doi.org/10.3389/fmicb.2019.02348","http://dx.doi.org/10.3389/fmicb.2019.02348")</f>
        <v>http://dx.doi.org/10.3389/fmicb.2019.02348</v>
      </c>
      <c r="BG659" t="s">
        <v>74</v>
      </c>
      <c r="BH659" t="s">
        <v>74</v>
      </c>
      <c r="BI659">
        <v>16</v>
      </c>
      <c r="BJ659" t="s">
        <v>1713</v>
      </c>
      <c r="BK659" t="s">
        <v>294</v>
      </c>
      <c r="BL659" t="s">
        <v>1713</v>
      </c>
      <c r="BM659" t="s">
        <v>13117</v>
      </c>
      <c r="BN659">
        <v>31681213</v>
      </c>
      <c r="BO659" t="s">
        <v>693</v>
      </c>
      <c r="BP659" t="s">
        <v>74</v>
      </c>
      <c r="BQ659" t="s">
        <v>74</v>
      </c>
      <c r="BR659" t="s">
        <v>108</v>
      </c>
      <c r="BS659" t="s">
        <v>13118</v>
      </c>
      <c r="BT659" t="str">
        <f>HYPERLINK("https%3A%2F%2Fwww.webofscience.com%2Fwos%2Fwoscc%2Ffull-record%2FWOS:000491962000001","View Full Record in Web of Science")</f>
        <v>View Full Record in Web of Science</v>
      </c>
    </row>
    <row r="660" spans="1:72" x14ac:dyDescent="0.15">
      <c r="A660" t="s">
        <v>133</v>
      </c>
      <c r="B660" t="s">
        <v>13119</v>
      </c>
      <c r="C660" t="s">
        <v>74</v>
      </c>
      <c r="D660" t="s">
        <v>74</v>
      </c>
      <c r="E660" t="s">
        <v>74</v>
      </c>
      <c r="F660" t="s">
        <v>13120</v>
      </c>
      <c r="G660" t="s">
        <v>74</v>
      </c>
      <c r="H660" t="s">
        <v>74</v>
      </c>
      <c r="I660" t="s">
        <v>13121</v>
      </c>
      <c r="J660" t="s">
        <v>2685</v>
      </c>
      <c r="K660" t="s">
        <v>74</v>
      </c>
      <c r="L660" t="s">
        <v>74</v>
      </c>
      <c r="M660" t="s">
        <v>80</v>
      </c>
      <c r="N660" t="s">
        <v>138</v>
      </c>
      <c r="O660" t="s">
        <v>74</v>
      </c>
      <c r="P660" t="s">
        <v>74</v>
      </c>
      <c r="Q660" t="s">
        <v>74</v>
      </c>
      <c r="R660" t="s">
        <v>74</v>
      </c>
      <c r="S660" t="s">
        <v>74</v>
      </c>
      <c r="T660" t="s">
        <v>13122</v>
      </c>
      <c r="U660" t="s">
        <v>13123</v>
      </c>
      <c r="V660" t="s">
        <v>13124</v>
      </c>
      <c r="W660" t="s">
        <v>13125</v>
      </c>
      <c r="X660" t="s">
        <v>13126</v>
      </c>
      <c r="Y660" t="s">
        <v>13127</v>
      </c>
      <c r="Z660" t="s">
        <v>13128</v>
      </c>
      <c r="AA660" t="s">
        <v>13129</v>
      </c>
      <c r="AB660" t="s">
        <v>13130</v>
      </c>
      <c r="AC660" t="s">
        <v>74</v>
      </c>
      <c r="AD660" t="s">
        <v>74</v>
      </c>
      <c r="AE660" t="s">
        <v>74</v>
      </c>
      <c r="AF660" t="s">
        <v>74</v>
      </c>
      <c r="AG660">
        <v>66</v>
      </c>
      <c r="AH660">
        <v>13</v>
      </c>
      <c r="AI660">
        <v>14</v>
      </c>
      <c r="AJ660">
        <v>0</v>
      </c>
      <c r="AK660">
        <v>8</v>
      </c>
      <c r="AL660" t="s">
        <v>314</v>
      </c>
      <c r="AM660" t="s">
        <v>315</v>
      </c>
      <c r="AN660" t="s">
        <v>316</v>
      </c>
      <c r="AO660" t="s">
        <v>2695</v>
      </c>
      <c r="AP660" t="s">
        <v>2696</v>
      </c>
      <c r="AQ660" t="s">
        <v>74</v>
      </c>
      <c r="AR660" t="s">
        <v>2697</v>
      </c>
      <c r="AS660" t="s">
        <v>2698</v>
      </c>
      <c r="AT660" t="s">
        <v>13131</v>
      </c>
      <c r="AU660">
        <v>2019</v>
      </c>
      <c r="AV660">
        <v>628</v>
      </c>
      <c r="AW660" t="s">
        <v>74</v>
      </c>
      <c r="AX660" t="s">
        <v>74</v>
      </c>
      <c r="AY660" t="s">
        <v>74</v>
      </c>
      <c r="AZ660" t="s">
        <v>74</v>
      </c>
      <c r="BA660" t="s">
        <v>74</v>
      </c>
      <c r="BB660">
        <v>37</v>
      </c>
      <c r="BC660">
        <v>54</v>
      </c>
      <c r="BD660" t="s">
        <v>74</v>
      </c>
      <c r="BE660" t="s">
        <v>13132</v>
      </c>
      <c r="BF660" t="str">
        <f>HYPERLINK("http://dx.doi.org/10.3354/meps13093","http://dx.doi.org/10.3354/meps13093")</f>
        <v>http://dx.doi.org/10.3354/meps13093</v>
      </c>
      <c r="BG660" t="s">
        <v>74</v>
      </c>
      <c r="BH660" t="s">
        <v>74</v>
      </c>
      <c r="BI660">
        <v>18</v>
      </c>
      <c r="BJ660" t="s">
        <v>2701</v>
      </c>
      <c r="BK660" t="s">
        <v>294</v>
      </c>
      <c r="BL660" t="s">
        <v>2702</v>
      </c>
      <c r="BM660" t="s">
        <v>13133</v>
      </c>
      <c r="BN660" t="s">
        <v>74</v>
      </c>
      <c r="BO660" t="s">
        <v>4828</v>
      </c>
      <c r="BP660" t="s">
        <v>74</v>
      </c>
      <c r="BQ660" t="s">
        <v>74</v>
      </c>
      <c r="BR660" t="s">
        <v>108</v>
      </c>
      <c r="BS660" t="s">
        <v>13134</v>
      </c>
      <c r="BT660" t="str">
        <f>HYPERLINK("https%3A%2F%2Fwww.webofscience.com%2Fwos%2Fwoscc%2Ffull-record%2FWOS:000521167200003","View Full Record in Web of Science")</f>
        <v>View Full Record in Web of Science</v>
      </c>
    </row>
    <row r="661" spans="1:72" x14ac:dyDescent="0.15">
      <c r="A661" t="s">
        <v>133</v>
      </c>
      <c r="B661" t="s">
        <v>13135</v>
      </c>
      <c r="C661" t="s">
        <v>74</v>
      </c>
      <c r="D661" t="s">
        <v>74</v>
      </c>
      <c r="E661" t="s">
        <v>74</v>
      </c>
      <c r="F661" t="s">
        <v>13136</v>
      </c>
      <c r="G661" t="s">
        <v>74</v>
      </c>
      <c r="H661" t="s">
        <v>74</v>
      </c>
      <c r="I661" t="s">
        <v>13137</v>
      </c>
      <c r="J661" t="s">
        <v>2685</v>
      </c>
      <c r="K661" t="s">
        <v>74</v>
      </c>
      <c r="L661" t="s">
        <v>74</v>
      </c>
      <c r="M661" t="s">
        <v>80</v>
      </c>
      <c r="N661" t="s">
        <v>138</v>
      </c>
      <c r="O661" t="s">
        <v>74</v>
      </c>
      <c r="P661" t="s">
        <v>74</v>
      </c>
      <c r="Q661" t="s">
        <v>74</v>
      </c>
      <c r="R661" t="s">
        <v>74</v>
      </c>
      <c r="S661" t="s">
        <v>74</v>
      </c>
      <c r="T661" t="s">
        <v>13138</v>
      </c>
      <c r="U661" t="s">
        <v>13139</v>
      </c>
      <c r="V661" t="s">
        <v>13140</v>
      </c>
      <c r="W661" t="s">
        <v>13141</v>
      </c>
      <c r="X661" t="s">
        <v>13142</v>
      </c>
      <c r="Y661" t="s">
        <v>13143</v>
      </c>
      <c r="Z661" t="s">
        <v>13144</v>
      </c>
      <c r="AA661" t="s">
        <v>13145</v>
      </c>
      <c r="AB661" t="s">
        <v>13146</v>
      </c>
      <c r="AC661" t="s">
        <v>13147</v>
      </c>
      <c r="AD661" t="s">
        <v>13148</v>
      </c>
      <c r="AE661" t="s">
        <v>13149</v>
      </c>
      <c r="AF661" t="s">
        <v>74</v>
      </c>
      <c r="AG661">
        <v>108</v>
      </c>
      <c r="AH661">
        <v>2</v>
      </c>
      <c r="AI661">
        <v>3</v>
      </c>
      <c r="AJ661">
        <v>5</v>
      </c>
      <c r="AK661">
        <v>34</v>
      </c>
      <c r="AL661" t="s">
        <v>314</v>
      </c>
      <c r="AM661" t="s">
        <v>315</v>
      </c>
      <c r="AN661" t="s">
        <v>316</v>
      </c>
      <c r="AO661" t="s">
        <v>2695</v>
      </c>
      <c r="AP661" t="s">
        <v>2696</v>
      </c>
      <c r="AQ661" t="s">
        <v>74</v>
      </c>
      <c r="AR661" t="s">
        <v>2697</v>
      </c>
      <c r="AS661" t="s">
        <v>2698</v>
      </c>
      <c r="AT661" t="s">
        <v>13131</v>
      </c>
      <c r="AU661">
        <v>2019</v>
      </c>
      <c r="AV661">
        <v>628</v>
      </c>
      <c r="AW661" t="s">
        <v>74</v>
      </c>
      <c r="AX661" t="s">
        <v>74</v>
      </c>
      <c r="AY661" t="s">
        <v>74</v>
      </c>
      <c r="AZ661" t="s">
        <v>74</v>
      </c>
      <c r="BA661" t="s">
        <v>74</v>
      </c>
      <c r="BB661">
        <v>73</v>
      </c>
      <c r="BC661">
        <v>93</v>
      </c>
      <c r="BD661" t="s">
        <v>74</v>
      </c>
      <c r="BE661" t="s">
        <v>13150</v>
      </c>
      <c r="BF661" t="str">
        <f>HYPERLINK("http://dx.doi.org/10.3354/meps13085","http://dx.doi.org/10.3354/meps13085")</f>
        <v>http://dx.doi.org/10.3354/meps13085</v>
      </c>
      <c r="BG661" t="s">
        <v>74</v>
      </c>
      <c r="BH661" t="s">
        <v>74</v>
      </c>
      <c r="BI661">
        <v>21</v>
      </c>
      <c r="BJ661" t="s">
        <v>2701</v>
      </c>
      <c r="BK661" t="s">
        <v>294</v>
      </c>
      <c r="BL661" t="s">
        <v>2702</v>
      </c>
      <c r="BM661" t="s">
        <v>13133</v>
      </c>
      <c r="BN661" t="s">
        <v>74</v>
      </c>
      <c r="BO661" t="s">
        <v>74</v>
      </c>
      <c r="BP661" t="s">
        <v>74</v>
      </c>
      <c r="BQ661" t="s">
        <v>74</v>
      </c>
      <c r="BR661" t="s">
        <v>108</v>
      </c>
      <c r="BS661" t="s">
        <v>13151</v>
      </c>
      <c r="BT661" t="str">
        <f>HYPERLINK("https%3A%2F%2Fwww.webofscience.com%2Fwos%2Fwoscc%2Ffull-record%2FWOS:000521167200005","View Full Record in Web of Science")</f>
        <v>View Full Record in Web of Science</v>
      </c>
    </row>
    <row r="662" spans="1:72" x14ac:dyDescent="0.15">
      <c r="A662" t="s">
        <v>133</v>
      </c>
      <c r="B662" t="s">
        <v>13152</v>
      </c>
      <c r="C662" t="s">
        <v>74</v>
      </c>
      <c r="D662" t="s">
        <v>74</v>
      </c>
      <c r="E662" t="s">
        <v>74</v>
      </c>
      <c r="F662" t="s">
        <v>13153</v>
      </c>
      <c r="G662" t="s">
        <v>74</v>
      </c>
      <c r="H662" t="s">
        <v>74</v>
      </c>
      <c r="I662" t="s">
        <v>13154</v>
      </c>
      <c r="J662" t="s">
        <v>2685</v>
      </c>
      <c r="K662" t="s">
        <v>74</v>
      </c>
      <c r="L662" t="s">
        <v>74</v>
      </c>
      <c r="M662" t="s">
        <v>80</v>
      </c>
      <c r="N662" t="s">
        <v>138</v>
      </c>
      <c r="O662" t="s">
        <v>74</v>
      </c>
      <c r="P662" t="s">
        <v>74</v>
      </c>
      <c r="Q662" t="s">
        <v>74</v>
      </c>
      <c r="R662" t="s">
        <v>74</v>
      </c>
      <c r="S662" t="s">
        <v>74</v>
      </c>
      <c r="T662" t="s">
        <v>13155</v>
      </c>
      <c r="U662" t="s">
        <v>13156</v>
      </c>
      <c r="V662" t="s">
        <v>13157</v>
      </c>
      <c r="W662" t="s">
        <v>13158</v>
      </c>
      <c r="X662" t="s">
        <v>13159</v>
      </c>
      <c r="Y662" t="s">
        <v>13160</v>
      </c>
      <c r="Z662" t="s">
        <v>13161</v>
      </c>
      <c r="AA662" t="s">
        <v>13162</v>
      </c>
      <c r="AB662" t="s">
        <v>13163</v>
      </c>
      <c r="AC662" t="s">
        <v>13164</v>
      </c>
      <c r="AD662" t="s">
        <v>13165</v>
      </c>
      <c r="AE662" t="s">
        <v>13166</v>
      </c>
      <c r="AF662" t="s">
        <v>74</v>
      </c>
      <c r="AG662">
        <v>97</v>
      </c>
      <c r="AH662">
        <v>4</v>
      </c>
      <c r="AI662">
        <v>4</v>
      </c>
      <c r="AJ662">
        <v>0</v>
      </c>
      <c r="AK662">
        <v>9</v>
      </c>
      <c r="AL662" t="s">
        <v>314</v>
      </c>
      <c r="AM662" t="s">
        <v>315</v>
      </c>
      <c r="AN662" t="s">
        <v>316</v>
      </c>
      <c r="AO662" t="s">
        <v>2695</v>
      </c>
      <c r="AP662" t="s">
        <v>2696</v>
      </c>
      <c r="AQ662" t="s">
        <v>74</v>
      </c>
      <c r="AR662" t="s">
        <v>2697</v>
      </c>
      <c r="AS662" t="s">
        <v>2698</v>
      </c>
      <c r="AT662" t="s">
        <v>13131</v>
      </c>
      <c r="AU662">
        <v>2019</v>
      </c>
      <c r="AV662">
        <v>628</v>
      </c>
      <c r="AW662" t="s">
        <v>74</v>
      </c>
      <c r="AX662" t="s">
        <v>74</v>
      </c>
      <c r="AY662" t="s">
        <v>74</v>
      </c>
      <c r="AZ662" t="s">
        <v>74</v>
      </c>
      <c r="BA662" t="s">
        <v>74</v>
      </c>
      <c r="BB662">
        <v>105</v>
      </c>
      <c r="BC662">
        <v>123</v>
      </c>
      <c r="BD662" t="s">
        <v>74</v>
      </c>
      <c r="BE662" t="s">
        <v>13167</v>
      </c>
      <c r="BF662" t="str">
        <f>HYPERLINK("http://dx.doi.org/10.3354/meps13076","http://dx.doi.org/10.3354/meps13076")</f>
        <v>http://dx.doi.org/10.3354/meps13076</v>
      </c>
      <c r="BG662" t="s">
        <v>74</v>
      </c>
      <c r="BH662" t="s">
        <v>74</v>
      </c>
      <c r="BI662">
        <v>19</v>
      </c>
      <c r="BJ662" t="s">
        <v>2701</v>
      </c>
      <c r="BK662" t="s">
        <v>294</v>
      </c>
      <c r="BL662" t="s">
        <v>2702</v>
      </c>
      <c r="BM662" t="s">
        <v>13133</v>
      </c>
      <c r="BN662" t="s">
        <v>74</v>
      </c>
      <c r="BO662" t="s">
        <v>74</v>
      </c>
      <c r="BP662" t="s">
        <v>74</v>
      </c>
      <c r="BQ662" t="s">
        <v>74</v>
      </c>
      <c r="BR662" t="s">
        <v>108</v>
      </c>
      <c r="BS662" t="s">
        <v>13168</v>
      </c>
      <c r="BT662" t="str">
        <f>HYPERLINK("https%3A%2F%2Fwww.webofscience.com%2Fwos%2Fwoscc%2Ffull-record%2FWOS:000521167200007","View Full Record in Web of Science")</f>
        <v>View Full Record in Web of Science</v>
      </c>
    </row>
    <row r="663" spans="1:72" x14ac:dyDescent="0.15">
      <c r="A663" t="s">
        <v>133</v>
      </c>
      <c r="B663" t="s">
        <v>13169</v>
      </c>
      <c r="C663" t="s">
        <v>74</v>
      </c>
      <c r="D663" t="s">
        <v>74</v>
      </c>
      <c r="E663" t="s">
        <v>74</v>
      </c>
      <c r="F663" t="s">
        <v>13170</v>
      </c>
      <c r="G663" t="s">
        <v>74</v>
      </c>
      <c r="H663" t="s">
        <v>74</v>
      </c>
      <c r="I663" t="s">
        <v>13171</v>
      </c>
      <c r="J663" t="s">
        <v>2685</v>
      </c>
      <c r="K663" t="s">
        <v>74</v>
      </c>
      <c r="L663" t="s">
        <v>74</v>
      </c>
      <c r="M663" t="s">
        <v>80</v>
      </c>
      <c r="N663" t="s">
        <v>138</v>
      </c>
      <c r="O663" t="s">
        <v>74</v>
      </c>
      <c r="P663" t="s">
        <v>74</v>
      </c>
      <c r="Q663" t="s">
        <v>74</v>
      </c>
      <c r="R663" t="s">
        <v>74</v>
      </c>
      <c r="S663" t="s">
        <v>74</v>
      </c>
      <c r="T663" t="s">
        <v>13172</v>
      </c>
      <c r="U663" t="s">
        <v>13173</v>
      </c>
      <c r="V663" t="s">
        <v>13174</v>
      </c>
      <c r="W663" t="s">
        <v>13175</v>
      </c>
      <c r="X663" t="s">
        <v>13176</v>
      </c>
      <c r="Y663" t="s">
        <v>13177</v>
      </c>
      <c r="Z663" t="s">
        <v>13178</v>
      </c>
      <c r="AA663" t="s">
        <v>13179</v>
      </c>
      <c r="AB663" t="s">
        <v>13180</v>
      </c>
      <c r="AC663" t="s">
        <v>13181</v>
      </c>
      <c r="AD663" t="s">
        <v>13182</v>
      </c>
      <c r="AE663" t="s">
        <v>13183</v>
      </c>
      <c r="AF663" t="s">
        <v>74</v>
      </c>
      <c r="AG663">
        <v>61</v>
      </c>
      <c r="AH663">
        <v>7</v>
      </c>
      <c r="AI663">
        <v>7</v>
      </c>
      <c r="AJ663">
        <v>0</v>
      </c>
      <c r="AK663">
        <v>9</v>
      </c>
      <c r="AL663" t="s">
        <v>314</v>
      </c>
      <c r="AM663" t="s">
        <v>315</v>
      </c>
      <c r="AN663" t="s">
        <v>316</v>
      </c>
      <c r="AO663" t="s">
        <v>2695</v>
      </c>
      <c r="AP663" t="s">
        <v>2696</v>
      </c>
      <c r="AQ663" t="s">
        <v>74</v>
      </c>
      <c r="AR663" t="s">
        <v>2697</v>
      </c>
      <c r="AS663" t="s">
        <v>2698</v>
      </c>
      <c r="AT663" t="s">
        <v>13131</v>
      </c>
      <c r="AU663">
        <v>2019</v>
      </c>
      <c r="AV663">
        <v>628</v>
      </c>
      <c r="AW663" t="s">
        <v>74</v>
      </c>
      <c r="AX663" t="s">
        <v>74</v>
      </c>
      <c r="AY663" t="s">
        <v>74</v>
      </c>
      <c r="AZ663" t="s">
        <v>74</v>
      </c>
      <c r="BA663" t="s">
        <v>74</v>
      </c>
      <c r="BB663">
        <v>195</v>
      </c>
      <c r="BC663">
        <v>209</v>
      </c>
      <c r="BD663" t="s">
        <v>74</v>
      </c>
      <c r="BE663" t="s">
        <v>13184</v>
      </c>
      <c r="BF663" t="str">
        <f>HYPERLINK("http://dx.doi.org/10.3354/meps13108","http://dx.doi.org/10.3354/meps13108")</f>
        <v>http://dx.doi.org/10.3354/meps13108</v>
      </c>
      <c r="BG663" t="s">
        <v>74</v>
      </c>
      <c r="BH663" t="s">
        <v>74</v>
      </c>
      <c r="BI663">
        <v>15</v>
      </c>
      <c r="BJ663" t="s">
        <v>2701</v>
      </c>
      <c r="BK663" t="s">
        <v>294</v>
      </c>
      <c r="BL663" t="s">
        <v>2702</v>
      </c>
      <c r="BM663" t="s">
        <v>13133</v>
      </c>
      <c r="BN663" t="s">
        <v>74</v>
      </c>
      <c r="BO663" t="s">
        <v>666</v>
      </c>
      <c r="BP663" t="s">
        <v>74</v>
      </c>
      <c r="BQ663" t="s">
        <v>74</v>
      </c>
      <c r="BR663" t="s">
        <v>108</v>
      </c>
      <c r="BS663" t="s">
        <v>13185</v>
      </c>
      <c r="BT663" t="str">
        <f>HYPERLINK("https%3A%2F%2Fwww.webofscience.com%2Fwos%2Fwoscc%2Ffull-record%2FWOS:000521167200013","View Full Record in Web of Science")</f>
        <v>View Full Record in Web of Science</v>
      </c>
    </row>
    <row r="664" spans="1:72" x14ac:dyDescent="0.15">
      <c r="A664" t="s">
        <v>133</v>
      </c>
      <c r="B664" t="s">
        <v>13186</v>
      </c>
      <c r="C664" t="s">
        <v>74</v>
      </c>
      <c r="D664" t="s">
        <v>74</v>
      </c>
      <c r="E664" t="s">
        <v>74</v>
      </c>
      <c r="F664" t="s">
        <v>13187</v>
      </c>
      <c r="G664" t="s">
        <v>74</v>
      </c>
      <c r="H664" t="s">
        <v>74</v>
      </c>
      <c r="I664" t="s">
        <v>13188</v>
      </c>
      <c r="J664" t="s">
        <v>2685</v>
      </c>
      <c r="K664" t="s">
        <v>74</v>
      </c>
      <c r="L664" t="s">
        <v>74</v>
      </c>
      <c r="M664" t="s">
        <v>80</v>
      </c>
      <c r="N664" t="s">
        <v>138</v>
      </c>
      <c r="O664" t="s">
        <v>74</v>
      </c>
      <c r="P664" t="s">
        <v>74</v>
      </c>
      <c r="Q664" t="s">
        <v>74</v>
      </c>
      <c r="R664" t="s">
        <v>74</v>
      </c>
      <c r="S664" t="s">
        <v>74</v>
      </c>
      <c r="T664" t="s">
        <v>13189</v>
      </c>
      <c r="U664" t="s">
        <v>13190</v>
      </c>
      <c r="V664" t="s">
        <v>13191</v>
      </c>
      <c r="W664" t="s">
        <v>13192</v>
      </c>
      <c r="X664" t="s">
        <v>13193</v>
      </c>
      <c r="Y664" t="s">
        <v>13194</v>
      </c>
      <c r="Z664" t="s">
        <v>13195</v>
      </c>
      <c r="AA664" t="s">
        <v>13196</v>
      </c>
      <c r="AB664" t="s">
        <v>13197</v>
      </c>
      <c r="AC664" t="s">
        <v>13198</v>
      </c>
      <c r="AD664" t="s">
        <v>13199</v>
      </c>
      <c r="AE664" t="s">
        <v>13200</v>
      </c>
      <c r="AF664" t="s">
        <v>74</v>
      </c>
      <c r="AG664">
        <v>74</v>
      </c>
      <c r="AH664">
        <v>5</v>
      </c>
      <c r="AI664">
        <v>5</v>
      </c>
      <c r="AJ664">
        <v>0</v>
      </c>
      <c r="AK664">
        <v>17</v>
      </c>
      <c r="AL664" t="s">
        <v>314</v>
      </c>
      <c r="AM664" t="s">
        <v>315</v>
      </c>
      <c r="AN664" t="s">
        <v>316</v>
      </c>
      <c r="AO664" t="s">
        <v>2695</v>
      </c>
      <c r="AP664" t="s">
        <v>2696</v>
      </c>
      <c r="AQ664" t="s">
        <v>74</v>
      </c>
      <c r="AR664" t="s">
        <v>2697</v>
      </c>
      <c r="AS664" t="s">
        <v>2698</v>
      </c>
      <c r="AT664" t="s">
        <v>13131</v>
      </c>
      <c r="AU664">
        <v>2019</v>
      </c>
      <c r="AV664">
        <v>628</v>
      </c>
      <c r="AW664" t="s">
        <v>74</v>
      </c>
      <c r="AX664" t="s">
        <v>74</v>
      </c>
      <c r="AY664" t="s">
        <v>74</v>
      </c>
      <c r="AZ664" t="s">
        <v>74</v>
      </c>
      <c r="BA664" t="s">
        <v>74</v>
      </c>
      <c r="BB664">
        <v>211</v>
      </c>
      <c r="BC664">
        <v>221</v>
      </c>
      <c r="BD664" t="s">
        <v>74</v>
      </c>
      <c r="BE664" t="s">
        <v>13201</v>
      </c>
      <c r="BF664" t="str">
        <f>HYPERLINK("http://dx.doi.org/10.3354/meps13100","http://dx.doi.org/10.3354/meps13100")</f>
        <v>http://dx.doi.org/10.3354/meps13100</v>
      </c>
      <c r="BG664" t="s">
        <v>74</v>
      </c>
      <c r="BH664" t="s">
        <v>74</v>
      </c>
      <c r="BI664">
        <v>11</v>
      </c>
      <c r="BJ664" t="s">
        <v>2701</v>
      </c>
      <c r="BK664" t="s">
        <v>294</v>
      </c>
      <c r="BL664" t="s">
        <v>2702</v>
      </c>
      <c r="BM664" t="s">
        <v>13133</v>
      </c>
      <c r="BN664" t="s">
        <v>74</v>
      </c>
      <c r="BO664" t="s">
        <v>74</v>
      </c>
      <c r="BP664" t="s">
        <v>74</v>
      </c>
      <c r="BQ664" t="s">
        <v>74</v>
      </c>
      <c r="BR664" t="s">
        <v>108</v>
      </c>
      <c r="BS664" t="s">
        <v>13202</v>
      </c>
      <c r="BT664" t="str">
        <f>HYPERLINK("https%3A%2F%2Fwww.webofscience.com%2Fwos%2Fwoscc%2Ffull-record%2FWOS:000521167200014","View Full Record in Web of Science")</f>
        <v>View Full Record in Web of Science</v>
      </c>
    </row>
    <row r="665" spans="1:72" x14ac:dyDescent="0.15">
      <c r="A665" t="s">
        <v>133</v>
      </c>
      <c r="B665" t="s">
        <v>13203</v>
      </c>
      <c r="C665" t="s">
        <v>74</v>
      </c>
      <c r="D665" t="s">
        <v>74</v>
      </c>
      <c r="E665" t="s">
        <v>74</v>
      </c>
      <c r="F665" t="s">
        <v>13204</v>
      </c>
      <c r="G665" t="s">
        <v>74</v>
      </c>
      <c r="H665" t="s">
        <v>74</v>
      </c>
      <c r="I665" t="s">
        <v>13205</v>
      </c>
      <c r="J665" t="s">
        <v>2685</v>
      </c>
      <c r="K665" t="s">
        <v>74</v>
      </c>
      <c r="L665" t="s">
        <v>74</v>
      </c>
      <c r="M665" t="s">
        <v>80</v>
      </c>
      <c r="N665" t="s">
        <v>138</v>
      </c>
      <c r="O665" t="s">
        <v>74</v>
      </c>
      <c r="P665" t="s">
        <v>74</v>
      </c>
      <c r="Q665" t="s">
        <v>74</v>
      </c>
      <c r="R665" t="s">
        <v>74</v>
      </c>
      <c r="S665" t="s">
        <v>74</v>
      </c>
      <c r="T665" t="s">
        <v>13206</v>
      </c>
      <c r="U665" t="s">
        <v>13207</v>
      </c>
      <c r="V665" t="s">
        <v>13208</v>
      </c>
      <c r="W665" t="s">
        <v>13209</v>
      </c>
      <c r="X665" t="s">
        <v>13210</v>
      </c>
      <c r="Y665" t="s">
        <v>13211</v>
      </c>
      <c r="Z665" t="s">
        <v>13212</v>
      </c>
      <c r="AA665" t="s">
        <v>13213</v>
      </c>
      <c r="AB665" t="s">
        <v>13214</v>
      </c>
      <c r="AC665" t="s">
        <v>13215</v>
      </c>
      <c r="AD665" t="s">
        <v>13215</v>
      </c>
      <c r="AE665" t="s">
        <v>13216</v>
      </c>
      <c r="AF665" t="s">
        <v>74</v>
      </c>
      <c r="AG665">
        <v>57</v>
      </c>
      <c r="AH665">
        <v>3</v>
      </c>
      <c r="AI665">
        <v>3</v>
      </c>
      <c r="AJ665">
        <v>0</v>
      </c>
      <c r="AK665">
        <v>7</v>
      </c>
      <c r="AL665" t="s">
        <v>314</v>
      </c>
      <c r="AM665" t="s">
        <v>315</v>
      </c>
      <c r="AN665" t="s">
        <v>316</v>
      </c>
      <c r="AO665" t="s">
        <v>2695</v>
      </c>
      <c r="AP665" t="s">
        <v>2696</v>
      </c>
      <c r="AQ665" t="s">
        <v>74</v>
      </c>
      <c r="AR665" t="s">
        <v>2697</v>
      </c>
      <c r="AS665" t="s">
        <v>2698</v>
      </c>
      <c r="AT665" t="s">
        <v>13131</v>
      </c>
      <c r="AU665">
        <v>2019</v>
      </c>
      <c r="AV665">
        <v>628</v>
      </c>
      <c r="AW665" t="s">
        <v>74</v>
      </c>
      <c r="AX665" t="s">
        <v>74</v>
      </c>
      <c r="AY665" t="s">
        <v>74</v>
      </c>
      <c r="AZ665" t="s">
        <v>74</v>
      </c>
      <c r="BA665" t="s">
        <v>74</v>
      </c>
      <c r="BB665">
        <v>223</v>
      </c>
      <c r="BC665">
        <v>234</v>
      </c>
      <c r="BD665" t="s">
        <v>74</v>
      </c>
      <c r="BE665" t="s">
        <v>13217</v>
      </c>
      <c r="BF665" t="str">
        <f>HYPERLINK("http://dx.doi.org/10.3354/meps13113","http://dx.doi.org/10.3354/meps13113")</f>
        <v>http://dx.doi.org/10.3354/meps13113</v>
      </c>
      <c r="BG665" t="s">
        <v>74</v>
      </c>
      <c r="BH665" t="s">
        <v>74</v>
      </c>
      <c r="BI665">
        <v>12</v>
      </c>
      <c r="BJ665" t="s">
        <v>2701</v>
      </c>
      <c r="BK665" t="s">
        <v>294</v>
      </c>
      <c r="BL665" t="s">
        <v>2702</v>
      </c>
      <c r="BM665" t="s">
        <v>13133</v>
      </c>
      <c r="BN665" t="s">
        <v>74</v>
      </c>
      <c r="BO665" t="s">
        <v>74</v>
      </c>
      <c r="BP665" t="s">
        <v>74</v>
      </c>
      <c r="BQ665" t="s">
        <v>74</v>
      </c>
      <c r="BR665" t="s">
        <v>108</v>
      </c>
      <c r="BS665" t="s">
        <v>13218</v>
      </c>
      <c r="BT665" t="str">
        <f>HYPERLINK("https%3A%2F%2Fwww.webofscience.com%2Fwos%2Fwoscc%2Ffull-record%2FWOS:000521167200015","View Full Record in Web of Science")</f>
        <v>View Full Record in Web of Science</v>
      </c>
    </row>
    <row r="666" spans="1:72" x14ac:dyDescent="0.15">
      <c r="A666" t="s">
        <v>133</v>
      </c>
      <c r="B666" t="s">
        <v>13219</v>
      </c>
      <c r="C666" t="s">
        <v>74</v>
      </c>
      <c r="D666" t="s">
        <v>74</v>
      </c>
      <c r="E666" t="s">
        <v>74</v>
      </c>
      <c r="F666" t="s">
        <v>13220</v>
      </c>
      <c r="G666" t="s">
        <v>74</v>
      </c>
      <c r="H666" t="s">
        <v>74</v>
      </c>
      <c r="I666" t="s">
        <v>13221</v>
      </c>
      <c r="J666" t="s">
        <v>2026</v>
      </c>
      <c r="K666" t="s">
        <v>74</v>
      </c>
      <c r="L666" t="s">
        <v>74</v>
      </c>
      <c r="M666" t="s">
        <v>80</v>
      </c>
      <c r="N666" t="s">
        <v>138</v>
      </c>
      <c r="O666" t="s">
        <v>74</v>
      </c>
      <c r="P666" t="s">
        <v>74</v>
      </c>
      <c r="Q666" t="s">
        <v>74</v>
      </c>
      <c r="R666" t="s">
        <v>74</v>
      </c>
      <c r="S666" t="s">
        <v>74</v>
      </c>
      <c r="T666" t="s">
        <v>74</v>
      </c>
      <c r="U666" t="s">
        <v>13222</v>
      </c>
      <c r="V666" t="s">
        <v>13223</v>
      </c>
      <c r="W666" t="s">
        <v>13224</v>
      </c>
      <c r="X666" t="s">
        <v>13225</v>
      </c>
      <c r="Y666" t="s">
        <v>13226</v>
      </c>
      <c r="Z666" t="s">
        <v>13227</v>
      </c>
      <c r="AA666" t="s">
        <v>13228</v>
      </c>
      <c r="AB666" t="s">
        <v>13229</v>
      </c>
      <c r="AC666" t="s">
        <v>13230</v>
      </c>
      <c r="AD666" t="s">
        <v>13231</v>
      </c>
      <c r="AE666" t="s">
        <v>13232</v>
      </c>
      <c r="AF666" t="s">
        <v>74</v>
      </c>
      <c r="AG666">
        <v>75</v>
      </c>
      <c r="AH666">
        <v>13</v>
      </c>
      <c r="AI666">
        <v>15</v>
      </c>
      <c r="AJ666">
        <v>1</v>
      </c>
      <c r="AK666">
        <v>29</v>
      </c>
      <c r="AL666" t="s">
        <v>2038</v>
      </c>
      <c r="AM666" t="s">
        <v>1730</v>
      </c>
      <c r="AN666" t="s">
        <v>2039</v>
      </c>
      <c r="AO666" t="s">
        <v>2040</v>
      </c>
      <c r="AP666" t="s">
        <v>74</v>
      </c>
      <c r="AQ666" t="s">
        <v>74</v>
      </c>
      <c r="AR666" t="s">
        <v>2041</v>
      </c>
      <c r="AS666" t="s">
        <v>2042</v>
      </c>
      <c r="AT666" t="s">
        <v>13131</v>
      </c>
      <c r="AU666">
        <v>2019</v>
      </c>
      <c r="AV666">
        <v>10</v>
      </c>
      <c r="AW666" t="s">
        <v>74</v>
      </c>
      <c r="AX666" t="s">
        <v>74</v>
      </c>
      <c r="AY666" t="s">
        <v>74</v>
      </c>
      <c r="AZ666" t="s">
        <v>74</v>
      </c>
      <c r="BA666" t="s">
        <v>74</v>
      </c>
      <c r="BB666" t="s">
        <v>74</v>
      </c>
      <c r="BC666" t="s">
        <v>74</v>
      </c>
      <c r="BD666">
        <v>4611</v>
      </c>
      <c r="BE666" t="s">
        <v>13233</v>
      </c>
      <c r="BF666" t="str">
        <f>HYPERLINK("http://dx.doi.org/10.1038/s41467-019-12549-z","http://dx.doi.org/10.1038/s41467-019-12549-z")</f>
        <v>http://dx.doi.org/10.1038/s41467-019-12549-z</v>
      </c>
      <c r="BG666" t="s">
        <v>74</v>
      </c>
      <c r="BH666" t="s">
        <v>74</v>
      </c>
      <c r="BI666">
        <v>10</v>
      </c>
      <c r="BJ666" t="s">
        <v>1245</v>
      </c>
      <c r="BK666" t="s">
        <v>294</v>
      </c>
      <c r="BL666" t="s">
        <v>1246</v>
      </c>
      <c r="BM666" t="s">
        <v>13234</v>
      </c>
      <c r="BN666">
        <v>31601810</v>
      </c>
      <c r="BO666" t="s">
        <v>1354</v>
      </c>
      <c r="BP666" t="s">
        <v>74</v>
      </c>
      <c r="BQ666" t="s">
        <v>74</v>
      </c>
      <c r="BR666" t="s">
        <v>108</v>
      </c>
      <c r="BS666" t="s">
        <v>13235</v>
      </c>
      <c r="BT666" t="str">
        <f>HYPERLINK("https%3A%2F%2Fwww.webofscience.com%2Fwos%2Fwoscc%2Ffull-record%2FWOS:000489557800004","View Full Record in Web of Science")</f>
        <v>View Full Record in Web of Science</v>
      </c>
    </row>
    <row r="667" spans="1:72" x14ac:dyDescent="0.15">
      <c r="A667" t="s">
        <v>133</v>
      </c>
      <c r="B667" t="s">
        <v>13236</v>
      </c>
      <c r="C667" t="s">
        <v>74</v>
      </c>
      <c r="D667" t="s">
        <v>74</v>
      </c>
      <c r="E667" t="s">
        <v>74</v>
      </c>
      <c r="F667" t="s">
        <v>13237</v>
      </c>
      <c r="G667" t="s">
        <v>74</v>
      </c>
      <c r="H667" t="s">
        <v>74</v>
      </c>
      <c r="I667" t="s">
        <v>13238</v>
      </c>
      <c r="J667" t="s">
        <v>8625</v>
      </c>
      <c r="K667" t="s">
        <v>74</v>
      </c>
      <c r="L667" t="s">
        <v>74</v>
      </c>
      <c r="M667" t="s">
        <v>80</v>
      </c>
      <c r="N667" t="s">
        <v>138</v>
      </c>
      <c r="O667" t="s">
        <v>74</v>
      </c>
      <c r="P667" t="s">
        <v>74</v>
      </c>
      <c r="Q667" t="s">
        <v>74</v>
      </c>
      <c r="R667" t="s">
        <v>74</v>
      </c>
      <c r="S667" t="s">
        <v>74</v>
      </c>
      <c r="T667" t="s">
        <v>74</v>
      </c>
      <c r="U667" t="s">
        <v>13239</v>
      </c>
      <c r="V667" t="s">
        <v>13240</v>
      </c>
      <c r="W667" t="s">
        <v>13241</v>
      </c>
      <c r="X667" t="s">
        <v>13242</v>
      </c>
      <c r="Y667" t="s">
        <v>13243</v>
      </c>
      <c r="Z667" t="s">
        <v>13244</v>
      </c>
      <c r="AA667" t="s">
        <v>74</v>
      </c>
      <c r="AB667" t="s">
        <v>13245</v>
      </c>
      <c r="AC667" t="s">
        <v>13246</v>
      </c>
      <c r="AD667" t="s">
        <v>13247</v>
      </c>
      <c r="AE667" t="s">
        <v>13248</v>
      </c>
      <c r="AF667" t="s">
        <v>74</v>
      </c>
      <c r="AG667">
        <v>62</v>
      </c>
      <c r="AH667">
        <v>51</v>
      </c>
      <c r="AI667">
        <v>56</v>
      </c>
      <c r="AJ667">
        <v>3</v>
      </c>
      <c r="AK667">
        <v>75</v>
      </c>
      <c r="AL667" t="s">
        <v>2635</v>
      </c>
      <c r="AM667" t="s">
        <v>841</v>
      </c>
      <c r="AN667" t="s">
        <v>842</v>
      </c>
      <c r="AO667" t="s">
        <v>8631</v>
      </c>
      <c r="AP667" t="s">
        <v>8632</v>
      </c>
      <c r="AQ667" t="s">
        <v>74</v>
      </c>
      <c r="AR667" t="s">
        <v>8625</v>
      </c>
      <c r="AS667" t="s">
        <v>8633</v>
      </c>
      <c r="AT667" t="s">
        <v>13131</v>
      </c>
      <c r="AU667">
        <v>2019</v>
      </c>
      <c r="AV667">
        <v>574</v>
      </c>
      <c r="AW667">
        <v>7777</v>
      </c>
      <c r="AX667" t="s">
        <v>74</v>
      </c>
      <c r="AY667" t="s">
        <v>74</v>
      </c>
      <c r="AZ667" t="s">
        <v>74</v>
      </c>
      <c r="BA667" t="s">
        <v>74</v>
      </c>
      <c r="BB667">
        <v>237</v>
      </c>
      <c r="BC667" t="s">
        <v>847</v>
      </c>
      <c r="BD667" t="s">
        <v>74</v>
      </c>
      <c r="BE667" t="s">
        <v>13249</v>
      </c>
      <c r="BF667" t="str">
        <f>HYPERLINK("http://dx.doi.org/10.1038/s41586-019-1619-z","http://dx.doi.org/10.1038/s41586-019-1619-z")</f>
        <v>http://dx.doi.org/10.1038/s41586-019-1619-z</v>
      </c>
      <c r="BG667" t="s">
        <v>74</v>
      </c>
      <c r="BH667" t="s">
        <v>74</v>
      </c>
      <c r="BI667">
        <v>18</v>
      </c>
      <c r="BJ667" t="s">
        <v>1245</v>
      </c>
      <c r="BK667" t="s">
        <v>294</v>
      </c>
      <c r="BL667" t="s">
        <v>1246</v>
      </c>
      <c r="BM667" t="s">
        <v>13250</v>
      </c>
      <c r="BN667">
        <v>31578526</v>
      </c>
      <c r="BO667" t="s">
        <v>74</v>
      </c>
      <c r="BP667" t="s">
        <v>74</v>
      </c>
      <c r="BQ667" t="s">
        <v>74</v>
      </c>
      <c r="BR667" t="s">
        <v>108</v>
      </c>
      <c r="BS667" t="s">
        <v>13251</v>
      </c>
      <c r="BT667" t="str">
        <f>HYPERLINK("https%3A%2F%2Fwww.webofscience.com%2Fwos%2Fwoscc%2Ffull-record%2FWOS:000489784200045","View Full Record in Web of Science")</f>
        <v>View Full Record in Web of Science</v>
      </c>
    </row>
    <row r="668" spans="1:72" x14ac:dyDescent="0.15">
      <c r="A668" t="s">
        <v>133</v>
      </c>
      <c r="B668" t="s">
        <v>13252</v>
      </c>
      <c r="C668" t="s">
        <v>74</v>
      </c>
      <c r="D668" t="s">
        <v>74</v>
      </c>
      <c r="E668" t="s">
        <v>74</v>
      </c>
      <c r="F668" t="s">
        <v>13253</v>
      </c>
      <c r="G668" t="s">
        <v>74</v>
      </c>
      <c r="H668" t="s">
        <v>74</v>
      </c>
      <c r="I668" t="s">
        <v>13254</v>
      </c>
      <c r="J668" t="s">
        <v>2088</v>
      </c>
      <c r="K668" t="s">
        <v>74</v>
      </c>
      <c r="L668" t="s">
        <v>74</v>
      </c>
      <c r="M668" t="s">
        <v>80</v>
      </c>
      <c r="N668" t="s">
        <v>138</v>
      </c>
      <c r="O668" t="s">
        <v>74</v>
      </c>
      <c r="P668" t="s">
        <v>74</v>
      </c>
      <c r="Q668" t="s">
        <v>74</v>
      </c>
      <c r="R668" t="s">
        <v>74</v>
      </c>
      <c r="S668" t="s">
        <v>74</v>
      </c>
      <c r="T668" t="s">
        <v>74</v>
      </c>
      <c r="U668" t="s">
        <v>13255</v>
      </c>
      <c r="V668" t="s">
        <v>13256</v>
      </c>
      <c r="W668" t="s">
        <v>13257</v>
      </c>
      <c r="X668" t="s">
        <v>13258</v>
      </c>
      <c r="Y668" t="s">
        <v>13259</v>
      </c>
      <c r="Z668" t="s">
        <v>13260</v>
      </c>
      <c r="AA668" t="s">
        <v>13261</v>
      </c>
      <c r="AB668" t="s">
        <v>13262</v>
      </c>
      <c r="AC668" t="s">
        <v>13263</v>
      </c>
      <c r="AD668" t="s">
        <v>13264</v>
      </c>
      <c r="AE668" t="s">
        <v>13265</v>
      </c>
      <c r="AF668" t="s">
        <v>74</v>
      </c>
      <c r="AG668">
        <v>107</v>
      </c>
      <c r="AH668">
        <v>7</v>
      </c>
      <c r="AI668">
        <v>7</v>
      </c>
      <c r="AJ668">
        <v>0</v>
      </c>
      <c r="AK668">
        <v>8</v>
      </c>
      <c r="AL668" t="s">
        <v>2099</v>
      </c>
      <c r="AM668" t="s">
        <v>2100</v>
      </c>
      <c r="AN668" t="s">
        <v>2101</v>
      </c>
      <c r="AO668" t="s">
        <v>2102</v>
      </c>
      <c r="AP668" t="s">
        <v>2103</v>
      </c>
      <c r="AQ668" t="s">
        <v>74</v>
      </c>
      <c r="AR668" t="s">
        <v>2088</v>
      </c>
      <c r="AS668" t="s">
        <v>2104</v>
      </c>
      <c r="AT668" t="s">
        <v>13266</v>
      </c>
      <c r="AU668">
        <v>2019</v>
      </c>
      <c r="AV668">
        <v>13</v>
      </c>
      <c r="AW668">
        <v>10</v>
      </c>
      <c r="AX668" t="s">
        <v>74</v>
      </c>
      <c r="AY668" t="s">
        <v>74</v>
      </c>
      <c r="AZ668" t="s">
        <v>74</v>
      </c>
      <c r="BA668" t="s">
        <v>74</v>
      </c>
      <c r="BB668">
        <v>2615</v>
      </c>
      <c r="BC668">
        <v>2631</v>
      </c>
      <c r="BD668" t="s">
        <v>74</v>
      </c>
      <c r="BE668" t="s">
        <v>13267</v>
      </c>
      <c r="BF668" t="str">
        <f>HYPERLINK("http://dx.doi.org/10.5194/tc-13-2615-2019","http://dx.doi.org/10.5194/tc-13-2615-2019")</f>
        <v>http://dx.doi.org/10.5194/tc-13-2615-2019</v>
      </c>
      <c r="BG668" t="s">
        <v>74</v>
      </c>
      <c r="BH668" t="s">
        <v>74</v>
      </c>
      <c r="BI668">
        <v>17</v>
      </c>
      <c r="BJ668" t="s">
        <v>462</v>
      </c>
      <c r="BK668" t="s">
        <v>294</v>
      </c>
      <c r="BL668" t="s">
        <v>463</v>
      </c>
      <c r="BM668" t="s">
        <v>13268</v>
      </c>
      <c r="BN668" t="s">
        <v>74</v>
      </c>
      <c r="BO668" t="s">
        <v>1276</v>
      </c>
      <c r="BP668" t="s">
        <v>74</v>
      </c>
      <c r="BQ668" t="s">
        <v>74</v>
      </c>
      <c r="BR668" t="s">
        <v>108</v>
      </c>
      <c r="BS668" t="s">
        <v>13269</v>
      </c>
      <c r="BT668" t="str">
        <f>HYPERLINK("https%3A%2F%2Fwww.webofscience.com%2Fwos%2Fwoscc%2Ffull-record%2FWOS:000489691400001","View Full Record in Web of Science")</f>
        <v>View Full Record in Web of Science</v>
      </c>
    </row>
    <row r="669" spans="1:72" x14ac:dyDescent="0.15">
      <c r="A669" t="s">
        <v>133</v>
      </c>
      <c r="B669" t="s">
        <v>13270</v>
      </c>
      <c r="C669" t="s">
        <v>74</v>
      </c>
      <c r="D669" t="s">
        <v>74</v>
      </c>
      <c r="E669" t="s">
        <v>74</v>
      </c>
      <c r="F669" t="s">
        <v>13271</v>
      </c>
      <c r="G669" t="s">
        <v>74</v>
      </c>
      <c r="H669" t="s">
        <v>74</v>
      </c>
      <c r="I669" t="s">
        <v>13272</v>
      </c>
      <c r="J669" t="s">
        <v>10516</v>
      </c>
      <c r="K669" t="s">
        <v>74</v>
      </c>
      <c r="L669" t="s">
        <v>74</v>
      </c>
      <c r="M669" t="s">
        <v>80</v>
      </c>
      <c r="N669" t="s">
        <v>138</v>
      </c>
      <c r="O669" t="s">
        <v>74</v>
      </c>
      <c r="P669" t="s">
        <v>74</v>
      </c>
      <c r="Q669" t="s">
        <v>74</v>
      </c>
      <c r="R669" t="s">
        <v>74</v>
      </c>
      <c r="S669" t="s">
        <v>74</v>
      </c>
      <c r="T669" t="s">
        <v>13273</v>
      </c>
      <c r="U669" t="s">
        <v>13274</v>
      </c>
      <c r="V669" t="s">
        <v>13275</v>
      </c>
      <c r="W669" t="s">
        <v>13276</v>
      </c>
      <c r="X669" t="s">
        <v>13277</v>
      </c>
      <c r="Y669" t="s">
        <v>13278</v>
      </c>
      <c r="Z669" t="s">
        <v>13279</v>
      </c>
      <c r="AA669" t="s">
        <v>13280</v>
      </c>
      <c r="AB669" t="s">
        <v>13281</v>
      </c>
      <c r="AC669" t="s">
        <v>13282</v>
      </c>
      <c r="AD669" t="s">
        <v>13283</v>
      </c>
      <c r="AE669" t="s">
        <v>13284</v>
      </c>
      <c r="AF669" t="s">
        <v>74</v>
      </c>
      <c r="AG669">
        <v>53</v>
      </c>
      <c r="AH669">
        <v>10</v>
      </c>
      <c r="AI669">
        <v>11</v>
      </c>
      <c r="AJ669">
        <v>3</v>
      </c>
      <c r="AK669">
        <v>25</v>
      </c>
      <c r="AL669" t="s">
        <v>1964</v>
      </c>
      <c r="AM669" t="s">
        <v>1965</v>
      </c>
      <c r="AN669" t="s">
        <v>1966</v>
      </c>
      <c r="AO669" t="s">
        <v>10528</v>
      </c>
      <c r="AP669" t="s">
        <v>10529</v>
      </c>
      <c r="AQ669" t="s">
        <v>74</v>
      </c>
      <c r="AR669" t="s">
        <v>10530</v>
      </c>
      <c r="AS669" t="s">
        <v>10531</v>
      </c>
      <c r="AT669" t="s">
        <v>291</v>
      </c>
      <c r="AU669">
        <v>2020</v>
      </c>
      <c r="AV669">
        <v>54</v>
      </c>
      <c r="AW669" t="s">
        <v>13285</v>
      </c>
      <c r="AX669" t="s">
        <v>74</v>
      </c>
      <c r="AY669" t="s">
        <v>74</v>
      </c>
      <c r="AZ669" t="s">
        <v>74</v>
      </c>
      <c r="BA669" t="s">
        <v>74</v>
      </c>
      <c r="BB669">
        <v>435</v>
      </c>
      <c r="BC669">
        <v>455</v>
      </c>
      <c r="BD669" t="s">
        <v>74</v>
      </c>
      <c r="BE669" t="s">
        <v>13286</v>
      </c>
      <c r="BF669" t="str">
        <f>HYPERLINK("http://dx.doi.org/10.1007/s00382-019-05008-4","http://dx.doi.org/10.1007/s00382-019-05008-4")</f>
        <v>http://dx.doi.org/10.1007/s00382-019-05008-4</v>
      </c>
      <c r="BG669" t="s">
        <v>74</v>
      </c>
      <c r="BH669" t="s">
        <v>11767</v>
      </c>
      <c r="BI669">
        <v>21</v>
      </c>
      <c r="BJ669" t="s">
        <v>1024</v>
      </c>
      <c r="BK669" t="s">
        <v>294</v>
      </c>
      <c r="BL669" t="s">
        <v>1024</v>
      </c>
      <c r="BM669" t="s">
        <v>13287</v>
      </c>
      <c r="BN669" t="s">
        <v>74</v>
      </c>
      <c r="BO669" t="s">
        <v>74</v>
      </c>
      <c r="BP669" t="s">
        <v>74</v>
      </c>
      <c r="BQ669" t="s">
        <v>74</v>
      </c>
      <c r="BR669" t="s">
        <v>108</v>
      </c>
      <c r="BS669" t="s">
        <v>13288</v>
      </c>
      <c r="BT669" t="str">
        <f>HYPERLINK("https%3A%2F%2Fwww.webofscience.com%2Fwos%2Fwoscc%2Ffull-record%2FWOS:000489286200001","View Full Record in Web of Science")</f>
        <v>View Full Record in Web of Science</v>
      </c>
    </row>
    <row r="670" spans="1:72" x14ac:dyDescent="0.15">
      <c r="A670" t="s">
        <v>133</v>
      </c>
      <c r="B670" t="s">
        <v>13289</v>
      </c>
      <c r="C670" t="s">
        <v>74</v>
      </c>
      <c r="D670" t="s">
        <v>74</v>
      </c>
      <c r="E670" t="s">
        <v>74</v>
      </c>
      <c r="F670" t="s">
        <v>13290</v>
      </c>
      <c r="G670" t="s">
        <v>74</v>
      </c>
      <c r="H670" t="s">
        <v>74</v>
      </c>
      <c r="I670" t="s">
        <v>13291</v>
      </c>
      <c r="J670" t="s">
        <v>2242</v>
      </c>
      <c r="K670" t="s">
        <v>74</v>
      </c>
      <c r="L670" t="s">
        <v>74</v>
      </c>
      <c r="M670" t="s">
        <v>80</v>
      </c>
      <c r="N670" t="s">
        <v>138</v>
      </c>
      <c r="O670" t="s">
        <v>74</v>
      </c>
      <c r="P670" t="s">
        <v>74</v>
      </c>
      <c r="Q670" t="s">
        <v>74</v>
      </c>
      <c r="R670" t="s">
        <v>74</v>
      </c>
      <c r="S670" t="s">
        <v>74</v>
      </c>
      <c r="T670" t="s">
        <v>74</v>
      </c>
      <c r="U670" t="s">
        <v>13292</v>
      </c>
      <c r="V670" t="s">
        <v>13293</v>
      </c>
      <c r="W670" t="s">
        <v>13294</v>
      </c>
      <c r="X670" t="s">
        <v>13295</v>
      </c>
      <c r="Y670" t="s">
        <v>13296</v>
      </c>
      <c r="Z670" t="s">
        <v>13297</v>
      </c>
      <c r="AA670" t="s">
        <v>13298</v>
      </c>
      <c r="AB670" t="s">
        <v>13299</v>
      </c>
      <c r="AC670" t="s">
        <v>13300</v>
      </c>
      <c r="AD670" t="s">
        <v>13301</v>
      </c>
      <c r="AE670" t="s">
        <v>13302</v>
      </c>
      <c r="AF670" t="s">
        <v>74</v>
      </c>
      <c r="AG670">
        <v>83</v>
      </c>
      <c r="AH670">
        <v>31</v>
      </c>
      <c r="AI670">
        <v>33</v>
      </c>
      <c r="AJ670">
        <v>2</v>
      </c>
      <c r="AK670">
        <v>13</v>
      </c>
      <c r="AL670" t="s">
        <v>2099</v>
      </c>
      <c r="AM670" t="s">
        <v>2100</v>
      </c>
      <c r="AN670" t="s">
        <v>2101</v>
      </c>
      <c r="AO670" t="s">
        <v>2254</v>
      </c>
      <c r="AP670" t="s">
        <v>2255</v>
      </c>
      <c r="AQ670" t="s">
        <v>74</v>
      </c>
      <c r="AR670" t="s">
        <v>2256</v>
      </c>
      <c r="AS670" t="s">
        <v>2257</v>
      </c>
      <c r="AT670" t="s">
        <v>13303</v>
      </c>
      <c r="AU670">
        <v>2019</v>
      </c>
      <c r="AV670">
        <v>19</v>
      </c>
      <c r="AW670">
        <v>19</v>
      </c>
      <c r="AX670" t="s">
        <v>74</v>
      </c>
      <c r="AY670" t="s">
        <v>74</v>
      </c>
      <c r="AZ670" t="s">
        <v>74</v>
      </c>
      <c r="BA670" t="s">
        <v>74</v>
      </c>
      <c r="BB670">
        <v>12431</v>
      </c>
      <c r="BC670">
        <v>12454</v>
      </c>
      <c r="BD670" t="s">
        <v>74</v>
      </c>
      <c r="BE670" t="s">
        <v>13304</v>
      </c>
      <c r="BF670" t="str">
        <f>HYPERLINK("http://dx.doi.org/10.5194/acp-19-12431-2019","http://dx.doi.org/10.5194/acp-19-12431-2019")</f>
        <v>http://dx.doi.org/10.5194/acp-19-12431-2019</v>
      </c>
      <c r="BG670" t="s">
        <v>74</v>
      </c>
      <c r="BH670" t="s">
        <v>74</v>
      </c>
      <c r="BI670">
        <v>24</v>
      </c>
      <c r="BJ670" t="s">
        <v>103</v>
      </c>
      <c r="BK670" t="s">
        <v>294</v>
      </c>
      <c r="BL670" t="s">
        <v>105</v>
      </c>
      <c r="BM670" t="s">
        <v>13305</v>
      </c>
      <c r="BN670" t="s">
        <v>74</v>
      </c>
      <c r="BO670" t="s">
        <v>1276</v>
      </c>
      <c r="BP670" t="s">
        <v>74</v>
      </c>
      <c r="BQ670" t="s">
        <v>74</v>
      </c>
      <c r="BR670" t="s">
        <v>108</v>
      </c>
      <c r="BS670" t="s">
        <v>13306</v>
      </c>
      <c r="BT670" t="str">
        <f>HYPERLINK("https%3A%2F%2Fwww.webofscience.com%2Fwos%2Fwoscc%2Ffull-record%2FWOS:000489561300003","View Full Record in Web of Science")</f>
        <v>View Full Record in Web of Science</v>
      </c>
    </row>
    <row r="671" spans="1:72" x14ac:dyDescent="0.15">
      <c r="A671" t="s">
        <v>133</v>
      </c>
      <c r="B671" t="s">
        <v>13307</v>
      </c>
      <c r="C671" t="s">
        <v>74</v>
      </c>
      <c r="D671" t="s">
        <v>74</v>
      </c>
      <c r="E671" t="s">
        <v>74</v>
      </c>
      <c r="F671" t="s">
        <v>13308</v>
      </c>
      <c r="G671" t="s">
        <v>74</v>
      </c>
      <c r="H671" t="s">
        <v>74</v>
      </c>
      <c r="I671" t="s">
        <v>13309</v>
      </c>
      <c r="J671" t="s">
        <v>8070</v>
      </c>
      <c r="K671" t="s">
        <v>74</v>
      </c>
      <c r="L671" t="s">
        <v>74</v>
      </c>
      <c r="M671" t="s">
        <v>80</v>
      </c>
      <c r="N671" t="s">
        <v>138</v>
      </c>
      <c r="O671" t="s">
        <v>74</v>
      </c>
      <c r="P671" t="s">
        <v>74</v>
      </c>
      <c r="Q671" t="s">
        <v>74</v>
      </c>
      <c r="R671" t="s">
        <v>74</v>
      </c>
      <c r="S671" t="s">
        <v>74</v>
      </c>
      <c r="T671" t="s">
        <v>74</v>
      </c>
      <c r="U671" t="s">
        <v>13310</v>
      </c>
      <c r="V671" t="s">
        <v>13311</v>
      </c>
      <c r="W671" t="s">
        <v>13312</v>
      </c>
      <c r="X671" t="s">
        <v>13313</v>
      </c>
      <c r="Y671" t="s">
        <v>13314</v>
      </c>
      <c r="Z671" t="s">
        <v>13315</v>
      </c>
      <c r="AA671" t="s">
        <v>13316</v>
      </c>
      <c r="AB671" t="s">
        <v>13317</v>
      </c>
      <c r="AC671" t="s">
        <v>13318</v>
      </c>
      <c r="AD671" t="s">
        <v>13319</v>
      </c>
      <c r="AE671" t="s">
        <v>13320</v>
      </c>
      <c r="AF671" t="s">
        <v>74</v>
      </c>
      <c r="AG671">
        <v>85</v>
      </c>
      <c r="AH671">
        <v>38</v>
      </c>
      <c r="AI671">
        <v>44</v>
      </c>
      <c r="AJ671">
        <v>0</v>
      </c>
      <c r="AK671">
        <v>13</v>
      </c>
      <c r="AL671" t="s">
        <v>2099</v>
      </c>
      <c r="AM671" t="s">
        <v>2100</v>
      </c>
      <c r="AN671" t="s">
        <v>2101</v>
      </c>
      <c r="AO671" t="s">
        <v>8082</v>
      </c>
      <c r="AP671" t="s">
        <v>8083</v>
      </c>
      <c r="AQ671" t="s">
        <v>74</v>
      </c>
      <c r="AR671" t="s">
        <v>8084</v>
      </c>
      <c r="AS671" t="s">
        <v>8085</v>
      </c>
      <c r="AT671" t="s">
        <v>13303</v>
      </c>
      <c r="AU671">
        <v>2019</v>
      </c>
      <c r="AV671">
        <v>15</v>
      </c>
      <c r="AW671">
        <v>5</v>
      </c>
      <c r="AX671" t="s">
        <v>74</v>
      </c>
      <c r="AY671" t="s">
        <v>74</v>
      </c>
      <c r="AZ671" t="s">
        <v>74</v>
      </c>
      <c r="BA671" t="s">
        <v>74</v>
      </c>
      <c r="BB671">
        <v>1793</v>
      </c>
      <c r="BC671">
        <v>1808</v>
      </c>
      <c r="BD671" t="s">
        <v>74</v>
      </c>
      <c r="BE671" t="s">
        <v>13321</v>
      </c>
      <c r="BF671" t="str">
        <f>HYPERLINK("http://dx.doi.org/10.5194/cp-15-1793-2019","http://dx.doi.org/10.5194/cp-15-1793-2019")</f>
        <v>http://dx.doi.org/10.5194/cp-15-1793-2019</v>
      </c>
      <c r="BG671" t="s">
        <v>74</v>
      </c>
      <c r="BH671" t="s">
        <v>74</v>
      </c>
      <c r="BI671">
        <v>16</v>
      </c>
      <c r="BJ671" t="s">
        <v>3217</v>
      </c>
      <c r="BK671" t="s">
        <v>294</v>
      </c>
      <c r="BL671" t="s">
        <v>3218</v>
      </c>
      <c r="BM671" t="s">
        <v>13322</v>
      </c>
      <c r="BN671" t="s">
        <v>74</v>
      </c>
      <c r="BO671" t="s">
        <v>1276</v>
      </c>
      <c r="BP671" t="s">
        <v>74</v>
      </c>
      <c r="BQ671" t="s">
        <v>74</v>
      </c>
      <c r="BR671" t="s">
        <v>108</v>
      </c>
      <c r="BS671" t="s">
        <v>13323</v>
      </c>
      <c r="BT671" t="str">
        <f>HYPERLINK("https%3A%2F%2Fwww.webofscience.com%2Fwos%2Fwoscc%2Ffull-record%2FWOS:000489561600001","View Full Record in Web of Science")</f>
        <v>View Full Record in Web of Science</v>
      </c>
    </row>
    <row r="672" spans="1:72" x14ac:dyDescent="0.15">
      <c r="A672" t="s">
        <v>133</v>
      </c>
      <c r="B672" t="s">
        <v>13324</v>
      </c>
      <c r="C672" t="s">
        <v>74</v>
      </c>
      <c r="D672" t="s">
        <v>74</v>
      </c>
      <c r="E672" t="s">
        <v>74</v>
      </c>
      <c r="F672" t="s">
        <v>13325</v>
      </c>
      <c r="G672" t="s">
        <v>74</v>
      </c>
      <c r="H672" t="s">
        <v>74</v>
      </c>
      <c r="I672" t="s">
        <v>13326</v>
      </c>
      <c r="J672" t="s">
        <v>2623</v>
      </c>
      <c r="K672" t="s">
        <v>74</v>
      </c>
      <c r="L672" t="s">
        <v>74</v>
      </c>
      <c r="M672" t="s">
        <v>80</v>
      </c>
      <c r="N672" t="s">
        <v>138</v>
      </c>
      <c r="O672" t="s">
        <v>74</v>
      </c>
      <c r="P672" t="s">
        <v>74</v>
      </c>
      <c r="Q672" t="s">
        <v>74</v>
      </c>
      <c r="R672" t="s">
        <v>74</v>
      </c>
      <c r="S672" t="s">
        <v>74</v>
      </c>
      <c r="T672" t="s">
        <v>74</v>
      </c>
      <c r="U672" t="s">
        <v>13327</v>
      </c>
      <c r="V672" t="s">
        <v>13328</v>
      </c>
      <c r="W672" t="s">
        <v>13329</v>
      </c>
      <c r="X672" t="s">
        <v>13330</v>
      </c>
      <c r="Y672" t="s">
        <v>13331</v>
      </c>
      <c r="Z672" t="s">
        <v>13332</v>
      </c>
      <c r="AA672" t="s">
        <v>13333</v>
      </c>
      <c r="AB672" t="s">
        <v>13334</v>
      </c>
      <c r="AC672" t="s">
        <v>13335</v>
      </c>
      <c r="AD672" t="s">
        <v>1522</v>
      </c>
      <c r="AE672" t="s">
        <v>13336</v>
      </c>
      <c r="AF672" t="s">
        <v>74</v>
      </c>
      <c r="AG672">
        <v>44</v>
      </c>
      <c r="AH672">
        <v>16</v>
      </c>
      <c r="AI672">
        <v>18</v>
      </c>
      <c r="AJ672">
        <v>0</v>
      </c>
      <c r="AK672">
        <v>12</v>
      </c>
      <c r="AL672" t="s">
        <v>2038</v>
      </c>
      <c r="AM672" t="s">
        <v>1730</v>
      </c>
      <c r="AN672" t="s">
        <v>2039</v>
      </c>
      <c r="AO672" t="s">
        <v>2636</v>
      </c>
      <c r="AP672" t="s">
        <v>74</v>
      </c>
      <c r="AQ672" t="s">
        <v>74</v>
      </c>
      <c r="AR672" t="s">
        <v>2637</v>
      </c>
      <c r="AS672" t="s">
        <v>2638</v>
      </c>
      <c r="AT672" t="s">
        <v>13303</v>
      </c>
      <c r="AU672">
        <v>2019</v>
      </c>
      <c r="AV672">
        <v>9</v>
      </c>
      <c r="AW672" t="s">
        <v>74</v>
      </c>
      <c r="AX672" t="s">
        <v>74</v>
      </c>
      <c r="AY672" t="s">
        <v>74</v>
      </c>
      <c r="AZ672" t="s">
        <v>74</v>
      </c>
      <c r="BA672" t="s">
        <v>74</v>
      </c>
      <c r="BB672" t="s">
        <v>74</v>
      </c>
      <c r="BC672" t="s">
        <v>74</v>
      </c>
      <c r="BD672">
        <v>14437</v>
      </c>
      <c r="BE672" t="s">
        <v>13337</v>
      </c>
      <c r="BF672" t="str">
        <f>HYPERLINK("http://dx.doi.org/10.1038/s41598-019-50939-x","http://dx.doi.org/10.1038/s41598-019-50939-x")</f>
        <v>http://dx.doi.org/10.1038/s41598-019-50939-x</v>
      </c>
      <c r="BG672" t="s">
        <v>74</v>
      </c>
      <c r="BH672" t="s">
        <v>74</v>
      </c>
      <c r="BI672">
        <v>7</v>
      </c>
      <c r="BJ672" t="s">
        <v>1245</v>
      </c>
      <c r="BK672" t="s">
        <v>294</v>
      </c>
      <c r="BL672" t="s">
        <v>1246</v>
      </c>
      <c r="BM672" t="s">
        <v>13338</v>
      </c>
      <c r="BN672">
        <v>31595040</v>
      </c>
      <c r="BO672" t="s">
        <v>693</v>
      </c>
      <c r="BP672" t="s">
        <v>74</v>
      </c>
      <c r="BQ672" t="s">
        <v>74</v>
      </c>
      <c r="BR672" t="s">
        <v>108</v>
      </c>
      <c r="BS672" t="s">
        <v>13339</v>
      </c>
      <c r="BT672" t="str">
        <f>HYPERLINK("https%3A%2F%2Fwww.webofscience.com%2Fwos%2Fwoscc%2Ffull-record%2FWOS:000489099500033","View Full Record in Web of Science")</f>
        <v>View Full Record in Web of Science</v>
      </c>
    </row>
    <row r="673" spans="1:72" x14ac:dyDescent="0.15">
      <c r="A673" t="s">
        <v>133</v>
      </c>
      <c r="B673" t="s">
        <v>13340</v>
      </c>
      <c r="C673" t="s">
        <v>74</v>
      </c>
      <c r="D673" t="s">
        <v>74</v>
      </c>
      <c r="E673" t="s">
        <v>74</v>
      </c>
      <c r="F673" t="s">
        <v>13341</v>
      </c>
      <c r="G673" t="s">
        <v>74</v>
      </c>
      <c r="H673" t="s">
        <v>74</v>
      </c>
      <c r="I673" t="s">
        <v>13342</v>
      </c>
      <c r="J673" t="s">
        <v>13343</v>
      </c>
      <c r="K673" t="s">
        <v>74</v>
      </c>
      <c r="L673" t="s">
        <v>74</v>
      </c>
      <c r="M673" t="s">
        <v>80</v>
      </c>
      <c r="N673" t="s">
        <v>138</v>
      </c>
      <c r="O673" t="s">
        <v>74</v>
      </c>
      <c r="P673" t="s">
        <v>74</v>
      </c>
      <c r="Q673" t="s">
        <v>74</v>
      </c>
      <c r="R673" t="s">
        <v>74</v>
      </c>
      <c r="S673" t="s">
        <v>74</v>
      </c>
      <c r="T673" t="s">
        <v>13344</v>
      </c>
      <c r="U673" t="s">
        <v>13345</v>
      </c>
      <c r="V673" t="s">
        <v>13346</v>
      </c>
      <c r="W673" t="s">
        <v>13347</v>
      </c>
      <c r="X673" t="s">
        <v>13348</v>
      </c>
      <c r="Y673" t="s">
        <v>13349</v>
      </c>
      <c r="Z673" t="s">
        <v>13350</v>
      </c>
      <c r="AA673" t="s">
        <v>13351</v>
      </c>
      <c r="AB673" t="s">
        <v>74</v>
      </c>
      <c r="AC673" t="s">
        <v>13352</v>
      </c>
      <c r="AD673" t="s">
        <v>13353</v>
      </c>
      <c r="AE673" t="s">
        <v>13354</v>
      </c>
      <c r="AF673" t="s">
        <v>74</v>
      </c>
      <c r="AG673">
        <v>36</v>
      </c>
      <c r="AH673">
        <v>13</v>
      </c>
      <c r="AI673">
        <v>14</v>
      </c>
      <c r="AJ673">
        <v>4</v>
      </c>
      <c r="AK673">
        <v>12</v>
      </c>
      <c r="AL673" t="s">
        <v>1650</v>
      </c>
      <c r="AM673" t="s">
        <v>1651</v>
      </c>
      <c r="AN673" t="s">
        <v>1652</v>
      </c>
      <c r="AO673" t="s">
        <v>13355</v>
      </c>
      <c r="AP673" t="s">
        <v>13356</v>
      </c>
      <c r="AQ673" t="s">
        <v>74</v>
      </c>
      <c r="AR673" t="s">
        <v>13357</v>
      </c>
      <c r="AS673" t="s">
        <v>13358</v>
      </c>
      <c r="AT673" t="s">
        <v>13359</v>
      </c>
      <c r="AU673">
        <v>2020</v>
      </c>
      <c r="AV673">
        <v>43</v>
      </c>
      <c r="AW673">
        <v>3</v>
      </c>
      <c r="AX673" t="s">
        <v>74</v>
      </c>
      <c r="AY673" t="s">
        <v>74</v>
      </c>
      <c r="AZ673" t="s">
        <v>555</v>
      </c>
      <c r="BA673" t="s">
        <v>74</v>
      </c>
      <c r="BB673">
        <v>213</v>
      </c>
      <c r="BC673">
        <v>233</v>
      </c>
      <c r="BD673" t="s">
        <v>74</v>
      </c>
      <c r="BE673" t="s">
        <v>13360</v>
      </c>
      <c r="BF673" t="str">
        <f>HYPERLINK("http://dx.doi.org/10.1080/01490419.2019.1671560","http://dx.doi.org/10.1080/01490419.2019.1671560")</f>
        <v>http://dx.doi.org/10.1080/01490419.2019.1671560</v>
      </c>
      <c r="BG673" t="s">
        <v>74</v>
      </c>
      <c r="BH673" t="s">
        <v>11767</v>
      </c>
      <c r="BI673">
        <v>21</v>
      </c>
      <c r="BJ673" t="s">
        <v>13361</v>
      </c>
      <c r="BK673" t="s">
        <v>294</v>
      </c>
      <c r="BL673" t="s">
        <v>13361</v>
      </c>
      <c r="BM673" t="s">
        <v>13362</v>
      </c>
      <c r="BN673" t="s">
        <v>74</v>
      </c>
      <c r="BO673" t="s">
        <v>74</v>
      </c>
      <c r="BP673" t="s">
        <v>74</v>
      </c>
      <c r="BQ673" t="s">
        <v>74</v>
      </c>
      <c r="BR673" t="s">
        <v>108</v>
      </c>
      <c r="BS673" t="s">
        <v>13363</v>
      </c>
      <c r="BT673" t="str">
        <f>HYPERLINK("https%3A%2F%2Fwww.webofscience.com%2Fwos%2Fwoscc%2Ffull-record%2FWOS:000494084400001","View Full Record in Web of Science")</f>
        <v>View Full Record in Web of Science</v>
      </c>
    </row>
    <row r="674" spans="1:72" x14ac:dyDescent="0.15">
      <c r="A674" t="s">
        <v>133</v>
      </c>
      <c r="B674" t="s">
        <v>13364</v>
      </c>
      <c r="C674" t="s">
        <v>74</v>
      </c>
      <c r="D674" t="s">
        <v>74</v>
      </c>
      <c r="E674" t="s">
        <v>74</v>
      </c>
      <c r="F674" t="s">
        <v>13365</v>
      </c>
      <c r="G674" t="s">
        <v>74</v>
      </c>
      <c r="H674" t="s">
        <v>74</v>
      </c>
      <c r="I674" t="s">
        <v>13366</v>
      </c>
      <c r="J674" t="s">
        <v>8945</v>
      </c>
      <c r="K674" t="s">
        <v>74</v>
      </c>
      <c r="L674" t="s">
        <v>74</v>
      </c>
      <c r="M674" t="s">
        <v>80</v>
      </c>
      <c r="N674" t="s">
        <v>138</v>
      </c>
      <c r="O674" t="s">
        <v>74</v>
      </c>
      <c r="P674" t="s">
        <v>74</v>
      </c>
      <c r="Q674" t="s">
        <v>74</v>
      </c>
      <c r="R674" t="s">
        <v>74</v>
      </c>
      <c r="S674" t="s">
        <v>74</v>
      </c>
      <c r="T674" t="s">
        <v>13367</v>
      </c>
      <c r="U674" t="s">
        <v>13368</v>
      </c>
      <c r="V674" t="s">
        <v>13369</v>
      </c>
      <c r="W674" t="s">
        <v>13370</v>
      </c>
      <c r="X674" t="s">
        <v>13371</v>
      </c>
      <c r="Y674" t="s">
        <v>13372</v>
      </c>
      <c r="Z674" t="s">
        <v>13373</v>
      </c>
      <c r="AA674" t="s">
        <v>13374</v>
      </c>
      <c r="AB674" t="s">
        <v>13375</v>
      </c>
      <c r="AC674" t="s">
        <v>74</v>
      </c>
      <c r="AD674" t="s">
        <v>74</v>
      </c>
      <c r="AE674" t="s">
        <v>74</v>
      </c>
      <c r="AF674" t="s">
        <v>74</v>
      </c>
      <c r="AG674">
        <v>104</v>
      </c>
      <c r="AH674">
        <v>12</v>
      </c>
      <c r="AI674">
        <v>12</v>
      </c>
      <c r="AJ674">
        <v>1</v>
      </c>
      <c r="AK674">
        <v>8</v>
      </c>
      <c r="AL674" t="s">
        <v>284</v>
      </c>
      <c r="AM674" t="s">
        <v>285</v>
      </c>
      <c r="AN674" t="s">
        <v>286</v>
      </c>
      <c r="AO674" t="s">
        <v>8958</v>
      </c>
      <c r="AP674" t="s">
        <v>8959</v>
      </c>
      <c r="AQ674" t="s">
        <v>74</v>
      </c>
      <c r="AR674" t="s">
        <v>8960</v>
      </c>
      <c r="AS674" t="s">
        <v>8961</v>
      </c>
      <c r="AT674" t="s">
        <v>13376</v>
      </c>
      <c r="AU674">
        <v>2019</v>
      </c>
      <c r="AV674">
        <v>524</v>
      </c>
      <c r="AW674" t="s">
        <v>74</v>
      </c>
      <c r="AX674" t="s">
        <v>74</v>
      </c>
      <c r="AY674" t="s">
        <v>74</v>
      </c>
      <c r="AZ674" t="s">
        <v>74</v>
      </c>
      <c r="BA674" t="s">
        <v>74</v>
      </c>
      <c r="BB674">
        <v>104</v>
      </c>
      <c r="BC674">
        <v>118</v>
      </c>
      <c r="BD674" t="s">
        <v>74</v>
      </c>
      <c r="BE674" t="s">
        <v>13377</v>
      </c>
      <c r="BF674" t="str">
        <f>HYPERLINK("http://dx.doi.org/10.1016/j.chemgeo.2019.06.020","http://dx.doi.org/10.1016/j.chemgeo.2019.06.020")</f>
        <v>http://dx.doi.org/10.1016/j.chemgeo.2019.06.020</v>
      </c>
      <c r="BG674" t="s">
        <v>74</v>
      </c>
      <c r="BH674" t="s">
        <v>74</v>
      </c>
      <c r="BI674">
        <v>15</v>
      </c>
      <c r="BJ674" t="s">
        <v>1067</v>
      </c>
      <c r="BK674" t="s">
        <v>294</v>
      </c>
      <c r="BL674" t="s">
        <v>1067</v>
      </c>
      <c r="BM674" t="s">
        <v>13378</v>
      </c>
      <c r="BN674" t="s">
        <v>74</v>
      </c>
      <c r="BO674" t="s">
        <v>74</v>
      </c>
      <c r="BP674" t="s">
        <v>74</v>
      </c>
      <c r="BQ674" t="s">
        <v>74</v>
      </c>
      <c r="BR674" t="s">
        <v>108</v>
      </c>
      <c r="BS674" t="s">
        <v>13379</v>
      </c>
      <c r="BT674" t="str">
        <f>HYPERLINK("https%3A%2F%2Fwww.webofscience.com%2Fwos%2Fwoscc%2Ffull-record%2FWOS:000493088300008","View Full Record in Web of Science")</f>
        <v>View Full Record in Web of Science</v>
      </c>
    </row>
    <row r="675" spans="1:72" x14ac:dyDescent="0.15">
      <c r="A675" t="s">
        <v>133</v>
      </c>
      <c r="B675" t="s">
        <v>13380</v>
      </c>
      <c r="C675" t="s">
        <v>74</v>
      </c>
      <c r="D675" t="s">
        <v>74</v>
      </c>
      <c r="E675" t="s">
        <v>74</v>
      </c>
      <c r="F675" t="s">
        <v>13381</v>
      </c>
      <c r="G675" t="s">
        <v>74</v>
      </c>
      <c r="H675" t="s">
        <v>74</v>
      </c>
      <c r="I675" t="s">
        <v>13382</v>
      </c>
      <c r="J675" t="s">
        <v>1199</v>
      </c>
      <c r="K675" t="s">
        <v>74</v>
      </c>
      <c r="L675" t="s">
        <v>74</v>
      </c>
      <c r="M675" t="s">
        <v>80</v>
      </c>
      <c r="N675" t="s">
        <v>138</v>
      </c>
      <c r="O675" t="s">
        <v>74</v>
      </c>
      <c r="P675" t="s">
        <v>74</v>
      </c>
      <c r="Q675" t="s">
        <v>74</v>
      </c>
      <c r="R675" t="s">
        <v>74</v>
      </c>
      <c r="S675" t="s">
        <v>74</v>
      </c>
      <c r="T675" t="s">
        <v>13383</v>
      </c>
      <c r="U675" t="s">
        <v>13384</v>
      </c>
      <c r="V675" t="s">
        <v>13385</v>
      </c>
      <c r="W675" t="s">
        <v>13386</v>
      </c>
      <c r="X675" t="s">
        <v>13387</v>
      </c>
      <c r="Y675" t="s">
        <v>13388</v>
      </c>
      <c r="Z675" t="s">
        <v>13389</v>
      </c>
      <c r="AA675" t="s">
        <v>13390</v>
      </c>
      <c r="AB675" t="s">
        <v>13391</v>
      </c>
      <c r="AC675" t="s">
        <v>13392</v>
      </c>
      <c r="AD675" t="s">
        <v>13392</v>
      </c>
      <c r="AE675" t="s">
        <v>13393</v>
      </c>
      <c r="AF675" t="s">
        <v>74</v>
      </c>
      <c r="AG675">
        <v>173</v>
      </c>
      <c r="AH675">
        <v>8</v>
      </c>
      <c r="AI675">
        <v>8</v>
      </c>
      <c r="AJ675">
        <v>1</v>
      </c>
      <c r="AK675">
        <v>12</v>
      </c>
      <c r="AL675" t="s">
        <v>1211</v>
      </c>
      <c r="AM675" t="s">
        <v>1212</v>
      </c>
      <c r="AN675" t="s">
        <v>1213</v>
      </c>
      <c r="AO675" t="s">
        <v>1214</v>
      </c>
      <c r="AP675" t="s">
        <v>1215</v>
      </c>
      <c r="AQ675" t="s">
        <v>74</v>
      </c>
      <c r="AR675" t="s">
        <v>1199</v>
      </c>
      <c r="AS675" t="s">
        <v>1216</v>
      </c>
      <c r="AT675" t="s">
        <v>13394</v>
      </c>
      <c r="AU675">
        <v>2019</v>
      </c>
      <c r="AV675">
        <v>4680</v>
      </c>
      <c r="AW675">
        <v>1</v>
      </c>
      <c r="AX675" t="s">
        <v>74</v>
      </c>
      <c r="AY675" t="s">
        <v>74</v>
      </c>
      <c r="AZ675" t="s">
        <v>74</v>
      </c>
      <c r="BA675" t="s">
        <v>74</v>
      </c>
      <c r="BB675">
        <v>1</v>
      </c>
      <c r="BC675">
        <v>81</v>
      </c>
      <c r="BD675" t="s">
        <v>74</v>
      </c>
      <c r="BE675" t="s">
        <v>13395</v>
      </c>
      <c r="BF675" t="str">
        <f>HYPERLINK("http://dx.doi.org/10.11646/zootaxa.4680.1.1","http://dx.doi.org/10.11646/zootaxa.4680.1.1")</f>
        <v>http://dx.doi.org/10.11646/zootaxa.4680.1.1</v>
      </c>
      <c r="BG675" t="s">
        <v>74</v>
      </c>
      <c r="BH675" t="s">
        <v>74</v>
      </c>
      <c r="BI675">
        <v>81</v>
      </c>
      <c r="BJ675" t="s">
        <v>1219</v>
      </c>
      <c r="BK675" t="s">
        <v>294</v>
      </c>
      <c r="BL675" t="s">
        <v>1219</v>
      </c>
      <c r="BM675" t="s">
        <v>13396</v>
      </c>
      <c r="BN675">
        <v>31715943</v>
      </c>
      <c r="BO675" t="s">
        <v>74</v>
      </c>
      <c r="BP675" t="s">
        <v>74</v>
      </c>
      <c r="BQ675" t="s">
        <v>74</v>
      </c>
      <c r="BR675" t="s">
        <v>108</v>
      </c>
      <c r="BS675" t="s">
        <v>13397</v>
      </c>
      <c r="BT675" t="str">
        <f>HYPERLINK("https%3A%2F%2Fwww.webofscience.com%2Fwos%2Fwoscc%2Ffull-record%2FWOS:000489602100001","View Full Record in Web of Science")</f>
        <v>View Full Record in Web of Science</v>
      </c>
    </row>
    <row r="676" spans="1:72" x14ac:dyDescent="0.15">
      <c r="A676" t="s">
        <v>133</v>
      </c>
      <c r="B676" t="s">
        <v>13398</v>
      </c>
      <c r="C676" t="s">
        <v>74</v>
      </c>
      <c r="D676" t="s">
        <v>74</v>
      </c>
      <c r="E676" t="s">
        <v>74</v>
      </c>
      <c r="F676" t="s">
        <v>13399</v>
      </c>
      <c r="G676" t="s">
        <v>74</v>
      </c>
      <c r="H676" t="s">
        <v>74</v>
      </c>
      <c r="I676" t="s">
        <v>13400</v>
      </c>
      <c r="J676" t="s">
        <v>13401</v>
      </c>
      <c r="K676" t="s">
        <v>74</v>
      </c>
      <c r="L676" t="s">
        <v>74</v>
      </c>
      <c r="M676" t="s">
        <v>80</v>
      </c>
      <c r="N676" t="s">
        <v>138</v>
      </c>
      <c r="O676" t="s">
        <v>74</v>
      </c>
      <c r="P676" t="s">
        <v>74</v>
      </c>
      <c r="Q676" t="s">
        <v>74</v>
      </c>
      <c r="R676" t="s">
        <v>74</v>
      </c>
      <c r="S676" t="s">
        <v>74</v>
      </c>
      <c r="T676" t="s">
        <v>13402</v>
      </c>
      <c r="U676" t="s">
        <v>13403</v>
      </c>
      <c r="V676" t="s">
        <v>13404</v>
      </c>
      <c r="W676" t="s">
        <v>13405</v>
      </c>
      <c r="X676" t="s">
        <v>74</v>
      </c>
      <c r="Y676" t="s">
        <v>13406</v>
      </c>
      <c r="Z676" t="s">
        <v>13407</v>
      </c>
      <c r="AA676" t="s">
        <v>13408</v>
      </c>
      <c r="AB676" t="s">
        <v>74</v>
      </c>
      <c r="AC676" t="s">
        <v>74</v>
      </c>
      <c r="AD676" t="s">
        <v>74</v>
      </c>
      <c r="AE676" t="s">
        <v>74</v>
      </c>
      <c r="AF676" t="s">
        <v>74</v>
      </c>
      <c r="AG676">
        <v>96</v>
      </c>
      <c r="AH676">
        <v>9</v>
      </c>
      <c r="AI676">
        <v>9</v>
      </c>
      <c r="AJ676">
        <v>0</v>
      </c>
      <c r="AK676">
        <v>3</v>
      </c>
      <c r="AL676" t="s">
        <v>13409</v>
      </c>
      <c r="AM676" t="s">
        <v>4487</v>
      </c>
      <c r="AN676" t="s">
        <v>13410</v>
      </c>
      <c r="AO676" t="s">
        <v>74</v>
      </c>
      <c r="AP676" t="s">
        <v>13411</v>
      </c>
      <c r="AQ676" t="s">
        <v>74</v>
      </c>
      <c r="AR676" t="s">
        <v>13412</v>
      </c>
      <c r="AS676" t="s">
        <v>13413</v>
      </c>
      <c r="AT676" t="s">
        <v>13394</v>
      </c>
      <c r="AU676">
        <v>2019</v>
      </c>
      <c r="AV676">
        <v>562</v>
      </c>
      <c r="AW676" t="s">
        <v>74</v>
      </c>
      <c r="AX676" t="s">
        <v>74</v>
      </c>
      <c r="AY676" t="s">
        <v>74</v>
      </c>
      <c r="AZ676" t="s">
        <v>74</v>
      </c>
      <c r="BA676" t="s">
        <v>74</v>
      </c>
      <c r="BB676">
        <v>1</v>
      </c>
      <c r="BC676">
        <v>70</v>
      </c>
      <c r="BD676" t="s">
        <v>74</v>
      </c>
      <c r="BE676" t="s">
        <v>13414</v>
      </c>
      <c r="BF676" t="str">
        <f>HYPERLINK("http://dx.doi.org/10.5852/ejt.2019.562","http://dx.doi.org/10.5852/ejt.2019.562")</f>
        <v>http://dx.doi.org/10.5852/ejt.2019.562</v>
      </c>
      <c r="BG676" t="s">
        <v>74</v>
      </c>
      <c r="BH676" t="s">
        <v>74</v>
      </c>
      <c r="BI676">
        <v>70</v>
      </c>
      <c r="BJ676" t="s">
        <v>13415</v>
      </c>
      <c r="BK676" t="s">
        <v>294</v>
      </c>
      <c r="BL676" t="s">
        <v>13415</v>
      </c>
      <c r="BM676" t="s">
        <v>13416</v>
      </c>
      <c r="BN676" t="s">
        <v>74</v>
      </c>
      <c r="BO676" t="s">
        <v>976</v>
      </c>
      <c r="BP676" t="s">
        <v>74</v>
      </c>
      <c r="BQ676" t="s">
        <v>74</v>
      </c>
      <c r="BR676" t="s">
        <v>108</v>
      </c>
      <c r="BS676" t="s">
        <v>13417</v>
      </c>
      <c r="BT676" t="str">
        <f>HYPERLINK("https%3A%2F%2Fwww.webofscience.com%2Fwos%2Fwoscc%2Ffull-record%2FWOS:000489623500001","View Full Record in Web of Science")</f>
        <v>View Full Record in Web of Science</v>
      </c>
    </row>
    <row r="677" spans="1:72" x14ac:dyDescent="0.15">
      <c r="A677" t="s">
        <v>133</v>
      </c>
      <c r="B677" t="s">
        <v>13418</v>
      </c>
      <c r="C677" t="s">
        <v>74</v>
      </c>
      <c r="D677" t="s">
        <v>74</v>
      </c>
      <c r="E677" t="s">
        <v>74</v>
      </c>
      <c r="F677" t="s">
        <v>13419</v>
      </c>
      <c r="G677" t="s">
        <v>74</v>
      </c>
      <c r="H677" t="s">
        <v>74</v>
      </c>
      <c r="I677" t="s">
        <v>13420</v>
      </c>
      <c r="J677" t="s">
        <v>2723</v>
      </c>
      <c r="K677" t="s">
        <v>74</v>
      </c>
      <c r="L677" t="s">
        <v>74</v>
      </c>
      <c r="M677" t="s">
        <v>80</v>
      </c>
      <c r="N677" t="s">
        <v>138</v>
      </c>
      <c r="O677" t="s">
        <v>74</v>
      </c>
      <c r="P677" t="s">
        <v>74</v>
      </c>
      <c r="Q677" t="s">
        <v>74</v>
      </c>
      <c r="R677" t="s">
        <v>74</v>
      </c>
      <c r="S677" t="s">
        <v>74</v>
      </c>
      <c r="T677" t="s">
        <v>13421</v>
      </c>
      <c r="U677" t="s">
        <v>13422</v>
      </c>
      <c r="V677" t="s">
        <v>13423</v>
      </c>
      <c r="W677" t="s">
        <v>13424</v>
      </c>
      <c r="X677" t="s">
        <v>13425</v>
      </c>
      <c r="Y677" t="s">
        <v>13426</v>
      </c>
      <c r="Z677" t="s">
        <v>13427</v>
      </c>
      <c r="AA677" t="s">
        <v>74</v>
      </c>
      <c r="AB677" t="s">
        <v>13428</v>
      </c>
      <c r="AC677" t="s">
        <v>13429</v>
      </c>
      <c r="AD677" t="s">
        <v>13430</v>
      </c>
      <c r="AE677" t="s">
        <v>13431</v>
      </c>
      <c r="AF677" t="s">
        <v>74</v>
      </c>
      <c r="AG677">
        <v>44</v>
      </c>
      <c r="AH677">
        <v>2</v>
      </c>
      <c r="AI677">
        <v>2</v>
      </c>
      <c r="AJ677">
        <v>0</v>
      </c>
      <c r="AK677">
        <v>5</v>
      </c>
      <c r="AL677" t="s">
        <v>2587</v>
      </c>
      <c r="AM677" t="s">
        <v>2588</v>
      </c>
      <c r="AN677" t="s">
        <v>2589</v>
      </c>
      <c r="AO677" t="s">
        <v>74</v>
      </c>
      <c r="AP677" t="s">
        <v>2734</v>
      </c>
      <c r="AQ677" t="s">
        <v>74</v>
      </c>
      <c r="AR677" t="s">
        <v>2735</v>
      </c>
      <c r="AS677" t="s">
        <v>2736</v>
      </c>
      <c r="AT677" t="s">
        <v>13394</v>
      </c>
      <c r="AU677">
        <v>2019</v>
      </c>
      <c r="AV677">
        <v>6</v>
      </c>
      <c r="AW677" t="s">
        <v>74</v>
      </c>
      <c r="AX677" t="s">
        <v>74</v>
      </c>
      <c r="AY677" t="s">
        <v>74</v>
      </c>
      <c r="AZ677" t="s">
        <v>74</v>
      </c>
      <c r="BA677" t="s">
        <v>74</v>
      </c>
      <c r="BB677" t="s">
        <v>74</v>
      </c>
      <c r="BC677" t="s">
        <v>74</v>
      </c>
      <c r="BD677">
        <v>589</v>
      </c>
      <c r="BE677" t="s">
        <v>13432</v>
      </c>
      <c r="BF677" t="str">
        <f>HYPERLINK("http://dx.doi.org/10.3389/fmars.2019.00589","http://dx.doi.org/10.3389/fmars.2019.00589")</f>
        <v>http://dx.doi.org/10.3389/fmars.2019.00589</v>
      </c>
      <c r="BG677" t="s">
        <v>74</v>
      </c>
      <c r="BH677" t="s">
        <v>74</v>
      </c>
      <c r="BI677">
        <v>14</v>
      </c>
      <c r="BJ677" t="s">
        <v>2738</v>
      </c>
      <c r="BK677" t="s">
        <v>294</v>
      </c>
      <c r="BL677" t="s">
        <v>2739</v>
      </c>
      <c r="BM677" t="s">
        <v>13433</v>
      </c>
      <c r="BN677" t="s">
        <v>74</v>
      </c>
      <c r="BO677" t="s">
        <v>107</v>
      </c>
      <c r="BP677" t="s">
        <v>74</v>
      </c>
      <c r="BQ677" t="s">
        <v>74</v>
      </c>
      <c r="BR677" t="s">
        <v>108</v>
      </c>
      <c r="BS677" t="s">
        <v>13434</v>
      </c>
      <c r="BT677" t="str">
        <f>HYPERLINK("https%3A%2F%2Fwww.webofscience.com%2Fwos%2Fwoscc%2Ffull-record%2FWOS:000488881900001","View Full Record in Web of Science")</f>
        <v>View Full Record in Web of Science</v>
      </c>
    </row>
    <row r="678" spans="1:72" x14ac:dyDescent="0.15">
      <c r="A678" t="s">
        <v>133</v>
      </c>
      <c r="B678" t="s">
        <v>13435</v>
      </c>
      <c r="C678" t="s">
        <v>74</v>
      </c>
      <c r="D678" t="s">
        <v>74</v>
      </c>
      <c r="E678" t="s">
        <v>74</v>
      </c>
      <c r="F678" t="s">
        <v>13436</v>
      </c>
      <c r="G678" t="s">
        <v>74</v>
      </c>
      <c r="H678" t="s">
        <v>74</v>
      </c>
      <c r="I678" t="s">
        <v>13437</v>
      </c>
      <c r="J678" t="s">
        <v>13438</v>
      </c>
      <c r="K678" t="s">
        <v>74</v>
      </c>
      <c r="L678" t="s">
        <v>74</v>
      </c>
      <c r="M678" t="s">
        <v>80</v>
      </c>
      <c r="N678" t="s">
        <v>1333</v>
      </c>
      <c r="O678" t="s">
        <v>74</v>
      </c>
      <c r="P678" t="s">
        <v>74</v>
      </c>
      <c r="Q678" t="s">
        <v>74</v>
      </c>
      <c r="R678" t="s">
        <v>74</v>
      </c>
      <c r="S678" t="s">
        <v>74</v>
      </c>
      <c r="T678" t="s">
        <v>13439</v>
      </c>
      <c r="U678" t="s">
        <v>13440</v>
      </c>
      <c r="V678" t="s">
        <v>13441</v>
      </c>
      <c r="W678" t="s">
        <v>13442</v>
      </c>
      <c r="X678" t="s">
        <v>13443</v>
      </c>
      <c r="Y678" t="s">
        <v>13444</v>
      </c>
      <c r="Z678" t="s">
        <v>13445</v>
      </c>
      <c r="AA678" t="s">
        <v>13446</v>
      </c>
      <c r="AB678" t="s">
        <v>13447</v>
      </c>
      <c r="AC678" t="s">
        <v>13448</v>
      </c>
      <c r="AD678" t="s">
        <v>13448</v>
      </c>
      <c r="AE678" t="s">
        <v>13449</v>
      </c>
      <c r="AF678" t="s">
        <v>74</v>
      </c>
      <c r="AG678">
        <v>126</v>
      </c>
      <c r="AH678">
        <v>18</v>
      </c>
      <c r="AI678">
        <v>24</v>
      </c>
      <c r="AJ678">
        <v>4</v>
      </c>
      <c r="AK678">
        <v>12</v>
      </c>
      <c r="AL678" t="s">
        <v>1862</v>
      </c>
      <c r="AM678" t="s">
        <v>1730</v>
      </c>
      <c r="AN678" t="s">
        <v>1863</v>
      </c>
      <c r="AO678" t="s">
        <v>74</v>
      </c>
      <c r="AP678" t="s">
        <v>13450</v>
      </c>
      <c r="AQ678" t="s">
        <v>74</v>
      </c>
      <c r="AR678" t="s">
        <v>13451</v>
      </c>
      <c r="AS678" t="s">
        <v>13452</v>
      </c>
      <c r="AT678" t="s">
        <v>13394</v>
      </c>
      <c r="AU678">
        <v>2019</v>
      </c>
      <c r="AV678">
        <v>7</v>
      </c>
      <c r="AW678">
        <v>1</v>
      </c>
      <c r="AX678" t="s">
        <v>74</v>
      </c>
      <c r="AY678" t="s">
        <v>74</v>
      </c>
      <c r="AZ678" t="s">
        <v>74</v>
      </c>
      <c r="BA678" t="s">
        <v>74</v>
      </c>
      <c r="BB678" t="s">
        <v>74</v>
      </c>
      <c r="BC678" t="s">
        <v>74</v>
      </c>
      <c r="BD678">
        <v>20</v>
      </c>
      <c r="BE678" t="s">
        <v>13453</v>
      </c>
      <c r="BF678" t="str">
        <f>HYPERLINK("http://dx.doi.org/10.1186/s40317-019-0182-6","http://dx.doi.org/10.1186/s40317-019-0182-6")</f>
        <v>http://dx.doi.org/10.1186/s40317-019-0182-6</v>
      </c>
      <c r="BG678" t="s">
        <v>74</v>
      </c>
      <c r="BH678" t="s">
        <v>74</v>
      </c>
      <c r="BI678">
        <v>17</v>
      </c>
      <c r="BJ678" t="s">
        <v>13454</v>
      </c>
      <c r="BK678" t="s">
        <v>294</v>
      </c>
      <c r="BL678" t="s">
        <v>13455</v>
      </c>
      <c r="BM678" t="s">
        <v>13456</v>
      </c>
      <c r="BN678" t="s">
        <v>74</v>
      </c>
      <c r="BO678" t="s">
        <v>1354</v>
      </c>
      <c r="BP678" t="s">
        <v>74</v>
      </c>
      <c r="BQ678" t="s">
        <v>74</v>
      </c>
      <c r="BR678" t="s">
        <v>108</v>
      </c>
      <c r="BS678" t="s">
        <v>13457</v>
      </c>
      <c r="BT678" t="str">
        <f>HYPERLINK("https%3A%2F%2Fwww.webofscience.com%2Fwos%2Fwoscc%2Ffull-record%2FWOS:000696384500001","View Full Record in Web of Science")</f>
        <v>View Full Record in Web of Science</v>
      </c>
    </row>
    <row r="679" spans="1:72" x14ac:dyDescent="0.15">
      <c r="A679" t="s">
        <v>133</v>
      </c>
      <c r="B679" t="s">
        <v>13458</v>
      </c>
      <c r="C679" t="s">
        <v>74</v>
      </c>
      <c r="D679" t="s">
        <v>74</v>
      </c>
      <c r="E679" t="s">
        <v>74</v>
      </c>
      <c r="F679" t="s">
        <v>13459</v>
      </c>
      <c r="G679" t="s">
        <v>74</v>
      </c>
      <c r="H679" t="s">
        <v>74</v>
      </c>
      <c r="I679" t="s">
        <v>13460</v>
      </c>
      <c r="J679" t="s">
        <v>8625</v>
      </c>
      <c r="K679" t="s">
        <v>74</v>
      </c>
      <c r="L679" t="s">
        <v>74</v>
      </c>
      <c r="M679" t="s">
        <v>80</v>
      </c>
      <c r="N679" t="s">
        <v>138</v>
      </c>
      <c r="O679" t="s">
        <v>74</v>
      </c>
      <c r="P679" t="s">
        <v>74</v>
      </c>
      <c r="Q679" t="s">
        <v>74</v>
      </c>
      <c r="R679" t="s">
        <v>74</v>
      </c>
      <c r="S679" t="s">
        <v>74</v>
      </c>
      <c r="T679" t="s">
        <v>74</v>
      </c>
      <c r="U679" t="s">
        <v>13461</v>
      </c>
      <c r="V679" t="s">
        <v>13462</v>
      </c>
      <c r="W679" t="s">
        <v>13463</v>
      </c>
      <c r="X679" t="s">
        <v>13464</v>
      </c>
      <c r="Y679" t="s">
        <v>13465</v>
      </c>
      <c r="Z679" t="s">
        <v>13466</v>
      </c>
      <c r="AA679" t="s">
        <v>13467</v>
      </c>
      <c r="AB679" t="s">
        <v>13468</v>
      </c>
      <c r="AC679" t="s">
        <v>13469</v>
      </c>
      <c r="AD679" t="s">
        <v>13470</v>
      </c>
      <c r="AE679" t="s">
        <v>13471</v>
      </c>
      <c r="AF679" t="s">
        <v>74</v>
      </c>
      <c r="AG679">
        <v>53</v>
      </c>
      <c r="AH679">
        <v>351</v>
      </c>
      <c r="AI679">
        <v>372</v>
      </c>
      <c r="AJ679">
        <v>28</v>
      </c>
      <c r="AK679">
        <v>212</v>
      </c>
      <c r="AL679" t="s">
        <v>2635</v>
      </c>
      <c r="AM679" t="s">
        <v>841</v>
      </c>
      <c r="AN679" t="s">
        <v>842</v>
      </c>
      <c r="AO679" t="s">
        <v>8631</v>
      </c>
      <c r="AP679" t="s">
        <v>8632</v>
      </c>
      <c r="AQ679" t="s">
        <v>74</v>
      </c>
      <c r="AR679" t="s">
        <v>8625</v>
      </c>
      <c r="AS679" t="s">
        <v>8633</v>
      </c>
      <c r="AT679" t="s">
        <v>3064</v>
      </c>
      <c r="AU679">
        <v>2019</v>
      </c>
      <c r="AV679">
        <v>574</v>
      </c>
      <c r="AW679">
        <v>7776</v>
      </c>
      <c r="AX679" t="s">
        <v>74</v>
      </c>
      <c r="AY679" t="s">
        <v>74</v>
      </c>
      <c r="AZ679" t="s">
        <v>74</v>
      </c>
      <c r="BA679" t="s">
        <v>74</v>
      </c>
      <c r="BB679">
        <v>95</v>
      </c>
      <c r="BC679" t="s">
        <v>847</v>
      </c>
      <c r="BD679" t="s">
        <v>74</v>
      </c>
      <c r="BE679" t="s">
        <v>13472</v>
      </c>
      <c r="BF679" t="str">
        <f>HYPERLINK("http://dx.doi.org/10.1038/s41586-019-1592-6","http://dx.doi.org/10.1038/s41586-019-1592-6")</f>
        <v>http://dx.doi.org/10.1038/s41586-019-1592-6</v>
      </c>
      <c r="BG679" t="s">
        <v>74</v>
      </c>
      <c r="BH679" t="s">
        <v>74</v>
      </c>
      <c r="BI679">
        <v>17</v>
      </c>
      <c r="BJ679" t="s">
        <v>1245</v>
      </c>
      <c r="BK679" t="s">
        <v>294</v>
      </c>
      <c r="BL679" t="s">
        <v>1246</v>
      </c>
      <c r="BM679" t="s">
        <v>13473</v>
      </c>
      <c r="BN679">
        <v>31554969</v>
      </c>
      <c r="BO679" t="s">
        <v>638</v>
      </c>
      <c r="BP679" t="s">
        <v>560</v>
      </c>
      <c r="BQ679" t="s">
        <v>561</v>
      </c>
      <c r="BR679" t="s">
        <v>108</v>
      </c>
      <c r="BS679" t="s">
        <v>13474</v>
      </c>
      <c r="BT679" t="str">
        <f>HYPERLINK("https%3A%2F%2Fwww.webofscience.com%2Fwos%2Fwoscc%2Ffull-record%2FWOS:000488832500037","View Full Record in Web of Science")</f>
        <v>View Full Record in Web of Science</v>
      </c>
    </row>
    <row r="680" spans="1:72" x14ac:dyDescent="0.15">
      <c r="A680" t="s">
        <v>133</v>
      </c>
      <c r="B680" t="s">
        <v>13475</v>
      </c>
      <c r="C680" t="s">
        <v>74</v>
      </c>
      <c r="D680" t="s">
        <v>74</v>
      </c>
      <c r="E680" t="s">
        <v>74</v>
      </c>
      <c r="F680" t="s">
        <v>13476</v>
      </c>
      <c r="G680" t="s">
        <v>74</v>
      </c>
      <c r="H680" t="s">
        <v>74</v>
      </c>
      <c r="I680" t="s">
        <v>13477</v>
      </c>
      <c r="J680" t="s">
        <v>2242</v>
      </c>
      <c r="K680" t="s">
        <v>74</v>
      </c>
      <c r="L680" t="s">
        <v>74</v>
      </c>
      <c r="M680" t="s">
        <v>80</v>
      </c>
      <c r="N680" t="s">
        <v>138</v>
      </c>
      <c r="O680" t="s">
        <v>74</v>
      </c>
      <c r="P680" t="s">
        <v>74</v>
      </c>
      <c r="Q680" t="s">
        <v>74</v>
      </c>
      <c r="R680" t="s">
        <v>74</v>
      </c>
      <c r="S680" t="s">
        <v>74</v>
      </c>
      <c r="T680" t="s">
        <v>74</v>
      </c>
      <c r="U680" t="s">
        <v>13478</v>
      </c>
      <c r="V680" t="s">
        <v>13479</v>
      </c>
      <c r="W680" t="s">
        <v>13480</v>
      </c>
      <c r="X680" t="s">
        <v>13481</v>
      </c>
      <c r="Y680" t="s">
        <v>13482</v>
      </c>
      <c r="Z680" t="s">
        <v>13483</v>
      </c>
      <c r="AA680" t="s">
        <v>74</v>
      </c>
      <c r="AB680" t="s">
        <v>13484</v>
      </c>
      <c r="AC680" t="s">
        <v>13485</v>
      </c>
      <c r="AD680" t="s">
        <v>13486</v>
      </c>
      <c r="AE680" t="s">
        <v>13487</v>
      </c>
      <c r="AF680" t="s">
        <v>74</v>
      </c>
      <c r="AG680">
        <v>120</v>
      </c>
      <c r="AH680">
        <v>14</v>
      </c>
      <c r="AI680">
        <v>14</v>
      </c>
      <c r="AJ680">
        <v>2</v>
      </c>
      <c r="AK680">
        <v>22</v>
      </c>
      <c r="AL680" t="s">
        <v>2099</v>
      </c>
      <c r="AM680" t="s">
        <v>2100</v>
      </c>
      <c r="AN680" t="s">
        <v>2101</v>
      </c>
      <c r="AO680" t="s">
        <v>2254</v>
      </c>
      <c r="AP680" t="s">
        <v>2255</v>
      </c>
      <c r="AQ680" t="s">
        <v>74</v>
      </c>
      <c r="AR680" t="s">
        <v>2256</v>
      </c>
      <c r="AS680" t="s">
        <v>2257</v>
      </c>
      <c r="AT680" t="s">
        <v>13488</v>
      </c>
      <c r="AU680">
        <v>2019</v>
      </c>
      <c r="AV680">
        <v>19</v>
      </c>
      <c r="AW680">
        <v>19</v>
      </c>
      <c r="AX680" t="s">
        <v>74</v>
      </c>
      <c r="AY680" t="s">
        <v>74</v>
      </c>
      <c r="AZ680" t="s">
        <v>74</v>
      </c>
      <c r="BA680" t="s">
        <v>74</v>
      </c>
      <c r="BB680">
        <v>12235</v>
      </c>
      <c r="BC680">
        <v>12260</v>
      </c>
      <c r="BD680" t="s">
        <v>74</v>
      </c>
      <c r="BE680" t="s">
        <v>13489</v>
      </c>
      <c r="BF680" t="str">
        <f>HYPERLINK("http://dx.doi.org/10.5194/acp-19-12235-2019","http://dx.doi.org/10.5194/acp-19-12235-2019")</f>
        <v>http://dx.doi.org/10.5194/acp-19-12235-2019</v>
      </c>
      <c r="BG680" t="s">
        <v>74</v>
      </c>
      <c r="BH680" t="s">
        <v>74</v>
      </c>
      <c r="BI680">
        <v>26</v>
      </c>
      <c r="BJ680" t="s">
        <v>103</v>
      </c>
      <c r="BK680" t="s">
        <v>294</v>
      </c>
      <c r="BL680" t="s">
        <v>105</v>
      </c>
      <c r="BM680" t="s">
        <v>13490</v>
      </c>
      <c r="BN680" t="s">
        <v>74</v>
      </c>
      <c r="BO680" t="s">
        <v>1276</v>
      </c>
      <c r="BP680" t="s">
        <v>74</v>
      </c>
      <c r="BQ680" t="s">
        <v>74</v>
      </c>
      <c r="BR680" t="s">
        <v>108</v>
      </c>
      <c r="BS680" t="s">
        <v>13491</v>
      </c>
      <c r="BT680" t="str">
        <f>HYPERLINK("https%3A%2F%2Fwww.webofscience.com%2Fwos%2Fwoscc%2Ffull-record%2FWOS:000488979300004","View Full Record in Web of Science")</f>
        <v>View Full Record in Web of Science</v>
      </c>
    </row>
    <row r="681" spans="1:72" x14ac:dyDescent="0.15">
      <c r="A681" t="s">
        <v>133</v>
      </c>
      <c r="B681" t="s">
        <v>13492</v>
      </c>
      <c r="C681" t="s">
        <v>74</v>
      </c>
      <c r="D681" t="s">
        <v>74</v>
      </c>
      <c r="E681" t="s">
        <v>74</v>
      </c>
      <c r="F681" t="s">
        <v>13493</v>
      </c>
      <c r="G681" t="s">
        <v>74</v>
      </c>
      <c r="H681" t="s">
        <v>74</v>
      </c>
      <c r="I681" t="s">
        <v>13494</v>
      </c>
      <c r="J681" t="s">
        <v>2088</v>
      </c>
      <c r="K681" t="s">
        <v>74</v>
      </c>
      <c r="L681" t="s">
        <v>74</v>
      </c>
      <c r="M681" t="s">
        <v>80</v>
      </c>
      <c r="N681" t="s">
        <v>138</v>
      </c>
      <c r="O681" t="s">
        <v>74</v>
      </c>
      <c r="P681" t="s">
        <v>74</v>
      </c>
      <c r="Q681" t="s">
        <v>74</v>
      </c>
      <c r="R681" t="s">
        <v>74</v>
      </c>
      <c r="S681" t="s">
        <v>74</v>
      </c>
      <c r="T681" t="s">
        <v>74</v>
      </c>
      <c r="U681" t="s">
        <v>13495</v>
      </c>
      <c r="V681" t="s">
        <v>13496</v>
      </c>
      <c r="W681" t="s">
        <v>13497</v>
      </c>
      <c r="X681" t="s">
        <v>13498</v>
      </c>
      <c r="Y681" t="s">
        <v>13499</v>
      </c>
      <c r="Z681" t="s">
        <v>13500</v>
      </c>
      <c r="AA681" t="s">
        <v>13501</v>
      </c>
      <c r="AB681" t="s">
        <v>13502</v>
      </c>
      <c r="AC681" t="s">
        <v>13503</v>
      </c>
      <c r="AD681" t="s">
        <v>13504</v>
      </c>
      <c r="AE681" t="s">
        <v>13505</v>
      </c>
      <c r="AF681" t="s">
        <v>74</v>
      </c>
      <c r="AG681">
        <v>94</v>
      </c>
      <c r="AH681">
        <v>17</v>
      </c>
      <c r="AI681">
        <v>17</v>
      </c>
      <c r="AJ681">
        <v>0</v>
      </c>
      <c r="AK681">
        <v>7</v>
      </c>
      <c r="AL681" t="s">
        <v>2099</v>
      </c>
      <c r="AM681" t="s">
        <v>2100</v>
      </c>
      <c r="AN681" t="s">
        <v>2101</v>
      </c>
      <c r="AO681" t="s">
        <v>2102</v>
      </c>
      <c r="AP681" t="s">
        <v>2103</v>
      </c>
      <c r="AQ681" t="s">
        <v>74</v>
      </c>
      <c r="AR681" t="s">
        <v>2088</v>
      </c>
      <c r="AS681" t="s">
        <v>2104</v>
      </c>
      <c r="AT681" t="s">
        <v>13488</v>
      </c>
      <c r="AU681">
        <v>2019</v>
      </c>
      <c r="AV681">
        <v>13</v>
      </c>
      <c r="AW681">
        <v>10</v>
      </c>
      <c r="AX681" t="s">
        <v>74</v>
      </c>
      <c r="AY681" t="s">
        <v>74</v>
      </c>
      <c r="AZ681" t="s">
        <v>74</v>
      </c>
      <c r="BA681" t="s">
        <v>74</v>
      </c>
      <c r="BB681">
        <v>2579</v>
      </c>
      <c r="BC681">
        <v>2595</v>
      </c>
      <c r="BD681" t="s">
        <v>74</v>
      </c>
      <c r="BE681" t="s">
        <v>13506</v>
      </c>
      <c r="BF681" t="str">
        <f>HYPERLINK("http://dx.doi.org/10.5194/tc-13-2579-2019","http://dx.doi.org/10.5194/tc-13-2579-2019")</f>
        <v>http://dx.doi.org/10.5194/tc-13-2579-2019</v>
      </c>
      <c r="BG681" t="s">
        <v>74</v>
      </c>
      <c r="BH681" t="s">
        <v>74</v>
      </c>
      <c r="BI681">
        <v>17</v>
      </c>
      <c r="BJ681" t="s">
        <v>462</v>
      </c>
      <c r="BK681" t="s">
        <v>294</v>
      </c>
      <c r="BL681" t="s">
        <v>463</v>
      </c>
      <c r="BM681" t="s">
        <v>13507</v>
      </c>
      <c r="BN681" t="s">
        <v>74</v>
      </c>
      <c r="BO681" t="s">
        <v>361</v>
      </c>
      <c r="BP681" t="s">
        <v>74</v>
      </c>
      <c r="BQ681" t="s">
        <v>74</v>
      </c>
      <c r="BR681" t="s">
        <v>108</v>
      </c>
      <c r="BS681" t="s">
        <v>13508</v>
      </c>
      <c r="BT681" t="str">
        <f>HYPERLINK("https%3A%2F%2Fwww.webofscience.com%2Fwos%2Fwoscc%2Ffull-record%2FWOS:000488980600001","View Full Record in Web of Science")</f>
        <v>View Full Record in Web of Science</v>
      </c>
    </row>
    <row r="682" spans="1:72" x14ac:dyDescent="0.15">
      <c r="A682" t="s">
        <v>133</v>
      </c>
      <c r="B682" t="s">
        <v>13509</v>
      </c>
      <c r="C682" t="s">
        <v>74</v>
      </c>
      <c r="D682" t="s">
        <v>74</v>
      </c>
      <c r="E682" t="s">
        <v>74</v>
      </c>
      <c r="F682" t="s">
        <v>13510</v>
      </c>
      <c r="G682" t="s">
        <v>74</v>
      </c>
      <c r="H682" t="s">
        <v>74</v>
      </c>
      <c r="I682" t="s">
        <v>13511</v>
      </c>
      <c r="J682" t="s">
        <v>2723</v>
      </c>
      <c r="K682" t="s">
        <v>74</v>
      </c>
      <c r="L682" t="s">
        <v>74</v>
      </c>
      <c r="M682" t="s">
        <v>80</v>
      </c>
      <c r="N682" t="s">
        <v>138</v>
      </c>
      <c r="O682" t="s">
        <v>74</v>
      </c>
      <c r="P682" t="s">
        <v>74</v>
      </c>
      <c r="Q682" t="s">
        <v>74</v>
      </c>
      <c r="R682" t="s">
        <v>74</v>
      </c>
      <c r="S682" t="s">
        <v>74</v>
      </c>
      <c r="T682" t="s">
        <v>13512</v>
      </c>
      <c r="U682" t="s">
        <v>13513</v>
      </c>
      <c r="V682" t="s">
        <v>13514</v>
      </c>
      <c r="W682" t="s">
        <v>13515</v>
      </c>
      <c r="X682" t="s">
        <v>13516</v>
      </c>
      <c r="Y682" t="s">
        <v>13517</v>
      </c>
      <c r="Z682" t="s">
        <v>13518</v>
      </c>
      <c r="AA682" t="s">
        <v>13519</v>
      </c>
      <c r="AB682" t="s">
        <v>13520</v>
      </c>
      <c r="AC682" t="s">
        <v>13521</v>
      </c>
      <c r="AD682" t="s">
        <v>13522</v>
      </c>
      <c r="AE682" t="s">
        <v>13523</v>
      </c>
      <c r="AF682" t="s">
        <v>74</v>
      </c>
      <c r="AG682">
        <v>47</v>
      </c>
      <c r="AH682">
        <v>9</v>
      </c>
      <c r="AI682">
        <v>11</v>
      </c>
      <c r="AJ682">
        <v>5</v>
      </c>
      <c r="AK682">
        <v>38</v>
      </c>
      <c r="AL682" t="s">
        <v>2587</v>
      </c>
      <c r="AM682" t="s">
        <v>2588</v>
      </c>
      <c r="AN682" t="s">
        <v>2589</v>
      </c>
      <c r="AO682" t="s">
        <v>74</v>
      </c>
      <c r="AP682" t="s">
        <v>2734</v>
      </c>
      <c r="AQ682" t="s">
        <v>74</v>
      </c>
      <c r="AR682" t="s">
        <v>2735</v>
      </c>
      <c r="AS682" t="s">
        <v>2736</v>
      </c>
      <c r="AT682" t="s">
        <v>13488</v>
      </c>
      <c r="AU682">
        <v>2019</v>
      </c>
      <c r="AV682">
        <v>6</v>
      </c>
      <c r="AW682" t="s">
        <v>74</v>
      </c>
      <c r="AX682" t="s">
        <v>74</v>
      </c>
      <c r="AY682" t="s">
        <v>74</v>
      </c>
      <c r="AZ682" t="s">
        <v>74</v>
      </c>
      <c r="BA682" t="s">
        <v>74</v>
      </c>
      <c r="BB682" t="s">
        <v>74</v>
      </c>
      <c r="BC682" t="s">
        <v>74</v>
      </c>
      <c r="BD682">
        <v>616</v>
      </c>
      <c r="BE682" t="s">
        <v>13524</v>
      </c>
      <c r="BF682" t="str">
        <f>HYPERLINK("http://dx.doi.org/10.3389/fmars.2019.00616","http://dx.doi.org/10.3389/fmars.2019.00616")</f>
        <v>http://dx.doi.org/10.3389/fmars.2019.00616</v>
      </c>
      <c r="BG682" t="s">
        <v>74</v>
      </c>
      <c r="BH682" t="s">
        <v>74</v>
      </c>
      <c r="BI682">
        <v>17</v>
      </c>
      <c r="BJ682" t="s">
        <v>2738</v>
      </c>
      <c r="BK682" t="s">
        <v>294</v>
      </c>
      <c r="BL682" t="s">
        <v>2739</v>
      </c>
      <c r="BM682" t="s">
        <v>13525</v>
      </c>
      <c r="BN682" t="s">
        <v>74</v>
      </c>
      <c r="BO682" t="s">
        <v>12534</v>
      </c>
      <c r="BP682" t="s">
        <v>74</v>
      </c>
      <c r="BQ682" t="s">
        <v>74</v>
      </c>
      <c r="BR682" t="s">
        <v>108</v>
      </c>
      <c r="BS682" t="s">
        <v>13526</v>
      </c>
      <c r="BT682" t="str">
        <f>HYPERLINK("https%3A%2F%2Fwww.webofscience.com%2Fwos%2Fwoscc%2Ffull-record%2FWOS:000488549400001","View Full Record in Web of Science")</f>
        <v>View Full Record in Web of Science</v>
      </c>
    </row>
    <row r="683" spans="1:72" x14ac:dyDescent="0.15">
      <c r="A683" t="s">
        <v>133</v>
      </c>
      <c r="B683" t="s">
        <v>13527</v>
      </c>
      <c r="C683" t="s">
        <v>74</v>
      </c>
      <c r="D683" t="s">
        <v>74</v>
      </c>
      <c r="E683" t="s">
        <v>74</v>
      </c>
      <c r="F683" t="s">
        <v>13528</v>
      </c>
      <c r="G683" t="s">
        <v>74</v>
      </c>
      <c r="H683" t="s">
        <v>74</v>
      </c>
      <c r="I683" t="s">
        <v>13529</v>
      </c>
      <c r="J683" t="s">
        <v>2723</v>
      </c>
      <c r="K683" t="s">
        <v>74</v>
      </c>
      <c r="L683" t="s">
        <v>74</v>
      </c>
      <c r="M683" t="s">
        <v>80</v>
      </c>
      <c r="N683" t="s">
        <v>930</v>
      </c>
      <c r="O683" t="s">
        <v>74</v>
      </c>
      <c r="P683" t="s">
        <v>74</v>
      </c>
      <c r="Q683" t="s">
        <v>74</v>
      </c>
      <c r="R683" t="s">
        <v>74</v>
      </c>
      <c r="S683" t="s">
        <v>74</v>
      </c>
      <c r="T683" t="s">
        <v>13530</v>
      </c>
      <c r="U683" t="s">
        <v>13531</v>
      </c>
      <c r="V683" t="s">
        <v>13532</v>
      </c>
      <c r="W683" t="s">
        <v>13533</v>
      </c>
      <c r="X683" t="s">
        <v>13534</v>
      </c>
      <c r="Y683" t="s">
        <v>13535</v>
      </c>
      <c r="Z683" t="s">
        <v>13536</v>
      </c>
      <c r="AA683" t="s">
        <v>13537</v>
      </c>
      <c r="AB683" t="s">
        <v>13538</v>
      </c>
      <c r="AC683" t="s">
        <v>13539</v>
      </c>
      <c r="AD683" t="s">
        <v>13540</v>
      </c>
      <c r="AE683" t="s">
        <v>13541</v>
      </c>
      <c r="AF683" t="s">
        <v>74</v>
      </c>
      <c r="AG683">
        <v>307</v>
      </c>
      <c r="AH683">
        <v>84</v>
      </c>
      <c r="AI683">
        <v>88</v>
      </c>
      <c r="AJ683">
        <v>3</v>
      </c>
      <c r="AK683">
        <v>52</v>
      </c>
      <c r="AL683" t="s">
        <v>2587</v>
      </c>
      <c r="AM683" t="s">
        <v>2588</v>
      </c>
      <c r="AN683" t="s">
        <v>2589</v>
      </c>
      <c r="AO683" t="s">
        <v>74</v>
      </c>
      <c r="AP683" t="s">
        <v>2734</v>
      </c>
      <c r="AQ683" t="s">
        <v>74</v>
      </c>
      <c r="AR683" t="s">
        <v>2735</v>
      </c>
      <c r="AS683" t="s">
        <v>2736</v>
      </c>
      <c r="AT683" t="s">
        <v>13488</v>
      </c>
      <c r="AU683">
        <v>2019</v>
      </c>
      <c r="AV683">
        <v>6</v>
      </c>
      <c r="AW683" t="s">
        <v>74</v>
      </c>
      <c r="AX683" t="s">
        <v>74</v>
      </c>
      <c r="AY683" t="s">
        <v>74</v>
      </c>
      <c r="AZ683" t="s">
        <v>74</v>
      </c>
      <c r="BA683" t="s">
        <v>74</v>
      </c>
      <c r="BB683" t="s">
        <v>74</v>
      </c>
      <c r="BC683" t="s">
        <v>74</v>
      </c>
      <c r="BD683">
        <v>422</v>
      </c>
      <c r="BE683" t="s">
        <v>13542</v>
      </c>
      <c r="BF683" t="str">
        <f>HYPERLINK("http://dx.doi.org/10.3389/fmars.2019.00422","http://dx.doi.org/10.3389/fmars.2019.00422")</f>
        <v>http://dx.doi.org/10.3389/fmars.2019.00422</v>
      </c>
      <c r="BG683" t="s">
        <v>74</v>
      </c>
      <c r="BH683" t="s">
        <v>74</v>
      </c>
      <c r="BI683">
        <v>32</v>
      </c>
      <c r="BJ683" t="s">
        <v>2738</v>
      </c>
      <c r="BK683" t="s">
        <v>294</v>
      </c>
      <c r="BL683" t="s">
        <v>2739</v>
      </c>
      <c r="BM683" t="s">
        <v>13543</v>
      </c>
      <c r="BN683" t="s">
        <v>74</v>
      </c>
      <c r="BO683" t="s">
        <v>13544</v>
      </c>
      <c r="BP683" t="s">
        <v>74</v>
      </c>
      <c r="BQ683" t="s">
        <v>74</v>
      </c>
      <c r="BR683" t="s">
        <v>108</v>
      </c>
      <c r="BS683" t="s">
        <v>13545</v>
      </c>
      <c r="BT683" t="str">
        <f>HYPERLINK("https%3A%2F%2Fwww.webofscience.com%2Fwos%2Fwoscc%2Ffull-record%2FWOS:000488546400001","View Full Record in Web of Science")</f>
        <v>View Full Record in Web of Science</v>
      </c>
    </row>
    <row r="684" spans="1:72" x14ac:dyDescent="0.15">
      <c r="A684" t="s">
        <v>133</v>
      </c>
      <c r="B684" t="s">
        <v>13546</v>
      </c>
      <c r="C684" t="s">
        <v>74</v>
      </c>
      <c r="D684" t="s">
        <v>74</v>
      </c>
      <c r="E684" t="s">
        <v>74</v>
      </c>
      <c r="F684" t="s">
        <v>13547</v>
      </c>
      <c r="G684" t="s">
        <v>74</v>
      </c>
      <c r="H684" t="s">
        <v>74</v>
      </c>
      <c r="I684" t="s">
        <v>13548</v>
      </c>
      <c r="J684" t="s">
        <v>2623</v>
      </c>
      <c r="K684" t="s">
        <v>74</v>
      </c>
      <c r="L684" t="s">
        <v>74</v>
      </c>
      <c r="M684" t="s">
        <v>80</v>
      </c>
      <c r="N684" t="s">
        <v>138</v>
      </c>
      <c r="O684" t="s">
        <v>74</v>
      </c>
      <c r="P684" t="s">
        <v>74</v>
      </c>
      <c r="Q684" t="s">
        <v>74</v>
      </c>
      <c r="R684" t="s">
        <v>74</v>
      </c>
      <c r="S684" t="s">
        <v>74</v>
      </c>
      <c r="T684" t="s">
        <v>74</v>
      </c>
      <c r="U684" t="s">
        <v>13549</v>
      </c>
      <c r="V684" t="s">
        <v>13550</v>
      </c>
      <c r="W684" t="s">
        <v>13551</v>
      </c>
      <c r="X684" t="s">
        <v>13552</v>
      </c>
      <c r="Y684" t="s">
        <v>13553</v>
      </c>
      <c r="Z684" t="s">
        <v>13554</v>
      </c>
      <c r="AA684" t="s">
        <v>13555</v>
      </c>
      <c r="AB684" t="s">
        <v>13556</v>
      </c>
      <c r="AC684" t="s">
        <v>13557</v>
      </c>
      <c r="AD684" t="s">
        <v>13558</v>
      </c>
      <c r="AE684" t="s">
        <v>13559</v>
      </c>
      <c r="AF684" t="s">
        <v>74</v>
      </c>
      <c r="AG684">
        <v>54</v>
      </c>
      <c r="AH684">
        <v>129</v>
      </c>
      <c r="AI684">
        <v>145</v>
      </c>
      <c r="AJ684">
        <v>21</v>
      </c>
      <c r="AK684">
        <v>166</v>
      </c>
      <c r="AL684" t="s">
        <v>2038</v>
      </c>
      <c r="AM684" t="s">
        <v>1730</v>
      </c>
      <c r="AN684" t="s">
        <v>2039</v>
      </c>
      <c r="AO684" t="s">
        <v>2636</v>
      </c>
      <c r="AP684" t="s">
        <v>74</v>
      </c>
      <c r="AQ684" t="s">
        <v>74</v>
      </c>
      <c r="AR684" t="s">
        <v>2637</v>
      </c>
      <c r="AS684" t="s">
        <v>2638</v>
      </c>
      <c r="AT684" t="s">
        <v>13488</v>
      </c>
      <c r="AU684">
        <v>2019</v>
      </c>
      <c r="AV684">
        <v>9</v>
      </c>
      <c r="AW684" t="s">
        <v>74</v>
      </c>
      <c r="AX684" t="s">
        <v>74</v>
      </c>
      <c r="AY684" t="s">
        <v>74</v>
      </c>
      <c r="AZ684" t="s">
        <v>74</v>
      </c>
      <c r="BA684" t="s">
        <v>74</v>
      </c>
      <c r="BB684" t="s">
        <v>74</v>
      </c>
      <c r="BC684" t="s">
        <v>74</v>
      </c>
      <c r="BD684">
        <v>14191</v>
      </c>
      <c r="BE684" t="s">
        <v>13560</v>
      </c>
      <c r="BF684" t="str">
        <f>HYPERLINK("http://dx.doi.org/10.1038/s41598-019-50621-2","http://dx.doi.org/10.1038/s41598-019-50621-2")</f>
        <v>http://dx.doi.org/10.1038/s41598-019-50621-2</v>
      </c>
      <c r="BG684" t="s">
        <v>74</v>
      </c>
      <c r="BH684" t="s">
        <v>74</v>
      </c>
      <c r="BI684">
        <v>7</v>
      </c>
      <c r="BJ684" t="s">
        <v>1245</v>
      </c>
      <c r="BK684" t="s">
        <v>294</v>
      </c>
      <c r="BL684" t="s">
        <v>1246</v>
      </c>
      <c r="BM684" t="s">
        <v>13561</v>
      </c>
      <c r="BN684">
        <v>31578393</v>
      </c>
      <c r="BO684" t="s">
        <v>1354</v>
      </c>
      <c r="BP684" t="s">
        <v>74</v>
      </c>
      <c r="BQ684" t="s">
        <v>74</v>
      </c>
      <c r="BR684" t="s">
        <v>108</v>
      </c>
      <c r="BS684" t="s">
        <v>13562</v>
      </c>
      <c r="BT684" t="str">
        <f>HYPERLINK("https%3A%2F%2Fwww.webofscience.com%2Fwos%2Fwoscc%2Ffull-record%2FWOS:000488481500054","View Full Record in Web of Science")</f>
        <v>View Full Record in Web of Science</v>
      </c>
    </row>
    <row r="685" spans="1:72" x14ac:dyDescent="0.15">
      <c r="A685" t="s">
        <v>133</v>
      </c>
      <c r="B685" t="s">
        <v>13563</v>
      </c>
      <c r="C685" t="s">
        <v>74</v>
      </c>
      <c r="D685" t="s">
        <v>74</v>
      </c>
      <c r="E685" t="s">
        <v>74</v>
      </c>
      <c r="F685" t="s">
        <v>13564</v>
      </c>
      <c r="G685" t="s">
        <v>74</v>
      </c>
      <c r="H685" t="s">
        <v>74</v>
      </c>
      <c r="I685" t="s">
        <v>13565</v>
      </c>
      <c r="J685" t="s">
        <v>9564</v>
      </c>
      <c r="K685" t="s">
        <v>74</v>
      </c>
      <c r="L685" t="s">
        <v>74</v>
      </c>
      <c r="M685" t="s">
        <v>80</v>
      </c>
      <c r="N685" t="s">
        <v>138</v>
      </c>
      <c r="O685" t="s">
        <v>74</v>
      </c>
      <c r="P685" t="s">
        <v>74</v>
      </c>
      <c r="Q685" t="s">
        <v>74</v>
      </c>
      <c r="R685" t="s">
        <v>74</v>
      </c>
      <c r="S685" t="s">
        <v>74</v>
      </c>
      <c r="T685" t="s">
        <v>13566</v>
      </c>
      <c r="U685" t="s">
        <v>13567</v>
      </c>
      <c r="V685" t="s">
        <v>13568</v>
      </c>
      <c r="W685" t="s">
        <v>13569</v>
      </c>
      <c r="X685" t="s">
        <v>13570</v>
      </c>
      <c r="Y685" t="s">
        <v>13571</v>
      </c>
      <c r="Z685" t="s">
        <v>13572</v>
      </c>
      <c r="AA685" t="s">
        <v>13573</v>
      </c>
      <c r="AB685" t="s">
        <v>13574</v>
      </c>
      <c r="AC685" t="s">
        <v>13575</v>
      </c>
      <c r="AD685" t="s">
        <v>1522</v>
      </c>
      <c r="AE685" t="s">
        <v>13576</v>
      </c>
      <c r="AF685" t="s">
        <v>74</v>
      </c>
      <c r="AG685">
        <v>29</v>
      </c>
      <c r="AH685">
        <v>26</v>
      </c>
      <c r="AI685">
        <v>30</v>
      </c>
      <c r="AJ685">
        <v>2</v>
      </c>
      <c r="AK685">
        <v>7</v>
      </c>
      <c r="AL685" t="s">
        <v>1729</v>
      </c>
      <c r="AM685" t="s">
        <v>1730</v>
      </c>
      <c r="AN685" t="s">
        <v>1731</v>
      </c>
      <c r="AO685" t="s">
        <v>9575</v>
      </c>
      <c r="AP685" t="s">
        <v>74</v>
      </c>
      <c r="AQ685" t="s">
        <v>74</v>
      </c>
      <c r="AR685" t="s">
        <v>9576</v>
      </c>
      <c r="AS685" t="s">
        <v>9577</v>
      </c>
      <c r="AT685" t="s">
        <v>6987</v>
      </c>
      <c r="AU685">
        <v>2019</v>
      </c>
      <c r="AV685">
        <v>6</v>
      </c>
      <c r="AW685">
        <v>10</v>
      </c>
      <c r="AX685" t="s">
        <v>74</v>
      </c>
      <c r="AY685" t="s">
        <v>74</v>
      </c>
      <c r="AZ685" t="s">
        <v>74</v>
      </c>
      <c r="BA685" t="s">
        <v>74</v>
      </c>
      <c r="BB685" t="s">
        <v>74</v>
      </c>
      <c r="BC685" t="s">
        <v>74</v>
      </c>
      <c r="BD685">
        <v>191387</v>
      </c>
      <c r="BE685" t="s">
        <v>13577</v>
      </c>
      <c r="BF685" t="str">
        <f>HYPERLINK("http://dx.doi.org/10.1098/rsos.191387","http://dx.doi.org/10.1098/rsos.191387")</f>
        <v>http://dx.doi.org/10.1098/rsos.191387</v>
      </c>
      <c r="BG685" t="s">
        <v>74</v>
      </c>
      <c r="BH685" t="s">
        <v>74</v>
      </c>
      <c r="BI685">
        <v>22</v>
      </c>
      <c r="BJ685" t="s">
        <v>1245</v>
      </c>
      <c r="BK685" t="s">
        <v>294</v>
      </c>
      <c r="BL685" t="s">
        <v>1246</v>
      </c>
      <c r="BM685" t="s">
        <v>13578</v>
      </c>
      <c r="BN685">
        <v>31824735</v>
      </c>
      <c r="BO685" t="s">
        <v>2934</v>
      </c>
      <c r="BP685" t="s">
        <v>74</v>
      </c>
      <c r="BQ685" t="s">
        <v>74</v>
      </c>
      <c r="BR685" t="s">
        <v>108</v>
      </c>
      <c r="BS685" t="s">
        <v>13579</v>
      </c>
      <c r="BT685" t="str">
        <f>HYPERLINK("https%3A%2F%2Fwww.webofscience.com%2Fwos%2Fwoscc%2Ffull-record%2FWOS:000510431100060","View Full Record in Web of Science")</f>
        <v>View Full Record in Web of Science</v>
      </c>
    </row>
    <row r="686" spans="1:72" x14ac:dyDescent="0.15">
      <c r="A686" t="s">
        <v>133</v>
      </c>
      <c r="B686" t="s">
        <v>13580</v>
      </c>
      <c r="C686" t="s">
        <v>74</v>
      </c>
      <c r="D686" t="s">
        <v>74</v>
      </c>
      <c r="E686" t="s">
        <v>74</v>
      </c>
      <c r="F686" t="s">
        <v>13581</v>
      </c>
      <c r="G686" t="s">
        <v>74</v>
      </c>
      <c r="H686" t="s">
        <v>74</v>
      </c>
      <c r="I686" t="s">
        <v>13582</v>
      </c>
      <c r="J686" t="s">
        <v>13583</v>
      </c>
      <c r="K686" t="s">
        <v>74</v>
      </c>
      <c r="L686" t="s">
        <v>74</v>
      </c>
      <c r="M686" t="s">
        <v>80</v>
      </c>
      <c r="N686" t="s">
        <v>138</v>
      </c>
      <c r="O686" t="s">
        <v>74</v>
      </c>
      <c r="P686" t="s">
        <v>74</v>
      </c>
      <c r="Q686" t="s">
        <v>74</v>
      </c>
      <c r="R686" t="s">
        <v>74</v>
      </c>
      <c r="S686" t="s">
        <v>74</v>
      </c>
      <c r="T686" t="s">
        <v>13584</v>
      </c>
      <c r="U686" t="s">
        <v>13585</v>
      </c>
      <c r="V686" t="s">
        <v>13586</v>
      </c>
      <c r="W686" t="s">
        <v>13587</v>
      </c>
      <c r="X686" t="s">
        <v>13588</v>
      </c>
      <c r="Y686" t="s">
        <v>13589</v>
      </c>
      <c r="Z686" t="s">
        <v>13590</v>
      </c>
      <c r="AA686" t="s">
        <v>13591</v>
      </c>
      <c r="AB686" t="s">
        <v>13592</v>
      </c>
      <c r="AC686" t="s">
        <v>13593</v>
      </c>
      <c r="AD686" t="s">
        <v>13594</v>
      </c>
      <c r="AE686" t="s">
        <v>13595</v>
      </c>
      <c r="AF686" t="s">
        <v>74</v>
      </c>
      <c r="AG686">
        <v>114</v>
      </c>
      <c r="AH686">
        <v>2</v>
      </c>
      <c r="AI686">
        <v>2</v>
      </c>
      <c r="AJ686">
        <v>2</v>
      </c>
      <c r="AK686">
        <v>31</v>
      </c>
      <c r="AL686" t="s">
        <v>13596</v>
      </c>
      <c r="AM686" t="s">
        <v>13597</v>
      </c>
      <c r="AN686" t="s">
        <v>13598</v>
      </c>
      <c r="AO686" t="s">
        <v>13599</v>
      </c>
      <c r="AP686" t="s">
        <v>13600</v>
      </c>
      <c r="AQ686" t="s">
        <v>74</v>
      </c>
      <c r="AR686" t="s">
        <v>13601</v>
      </c>
      <c r="AS686" t="s">
        <v>13602</v>
      </c>
      <c r="AT686" t="s">
        <v>6987</v>
      </c>
      <c r="AU686">
        <v>2019</v>
      </c>
      <c r="AV686">
        <v>110</v>
      </c>
      <c r="AW686">
        <v>7</v>
      </c>
      <c r="AX686" t="s">
        <v>74</v>
      </c>
      <c r="AY686" t="s">
        <v>74</v>
      </c>
      <c r="AZ686" t="s">
        <v>74</v>
      </c>
      <c r="BA686" t="s">
        <v>74</v>
      </c>
      <c r="BB686">
        <v>801</v>
      </c>
      <c r="BC686">
        <v>817</v>
      </c>
      <c r="BD686" t="s">
        <v>74</v>
      </c>
      <c r="BE686" t="s">
        <v>13603</v>
      </c>
      <c r="BF686" t="str">
        <f>HYPERLINK("http://dx.doi.org/10.1093/jhered/esz051","http://dx.doi.org/10.1093/jhered/esz051")</f>
        <v>http://dx.doi.org/10.1093/jhered/esz051</v>
      </c>
      <c r="BG686" t="s">
        <v>74</v>
      </c>
      <c r="BH686" t="s">
        <v>74</v>
      </c>
      <c r="BI686">
        <v>17</v>
      </c>
      <c r="BJ686" t="s">
        <v>8778</v>
      </c>
      <c r="BK686" t="s">
        <v>294</v>
      </c>
      <c r="BL686" t="s">
        <v>8778</v>
      </c>
      <c r="BM686" t="s">
        <v>13604</v>
      </c>
      <c r="BN686">
        <v>31737899</v>
      </c>
      <c r="BO686" t="s">
        <v>1482</v>
      </c>
      <c r="BP686" t="s">
        <v>74</v>
      </c>
      <c r="BQ686" t="s">
        <v>74</v>
      </c>
      <c r="BR686" t="s">
        <v>108</v>
      </c>
      <c r="BS686" t="s">
        <v>13605</v>
      </c>
      <c r="BT686" t="str">
        <f>HYPERLINK("https%3A%2F%2Fwww.webofscience.com%2Fwos%2Fwoscc%2Ffull-record%2FWOS:000509541600005","View Full Record in Web of Science")</f>
        <v>View Full Record in Web of Science</v>
      </c>
    </row>
    <row r="687" spans="1:72" x14ac:dyDescent="0.15">
      <c r="A687" t="s">
        <v>133</v>
      </c>
      <c r="B687" t="s">
        <v>13606</v>
      </c>
      <c r="C687" t="s">
        <v>74</v>
      </c>
      <c r="D687" t="s">
        <v>74</v>
      </c>
      <c r="E687" t="s">
        <v>74</v>
      </c>
      <c r="F687" t="s">
        <v>13607</v>
      </c>
      <c r="G687" t="s">
        <v>74</v>
      </c>
      <c r="H687" t="s">
        <v>74</v>
      </c>
      <c r="I687" t="s">
        <v>13608</v>
      </c>
      <c r="J687" t="s">
        <v>4566</v>
      </c>
      <c r="K687" t="s">
        <v>74</v>
      </c>
      <c r="L687" t="s">
        <v>74</v>
      </c>
      <c r="M687" t="s">
        <v>80</v>
      </c>
      <c r="N687" t="s">
        <v>138</v>
      </c>
      <c r="O687" t="s">
        <v>74</v>
      </c>
      <c r="P687" t="s">
        <v>74</v>
      </c>
      <c r="Q687" t="s">
        <v>74</v>
      </c>
      <c r="R687" t="s">
        <v>74</v>
      </c>
      <c r="S687" t="s">
        <v>74</v>
      </c>
      <c r="T687" t="s">
        <v>13609</v>
      </c>
      <c r="U687" t="s">
        <v>13610</v>
      </c>
      <c r="V687" t="s">
        <v>13611</v>
      </c>
      <c r="W687" t="s">
        <v>13612</v>
      </c>
      <c r="X687" t="s">
        <v>13613</v>
      </c>
      <c r="Y687" t="s">
        <v>13614</v>
      </c>
      <c r="Z687" t="s">
        <v>13615</v>
      </c>
      <c r="AA687" t="s">
        <v>13616</v>
      </c>
      <c r="AB687" t="s">
        <v>13617</v>
      </c>
      <c r="AC687" t="s">
        <v>13618</v>
      </c>
      <c r="AD687" t="s">
        <v>13618</v>
      </c>
      <c r="AE687" t="s">
        <v>13619</v>
      </c>
      <c r="AF687" t="s">
        <v>74</v>
      </c>
      <c r="AG687">
        <v>31</v>
      </c>
      <c r="AH687">
        <v>6</v>
      </c>
      <c r="AI687">
        <v>6</v>
      </c>
      <c r="AJ687">
        <v>0</v>
      </c>
      <c r="AK687">
        <v>7</v>
      </c>
      <c r="AL687" t="s">
        <v>605</v>
      </c>
      <c r="AM687" t="s">
        <v>1965</v>
      </c>
      <c r="AN687" t="s">
        <v>4578</v>
      </c>
      <c r="AO687" t="s">
        <v>4579</v>
      </c>
      <c r="AP687" t="s">
        <v>4580</v>
      </c>
      <c r="AQ687" t="s">
        <v>74</v>
      </c>
      <c r="AR687" t="s">
        <v>4581</v>
      </c>
      <c r="AS687" t="s">
        <v>4582</v>
      </c>
      <c r="AT687" t="s">
        <v>6987</v>
      </c>
      <c r="AU687">
        <v>2019</v>
      </c>
      <c r="AV687">
        <v>31</v>
      </c>
      <c r="AW687">
        <v>5</v>
      </c>
      <c r="AX687" t="s">
        <v>74</v>
      </c>
      <c r="AY687" t="s">
        <v>74</v>
      </c>
      <c r="AZ687" t="s">
        <v>74</v>
      </c>
      <c r="BA687" t="s">
        <v>74</v>
      </c>
      <c r="BB687">
        <v>231</v>
      </c>
      <c r="BC687">
        <v>242</v>
      </c>
      <c r="BD687" t="s">
        <v>74</v>
      </c>
      <c r="BE687" t="s">
        <v>13620</v>
      </c>
      <c r="BF687" t="str">
        <f>HYPERLINK("http://dx.doi.org/10.1017/S0954102019000300","http://dx.doi.org/10.1017/S0954102019000300")</f>
        <v>http://dx.doi.org/10.1017/S0954102019000300</v>
      </c>
      <c r="BG687" t="s">
        <v>74</v>
      </c>
      <c r="BH687" t="s">
        <v>74</v>
      </c>
      <c r="BI687">
        <v>12</v>
      </c>
      <c r="BJ687" t="s">
        <v>4584</v>
      </c>
      <c r="BK687" t="s">
        <v>294</v>
      </c>
      <c r="BL687" t="s">
        <v>4585</v>
      </c>
      <c r="BM687" t="s">
        <v>13621</v>
      </c>
      <c r="BN687" t="s">
        <v>74</v>
      </c>
      <c r="BO687" t="s">
        <v>74</v>
      </c>
      <c r="BP687" t="s">
        <v>74</v>
      </c>
      <c r="BQ687" t="s">
        <v>74</v>
      </c>
      <c r="BR687" t="s">
        <v>108</v>
      </c>
      <c r="BS687" t="s">
        <v>13622</v>
      </c>
      <c r="BT687" t="str">
        <f>HYPERLINK("https%3A%2F%2Fwww.webofscience.com%2Fwos%2Fwoscc%2Ffull-record%2FWOS:000508355900002","View Full Record in Web of Science")</f>
        <v>View Full Record in Web of Science</v>
      </c>
    </row>
    <row r="688" spans="1:72" x14ac:dyDescent="0.15">
      <c r="A688" t="s">
        <v>133</v>
      </c>
      <c r="B688" t="s">
        <v>13623</v>
      </c>
      <c r="C688" t="s">
        <v>74</v>
      </c>
      <c r="D688" t="s">
        <v>74</v>
      </c>
      <c r="E688" t="s">
        <v>74</v>
      </c>
      <c r="F688" t="s">
        <v>13624</v>
      </c>
      <c r="G688" t="s">
        <v>74</v>
      </c>
      <c r="H688" t="s">
        <v>74</v>
      </c>
      <c r="I688" t="s">
        <v>13625</v>
      </c>
      <c r="J688" t="s">
        <v>4566</v>
      </c>
      <c r="K688" t="s">
        <v>74</v>
      </c>
      <c r="L688" t="s">
        <v>74</v>
      </c>
      <c r="M688" t="s">
        <v>80</v>
      </c>
      <c r="N688" t="s">
        <v>138</v>
      </c>
      <c r="O688" t="s">
        <v>74</v>
      </c>
      <c r="P688" t="s">
        <v>74</v>
      </c>
      <c r="Q688" t="s">
        <v>74</v>
      </c>
      <c r="R688" t="s">
        <v>74</v>
      </c>
      <c r="S688" t="s">
        <v>74</v>
      </c>
      <c r="T688" t="s">
        <v>13626</v>
      </c>
      <c r="U688" t="s">
        <v>13627</v>
      </c>
      <c r="V688" t="s">
        <v>13628</v>
      </c>
      <c r="W688" t="s">
        <v>13629</v>
      </c>
      <c r="X688" t="s">
        <v>13630</v>
      </c>
      <c r="Y688" t="s">
        <v>13631</v>
      </c>
      <c r="Z688" t="s">
        <v>1162</v>
      </c>
      <c r="AA688" t="s">
        <v>13632</v>
      </c>
      <c r="AB688" t="s">
        <v>13633</v>
      </c>
      <c r="AC688" t="s">
        <v>13634</v>
      </c>
      <c r="AD688" t="s">
        <v>13635</v>
      </c>
      <c r="AE688" t="s">
        <v>13636</v>
      </c>
      <c r="AF688" t="s">
        <v>74</v>
      </c>
      <c r="AG688">
        <v>26</v>
      </c>
      <c r="AH688">
        <v>13</v>
      </c>
      <c r="AI688">
        <v>13</v>
      </c>
      <c r="AJ688">
        <v>2</v>
      </c>
      <c r="AK688">
        <v>12</v>
      </c>
      <c r="AL688" t="s">
        <v>605</v>
      </c>
      <c r="AM688" t="s">
        <v>1965</v>
      </c>
      <c r="AN688" t="s">
        <v>4578</v>
      </c>
      <c r="AO688" t="s">
        <v>4579</v>
      </c>
      <c r="AP688" t="s">
        <v>4580</v>
      </c>
      <c r="AQ688" t="s">
        <v>74</v>
      </c>
      <c r="AR688" t="s">
        <v>4581</v>
      </c>
      <c r="AS688" t="s">
        <v>4582</v>
      </c>
      <c r="AT688" t="s">
        <v>6987</v>
      </c>
      <c r="AU688">
        <v>2019</v>
      </c>
      <c r="AV688">
        <v>31</v>
      </c>
      <c r="AW688">
        <v>5</v>
      </c>
      <c r="AX688" t="s">
        <v>74</v>
      </c>
      <c r="AY688" t="s">
        <v>74</v>
      </c>
      <c r="AZ688" t="s">
        <v>74</v>
      </c>
      <c r="BA688" t="s">
        <v>74</v>
      </c>
      <c r="BB688">
        <v>243</v>
      </c>
      <c r="BC688">
        <v>253</v>
      </c>
      <c r="BD688" t="s">
        <v>74</v>
      </c>
      <c r="BE688" t="s">
        <v>13637</v>
      </c>
      <c r="BF688" t="str">
        <f>HYPERLINK("http://dx.doi.org/10.1017/S0954102019000282","http://dx.doi.org/10.1017/S0954102019000282")</f>
        <v>http://dx.doi.org/10.1017/S0954102019000282</v>
      </c>
      <c r="BG688" t="s">
        <v>74</v>
      </c>
      <c r="BH688" t="s">
        <v>74</v>
      </c>
      <c r="BI688">
        <v>11</v>
      </c>
      <c r="BJ688" t="s">
        <v>4584</v>
      </c>
      <c r="BK688" t="s">
        <v>294</v>
      </c>
      <c r="BL688" t="s">
        <v>4585</v>
      </c>
      <c r="BM688" t="s">
        <v>13621</v>
      </c>
      <c r="BN688" t="s">
        <v>74</v>
      </c>
      <c r="BO688" t="s">
        <v>74</v>
      </c>
      <c r="BP688" t="s">
        <v>74</v>
      </c>
      <c r="BQ688" t="s">
        <v>74</v>
      </c>
      <c r="BR688" t="s">
        <v>108</v>
      </c>
      <c r="BS688" t="s">
        <v>13638</v>
      </c>
      <c r="BT688" t="str">
        <f>HYPERLINK("https%3A%2F%2Fwww.webofscience.com%2Fwos%2Fwoscc%2Ffull-record%2FWOS:000508355900003","View Full Record in Web of Science")</f>
        <v>View Full Record in Web of Science</v>
      </c>
    </row>
    <row r="689" spans="1:72" x14ac:dyDescent="0.15">
      <c r="A689" t="s">
        <v>133</v>
      </c>
      <c r="B689" t="s">
        <v>13639</v>
      </c>
      <c r="C689" t="s">
        <v>74</v>
      </c>
      <c r="D689" t="s">
        <v>74</v>
      </c>
      <c r="E689" t="s">
        <v>74</v>
      </c>
      <c r="F689" t="s">
        <v>13640</v>
      </c>
      <c r="G689" t="s">
        <v>74</v>
      </c>
      <c r="H689" t="s">
        <v>74</v>
      </c>
      <c r="I689" t="s">
        <v>13641</v>
      </c>
      <c r="J689" t="s">
        <v>4566</v>
      </c>
      <c r="K689" t="s">
        <v>74</v>
      </c>
      <c r="L689" t="s">
        <v>74</v>
      </c>
      <c r="M689" t="s">
        <v>80</v>
      </c>
      <c r="N689" t="s">
        <v>138</v>
      </c>
      <c r="O689" t="s">
        <v>74</v>
      </c>
      <c r="P689" t="s">
        <v>74</v>
      </c>
      <c r="Q689" t="s">
        <v>74</v>
      </c>
      <c r="R689" t="s">
        <v>74</v>
      </c>
      <c r="S689" t="s">
        <v>74</v>
      </c>
      <c r="T689" t="s">
        <v>13642</v>
      </c>
      <c r="U689" t="s">
        <v>13643</v>
      </c>
      <c r="V689" t="s">
        <v>13644</v>
      </c>
      <c r="W689" t="s">
        <v>13645</v>
      </c>
      <c r="X689" t="s">
        <v>13646</v>
      </c>
      <c r="Y689" t="s">
        <v>13647</v>
      </c>
      <c r="Z689" t="s">
        <v>13648</v>
      </c>
      <c r="AA689" t="s">
        <v>74</v>
      </c>
      <c r="AB689" t="s">
        <v>13649</v>
      </c>
      <c r="AC689" t="s">
        <v>13650</v>
      </c>
      <c r="AD689" t="s">
        <v>13651</v>
      </c>
      <c r="AE689" t="s">
        <v>13652</v>
      </c>
      <c r="AF689" t="s">
        <v>74</v>
      </c>
      <c r="AG689">
        <v>46</v>
      </c>
      <c r="AH689">
        <v>2</v>
      </c>
      <c r="AI689">
        <v>2</v>
      </c>
      <c r="AJ689">
        <v>0</v>
      </c>
      <c r="AK689">
        <v>2</v>
      </c>
      <c r="AL689" t="s">
        <v>605</v>
      </c>
      <c r="AM689" t="s">
        <v>1965</v>
      </c>
      <c r="AN689" t="s">
        <v>4578</v>
      </c>
      <c r="AO689" t="s">
        <v>4579</v>
      </c>
      <c r="AP689" t="s">
        <v>4580</v>
      </c>
      <c r="AQ689" t="s">
        <v>74</v>
      </c>
      <c r="AR689" t="s">
        <v>4581</v>
      </c>
      <c r="AS689" t="s">
        <v>4582</v>
      </c>
      <c r="AT689" t="s">
        <v>6987</v>
      </c>
      <c r="AU689">
        <v>2019</v>
      </c>
      <c r="AV689">
        <v>31</v>
      </c>
      <c r="AW689">
        <v>5</v>
      </c>
      <c r="AX689" t="s">
        <v>74</v>
      </c>
      <c r="AY689" t="s">
        <v>74</v>
      </c>
      <c r="AZ689" t="s">
        <v>74</v>
      </c>
      <c r="BA689" t="s">
        <v>74</v>
      </c>
      <c r="BB689">
        <v>254</v>
      </c>
      <c r="BC689">
        <v>262</v>
      </c>
      <c r="BD689" t="s">
        <v>74</v>
      </c>
      <c r="BE689" t="s">
        <v>13653</v>
      </c>
      <c r="BF689" t="str">
        <f>HYPERLINK("http://dx.doi.org/10.1017/S0954102019000294","http://dx.doi.org/10.1017/S0954102019000294")</f>
        <v>http://dx.doi.org/10.1017/S0954102019000294</v>
      </c>
      <c r="BG689" t="s">
        <v>74</v>
      </c>
      <c r="BH689" t="s">
        <v>74</v>
      </c>
      <c r="BI689">
        <v>9</v>
      </c>
      <c r="BJ689" t="s">
        <v>4584</v>
      </c>
      <c r="BK689" t="s">
        <v>294</v>
      </c>
      <c r="BL689" t="s">
        <v>4585</v>
      </c>
      <c r="BM689" t="s">
        <v>13621</v>
      </c>
      <c r="BN689" t="s">
        <v>74</v>
      </c>
      <c r="BO689" t="s">
        <v>74</v>
      </c>
      <c r="BP689" t="s">
        <v>74</v>
      </c>
      <c r="BQ689" t="s">
        <v>74</v>
      </c>
      <c r="BR689" t="s">
        <v>108</v>
      </c>
      <c r="BS689" t="s">
        <v>13654</v>
      </c>
      <c r="BT689" t="str">
        <f>HYPERLINK("https%3A%2F%2Fwww.webofscience.com%2Fwos%2Fwoscc%2Ffull-record%2FWOS:000508355900004","View Full Record in Web of Science")</f>
        <v>View Full Record in Web of Science</v>
      </c>
    </row>
    <row r="690" spans="1:72" x14ac:dyDescent="0.15">
      <c r="A690" t="s">
        <v>133</v>
      </c>
      <c r="B690" t="s">
        <v>13655</v>
      </c>
      <c r="C690" t="s">
        <v>74</v>
      </c>
      <c r="D690" t="s">
        <v>74</v>
      </c>
      <c r="E690" t="s">
        <v>74</v>
      </c>
      <c r="F690" t="s">
        <v>13656</v>
      </c>
      <c r="G690" t="s">
        <v>74</v>
      </c>
      <c r="H690" t="s">
        <v>74</v>
      </c>
      <c r="I690" t="s">
        <v>13657</v>
      </c>
      <c r="J690" t="s">
        <v>4566</v>
      </c>
      <c r="K690" t="s">
        <v>74</v>
      </c>
      <c r="L690" t="s">
        <v>74</v>
      </c>
      <c r="M690" t="s">
        <v>80</v>
      </c>
      <c r="N690" t="s">
        <v>138</v>
      </c>
      <c r="O690" t="s">
        <v>74</v>
      </c>
      <c r="P690" t="s">
        <v>74</v>
      </c>
      <c r="Q690" t="s">
        <v>74</v>
      </c>
      <c r="R690" t="s">
        <v>74</v>
      </c>
      <c r="S690" t="s">
        <v>74</v>
      </c>
      <c r="T690" t="s">
        <v>13658</v>
      </c>
      <c r="U690" t="s">
        <v>13659</v>
      </c>
      <c r="V690" t="s">
        <v>13660</v>
      </c>
      <c r="W690" t="s">
        <v>13661</v>
      </c>
      <c r="X690" t="s">
        <v>13662</v>
      </c>
      <c r="Y690" t="s">
        <v>13663</v>
      </c>
      <c r="Z690" t="s">
        <v>13664</v>
      </c>
      <c r="AA690" t="s">
        <v>74</v>
      </c>
      <c r="AB690" t="s">
        <v>13665</v>
      </c>
      <c r="AC690" t="s">
        <v>13666</v>
      </c>
      <c r="AD690" t="s">
        <v>13667</v>
      </c>
      <c r="AE690" t="s">
        <v>13668</v>
      </c>
      <c r="AF690" t="s">
        <v>74</v>
      </c>
      <c r="AG690">
        <v>34</v>
      </c>
      <c r="AH690">
        <v>4</v>
      </c>
      <c r="AI690">
        <v>6</v>
      </c>
      <c r="AJ690">
        <v>0</v>
      </c>
      <c r="AK690">
        <v>1</v>
      </c>
      <c r="AL690" t="s">
        <v>605</v>
      </c>
      <c r="AM690" t="s">
        <v>1965</v>
      </c>
      <c r="AN690" t="s">
        <v>4578</v>
      </c>
      <c r="AO690" t="s">
        <v>4579</v>
      </c>
      <c r="AP690" t="s">
        <v>4580</v>
      </c>
      <c r="AQ690" t="s">
        <v>74</v>
      </c>
      <c r="AR690" t="s">
        <v>4581</v>
      </c>
      <c r="AS690" t="s">
        <v>4582</v>
      </c>
      <c r="AT690" t="s">
        <v>6987</v>
      </c>
      <c r="AU690">
        <v>2019</v>
      </c>
      <c r="AV690">
        <v>31</v>
      </c>
      <c r="AW690">
        <v>5</v>
      </c>
      <c r="AX690" t="s">
        <v>74</v>
      </c>
      <c r="AY690" t="s">
        <v>74</v>
      </c>
      <c r="AZ690" t="s">
        <v>74</v>
      </c>
      <c r="BA690" t="s">
        <v>74</v>
      </c>
      <c r="BB690">
        <v>263</v>
      </c>
      <c r="BC690">
        <v>270</v>
      </c>
      <c r="BD690" t="s">
        <v>74</v>
      </c>
      <c r="BE690" t="s">
        <v>13669</v>
      </c>
      <c r="BF690" t="str">
        <f>HYPERLINK("http://dx.doi.org/10.1017/S0954102019000269","http://dx.doi.org/10.1017/S0954102019000269")</f>
        <v>http://dx.doi.org/10.1017/S0954102019000269</v>
      </c>
      <c r="BG690" t="s">
        <v>74</v>
      </c>
      <c r="BH690" t="s">
        <v>74</v>
      </c>
      <c r="BI690">
        <v>8</v>
      </c>
      <c r="BJ690" t="s">
        <v>4584</v>
      </c>
      <c r="BK690" t="s">
        <v>294</v>
      </c>
      <c r="BL690" t="s">
        <v>4585</v>
      </c>
      <c r="BM690" t="s">
        <v>13621</v>
      </c>
      <c r="BN690" t="s">
        <v>74</v>
      </c>
      <c r="BO690" t="s">
        <v>559</v>
      </c>
      <c r="BP690" t="s">
        <v>74</v>
      </c>
      <c r="BQ690" t="s">
        <v>74</v>
      </c>
      <c r="BR690" t="s">
        <v>108</v>
      </c>
      <c r="BS690" t="s">
        <v>13670</v>
      </c>
      <c r="BT690" t="str">
        <f>HYPERLINK("https%3A%2F%2Fwww.webofscience.com%2Fwos%2Fwoscc%2Ffull-record%2FWOS:000508355900005","View Full Record in Web of Science")</f>
        <v>View Full Record in Web of Science</v>
      </c>
    </row>
    <row r="691" spans="1:72" x14ac:dyDescent="0.15">
      <c r="A691" t="s">
        <v>133</v>
      </c>
      <c r="B691" t="s">
        <v>13671</v>
      </c>
      <c r="C691" t="s">
        <v>74</v>
      </c>
      <c r="D691" t="s">
        <v>74</v>
      </c>
      <c r="E691" t="s">
        <v>74</v>
      </c>
      <c r="F691" t="s">
        <v>13672</v>
      </c>
      <c r="G691" t="s">
        <v>74</v>
      </c>
      <c r="H691" t="s">
        <v>74</v>
      </c>
      <c r="I691" t="s">
        <v>13673</v>
      </c>
      <c r="J691" t="s">
        <v>4566</v>
      </c>
      <c r="K691" t="s">
        <v>74</v>
      </c>
      <c r="L691" t="s">
        <v>74</v>
      </c>
      <c r="M691" t="s">
        <v>80</v>
      </c>
      <c r="N691" t="s">
        <v>138</v>
      </c>
      <c r="O691" t="s">
        <v>74</v>
      </c>
      <c r="P691" t="s">
        <v>74</v>
      </c>
      <c r="Q691" t="s">
        <v>74</v>
      </c>
      <c r="R691" t="s">
        <v>74</v>
      </c>
      <c r="S691" t="s">
        <v>74</v>
      </c>
      <c r="T691" t="s">
        <v>13674</v>
      </c>
      <c r="U691" t="s">
        <v>13675</v>
      </c>
      <c r="V691" t="s">
        <v>13676</v>
      </c>
      <c r="W691" t="s">
        <v>13677</v>
      </c>
      <c r="X691" t="s">
        <v>13678</v>
      </c>
      <c r="Y691" t="s">
        <v>13679</v>
      </c>
      <c r="Z691" t="s">
        <v>13680</v>
      </c>
      <c r="AA691" t="s">
        <v>13681</v>
      </c>
      <c r="AB691" t="s">
        <v>13682</v>
      </c>
      <c r="AC691" t="s">
        <v>13683</v>
      </c>
      <c r="AD691" t="s">
        <v>13684</v>
      </c>
      <c r="AE691" t="s">
        <v>13685</v>
      </c>
      <c r="AF691" t="s">
        <v>74</v>
      </c>
      <c r="AG691">
        <v>39</v>
      </c>
      <c r="AH691">
        <v>11</v>
      </c>
      <c r="AI691">
        <v>11</v>
      </c>
      <c r="AJ691">
        <v>1</v>
      </c>
      <c r="AK691">
        <v>9</v>
      </c>
      <c r="AL691" t="s">
        <v>605</v>
      </c>
      <c r="AM691" t="s">
        <v>1965</v>
      </c>
      <c r="AN691" t="s">
        <v>4578</v>
      </c>
      <c r="AO691" t="s">
        <v>4579</v>
      </c>
      <c r="AP691" t="s">
        <v>4580</v>
      </c>
      <c r="AQ691" t="s">
        <v>74</v>
      </c>
      <c r="AR691" t="s">
        <v>4581</v>
      </c>
      <c r="AS691" t="s">
        <v>4582</v>
      </c>
      <c r="AT691" t="s">
        <v>6987</v>
      </c>
      <c r="AU691">
        <v>2019</v>
      </c>
      <c r="AV691">
        <v>31</v>
      </c>
      <c r="AW691">
        <v>5</v>
      </c>
      <c r="AX691" t="s">
        <v>74</v>
      </c>
      <c r="AY691" t="s">
        <v>74</v>
      </c>
      <c r="AZ691" t="s">
        <v>74</v>
      </c>
      <c r="BA691" t="s">
        <v>74</v>
      </c>
      <c r="BB691">
        <v>271</v>
      </c>
      <c r="BC691">
        <v>285</v>
      </c>
      <c r="BD691" t="s">
        <v>74</v>
      </c>
      <c r="BE691" t="s">
        <v>13686</v>
      </c>
      <c r="BF691" t="str">
        <f>HYPERLINK("http://dx.doi.org/10.1017/S0954102019000270","http://dx.doi.org/10.1017/S0954102019000270")</f>
        <v>http://dx.doi.org/10.1017/S0954102019000270</v>
      </c>
      <c r="BG691" t="s">
        <v>74</v>
      </c>
      <c r="BH691" t="s">
        <v>74</v>
      </c>
      <c r="BI691">
        <v>15</v>
      </c>
      <c r="BJ691" t="s">
        <v>4584</v>
      </c>
      <c r="BK691" t="s">
        <v>294</v>
      </c>
      <c r="BL691" t="s">
        <v>4585</v>
      </c>
      <c r="BM691" t="s">
        <v>13621</v>
      </c>
      <c r="BN691" t="s">
        <v>74</v>
      </c>
      <c r="BO691" t="s">
        <v>74</v>
      </c>
      <c r="BP691" t="s">
        <v>74</v>
      </c>
      <c r="BQ691" t="s">
        <v>74</v>
      </c>
      <c r="BR691" t="s">
        <v>108</v>
      </c>
      <c r="BS691" t="s">
        <v>13687</v>
      </c>
      <c r="BT691" t="str">
        <f>HYPERLINK("https%3A%2F%2Fwww.webofscience.com%2Fwos%2Fwoscc%2Ffull-record%2FWOS:000508355900006","View Full Record in Web of Science")</f>
        <v>View Full Record in Web of Science</v>
      </c>
    </row>
    <row r="692" spans="1:72" x14ac:dyDescent="0.15">
      <c r="A692" t="s">
        <v>133</v>
      </c>
      <c r="B692" t="s">
        <v>13688</v>
      </c>
      <c r="C692" t="s">
        <v>74</v>
      </c>
      <c r="D692" t="s">
        <v>74</v>
      </c>
      <c r="E692" t="s">
        <v>74</v>
      </c>
      <c r="F692" t="s">
        <v>13689</v>
      </c>
      <c r="G692" t="s">
        <v>74</v>
      </c>
      <c r="H692" t="s">
        <v>74</v>
      </c>
      <c r="I692" t="s">
        <v>13690</v>
      </c>
      <c r="J692" t="s">
        <v>13691</v>
      </c>
      <c r="K692" t="s">
        <v>74</v>
      </c>
      <c r="L692" t="s">
        <v>74</v>
      </c>
      <c r="M692" t="s">
        <v>80</v>
      </c>
      <c r="N692" t="s">
        <v>138</v>
      </c>
      <c r="O692" t="s">
        <v>74</v>
      </c>
      <c r="P692" t="s">
        <v>74</v>
      </c>
      <c r="Q692" t="s">
        <v>74</v>
      </c>
      <c r="R692" t="s">
        <v>74</v>
      </c>
      <c r="S692" t="s">
        <v>74</v>
      </c>
      <c r="T692" t="s">
        <v>74</v>
      </c>
      <c r="U692" t="s">
        <v>13692</v>
      </c>
      <c r="V692" t="s">
        <v>13693</v>
      </c>
      <c r="W692" t="s">
        <v>13694</v>
      </c>
      <c r="X692" t="s">
        <v>13695</v>
      </c>
      <c r="Y692" t="s">
        <v>13696</v>
      </c>
      <c r="Z692" t="s">
        <v>13697</v>
      </c>
      <c r="AA692" t="s">
        <v>13698</v>
      </c>
      <c r="AB692" t="s">
        <v>13699</v>
      </c>
      <c r="AC692" t="s">
        <v>13700</v>
      </c>
      <c r="AD692" t="s">
        <v>13701</v>
      </c>
      <c r="AE692" t="s">
        <v>13702</v>
      </c>
      <c r="AF692" t="s">
        <v>74</v>
      </c>
      <c r="AG692">
        <v>51</v>
      </c>
      <c r="AH692">
        <v>21</v>
      </c>
      <c r="AI692">
        <v>22</v>
      </c>
      <c r="AJ692">
        <v>4</v>
      </c>
      <c r="AK692">
        <v>12</v>
      </c>
      <c r="AL692" t="s">
        <v>13703</v>
      </c>
      <c r="AM692" t="s">
        <v>9351</v>
      </c>
      <c r="AN692" t="s">
        <v>13704</v>
      </c>
      <c r="AO692" t="s">
        <v>13705</v>
      </c>
      <c r="AP692" t="s">
        <v>13706</v>
      </c>
      <c r="AQ692" t="s">
        <v>74</v>
      </c>
      <c r="AR692" t="s">
        <v>13707</v>
      </c>
      <c r="AS692" t="s">
        <v>13708</v>
      </c>
      <c r="AT692" t="s">
        <v>6987</v>
      </c>
      <c r="AU692">
        <v>2019</v>
      </c>
      <c r="AV692">
        <v>60</v>
      </c>
      <c r="AW692">
        <v>10</v>
      </c>
      <c r="AX692" t="s">
        <v>74</v>
      </c>
      <c r="AY692" t="s">
        <v>74</v>
      </c>
      <c r="AZ692" t="s">
        <v>74</v>
      </c>
      <c r="BA692" t="s">
        <v>74</v>
      </c>
      <c r="BB692" t="s">
        <v>74</v>
      </c>
      <c r="BC692" t="s">
        <v>74</v>
      </c>
      <c r="BD692">
        <v>101505</v>
      </c>
      <c r="BE692" t="s">
        <v>13709</v>
      </c>
      <c r="BF692" t="str">
        <f>HYPERLINK("http://dx.doi.org/10.1063/1.5120627","http://dx.doi.org/10.1063/1.5120627")</f>
        <v>http://dx.doi.org/10.1063/1.5120627</v>
      </c>
      <c r="BG692" t="s">
        <v>74</v>
      </c>
      <c r="BH692" t="s">
        <v>74</v>
      </c>
      <c r="BI692">
        <v>12</v>
      </c>
      <c r="BJ692" t="s">
        <v>13710</v>
      </c>
      <c r="BK692" t="s">
        <v>294</v>
      </c>
      <c r="BL692" t="s">
        <v>7968</v>
      </c>
      <c r="BM692" t="s">
        <v>13711</v>
      </c>
      <c r="BN692" t="s">
        <v>74</v>
      </c>
      <c r="BO692" t="s">
        <v>666</v>
      </c>
      <c r="BP692" t="s">
        <v>74</v>
      </c>
      <c r="BQ692" t="s">
        <v>74</v>
      </c>
      <c r="BR692" t="s">
        <v>108</v>
      </c>
      <c r="BS692" t="s">
        <v>13712</v>
      </c>
      <c r="BT692" t="str">
        <f>HYPERLINK("https%3A%2F%2Fwww.webofscience.com%2Fwos%2Fwoscc%2Ffull-record%2FWOS:000506019500005","View Full Record in Web of Science")</f>
        <v>View Full Record in Web of Science</v>
      </c>
    </row>
    <row r="693" spans="1:72" x14ac:dyDescent="0.15">
      <c r="A693" t="s">
        <v>133</v>
      </c>
      <c r="B693" t="s">
        <v>13713</v>
      </c>
      <c r="C693" t="s">
        <v>74</v>
      </c>
      <c r="D693" t="s">
        <v>74</v>
      </c>
      <c r="E693" t="s">
        <v>74</v>
      </c>
      <c r="F693" t="s">
        <v>13714</v>
      </c>
      <c r="G693" t="s">
        <v>74</v>
      </c>
      <c r="H693" t="s">
        <v>74</v>
      </c>
      <c r="I693" t="s">
        <v>13715</v>
      </c>
      <c r="J693" t="s">
        <v>13716</v>
      </c>
      <c r="K693" t="s">
        <v>74</v>
      </c>
      <c r="L693" t="s">
        <v>74</v>
      </c>
      <c r="M693" t="s">
        <v>80</v>
      </c>
      <c r="N693" t="s">
        <v>138</v>
      </c>
      <c r="O693" t="s">
        <v>74</v>
      </c>
      <c r="P693" t="s">
        <v>74</v>
      </c>
      <c r="Q693" t="s">
        <v>74</v>
      </c>
      <c r="R693" t="s">
        <v>74</v>
      </c>
      <c r="S693" t="s">
        <v>74</v>
      </c>
      <c r="T693" t="s">
        <v>13717</v>
      </c>
      <c r="U693" t="s">
        <v>13718</v>
      </c>
      <c r="V693" t="s">
        <v>13719</v>
      </c>
      <c r="W693" t="s">
        <v>13720</v>
      </c>
      <c r="X693" t="s">
        <v>13721</v>
      </c>
      <c r="Y693" t="s">
        <v>13722</v>
      </c>
      <c r="Z693" t="s">
        <v>13723</v>
      </c>
      <c r="AA693" t="s">
        <v>74</v>
      </c>
      <c r="AB693" t="s">
        <v>13724</v>
      </c>
      <c r="AC693" t="s">
        <v>74</v>
      </c>
      <c r="AD693" t="s">
        <v>74</v>
      </c>
      <c r="AE693" t="s">
        <v>74</v>
      </c>
      <c r="AF693" t="s">
        <v>74</v>
      </c>
      <c r="AG693">
        <v>60</v>
      </c>
      <c r="AH693">
        <v>20</v>
      </c>
      <c r="AI693">
        <v>21</v>
      </c>
      <c r="AJ693">
        <v>4</v>
      </c>
      <c r="AK693">
        <v>16</v>
      </c>
      <c r="AL693" t="s">
        <v>683</v>
      </c>
      <c r="AM693" t="s">
        <v>684</v>
      </c>
      <c r="AN693" t="s">
        <v>685</v>
      </c>
      <c r="AO693" t="s">
        <v>74</v>
      </c>
      <c r="AP693" t="s">
        <v>13725</v>
      </c>
      <c r="AQ693" t="s">
        <v>74</v>
      </c>
      <c r="AR693" t="s">
        <v>13716</v>
      </c>
      <c r="AS693" t="s">
        <v>13726</v>
      </c>
      <c r="AT693" t="s">
        <v>6987</v>
      </c>
      <c r="AU693">
        <v>2019</v>
      </c>
      <c r="AV693">
        <v>11</v>
      </c>
      <c r="AW693">
        <v>10</v>
      </c>
      <c r="AX693" t="s">
        <v>74</v>
      </c>
      <c r="AY693" t="s">
        <v>74</v>
      </c>
      <c r="AZ693" t="s">
        <v>74</v>
      </c>
      <c r="BA693" t="s">
        <v>74</v>
      </c>
      <c r="BB693" t="s">
        <v>74</v>
      </c>
      <c r="BC693" t="s">
        <v>74</v>
      </c>
      <c r="BD693">
        <v>2548</v>
      </c>
      <c r="BE693" t="s">
        <v>13727</v>
      </c>
      <c r="BF693" t="str">
        <f>HYPERLINK("http://dx.doi.org/10.3390/nu11102548","http://dx.doi.org/10.3390/nu11102548")</f>
        <v>http://dx.doi.org/10.3390/nu11102548</v>
      </c>
      <c r="BG693" t="s">
        <v>74</v>
      </c>
      <c r="BH693" t="s">
        <v>74</v>
      </c>
      <c r="BI693">
        <v>15</v>
      </c>
      <c r="BJ693" t="s">
        <v>13728</v>
      </c>
      <c r="BK693" t="s">
        <v>294</v>
      </c>
      <c r="BL693" t="s">
        <v>13728</v>
      </c>
      <c r="BM693" t="s">
        <v>13729</v>
      </c>
      <c r="BN693">
        <v>31652561</v>
      </c>
      <c r="BO693" t="s">
        <v>693</v>
      </c>
      <c r="BP693" t="s">
        <v>74</v>
      </c>
      <c r="BQ693" t="s">
        <v>74</v>
      </c>
      <c r="BR693" t="s">
        <v>108</v>
      </c>
      <c r="BS693" t="s">
        <v>13730</v>
      </c>
      <c r="BT693" t="str">
        <f>HYPERLINK("https%3A%2F%2Fwww.webofscience.com%2Fwos%2Fwoscc%2Ffull-record%2FWOS:000498227300287","View Full Record in Web of Science")</f>
        <v>View Full Record in Web of Science</v>
      </c>
    </row>
    <row r="694" spans="1:72" x14ac:dyDescent="0.15">
      <c r="A694" t="s">
        <v>133</v>
      </c>
      <c r="B694" t="s">
        <v>13731</v>
      </c>
      <c r="C694" t="s">
        <v>74</v>
      </c>
      <c r="D694" t="s">
        <v>74</v>
      </c>
      <c r="E694" t="s">
        <v>74</v>
      </c>
      <c r="F694" t="s">
        <v>13732</v>
      </c>
      <c r="G694" t="s">
        <v>74</v>
      </c>
      <c r="H694" t="s">
        <v>74</v>
      </c>
      <c r="I694" t="s">
        <v>13733</v>
      </c>
      <c r="J694" t="s">
        <v>13734</v>
      </c>
      <c r="K694" t="s">
        <v>74</v>
      </c>
      <c r="L694" t="s">
        <v>74</v>
      </c>
      <c r="M694" t="s">
        <v>80</v>
      </c>
      <c r="N694" t="s">
        <v>138</v>
      </c>
      <c r="O694" t="s">
        <v>74</v>
      </c>
      <c r="P694" t="s">
        <v>74</v>
      </c>
      <c r="Q694" t="s">
        <v>74</v>
      </c>
      <c r="R694" t="s">
        <v>74</v>
      </c>
      <c r="S694" t="s">
        <v>74</v>
      </c>
      <c r="T694" t="s">
        <v>13735</v>
      </c>
      <c r="U694" t="s">
        <v>13736</v>
      </c>
      <c r="V694" t="s">
        <v>13737</v>
      </c>
      <c r="W694" t="s">
        <v>13738</v>
      </c>
      <c r="X694" t="s">
        <v>13739</v>
      </c>
      <c r="Y694" t="s">
        <v>13740</v>
      </c>
      <c r="Z694" t="s">
        <v>13741</v>
      </c>
      <c r="AA694" t="s">
        <v>13742</v>
      </c>
      <c r="AB694" t="s">
        <v>13743</v>
      </c>
      <c r="AC694" t="s">
        <v>13744</v>
      </c>
      <c r="AD694" t="s">
        <v>13745</v>
      </c>
      <c r="AE694" t="s">
        <v>13746</v>
      </c>
      <c r="AF694" t="s">
        <v>74</v>
      </c>
      <c r="AG694">
        <v>46</v>
      </c>
      <c r="AH694">
        <v>18</v>
      </c>
      <c r="AI694">
        <v>19</v>
      </c>
      <c r="AJ694">
        <v>0</v>
      </c>
      <c r="AK694">
        <v>23</v>
      </c>
      <c r="AL694" t="s">
        <v>4273</v>
      </c>
      <c r="AM694" t="s">
        <v>4274</v>
      </c>
      <c r="AN694" t="s">
        <v>4275</v>
      </c>
      <c r="AO694" t="s">
        <v>13747</v>
      </c>
      <c r="AP694" t="s">
        <v>13748</v>
      </c>
      <c r="AQ694" t="s">
        <v>74</v>
      </c>
      <c r="AR694" t="s">
        <v>13749</v>
      </c>
      <c r="AS694" t="s">
        <v>13750</v>
      </c>
      <c r="AT694" t="s">
        <v>6987</v>
      </c>
      <c r="AU694">
        <v>2019</v>
      </c>
      <c r="AV694">
        <v>12</v>
      </c>
      <c r="AW694">
        <v>10</v>
      </c>
      <c r="AX694" t="s">
        <v>74</v>
      </c>
      <c r="AY694" t="s">
        <v>74</v>
      </c>
      <c r="AZ694" t="s">
        <v>555</v>
      </c>
      <c r="BA694" t="s">
        <v>74</v>
      </c>
      <c r="BB694">
        <v>3813</v>
      </c>
      <c r="BC694">
        <v>3825</v>
      </c>
      <c r="BD694" t="s">
        <v>74</v>
      </c>
      <c r="BE694" t="s">
        <v>13751</v>
      </c>
      <c r="BF694" t="str">
        <f>HYPERLINK("http://dx.doi.org/10.1109/JSTARS.2019.2938544","http://dx.doi.org/10.1109/JSTARS.2019.2938544")</f>
        <v>http://dx.doi.org/10.1109/JSTARS.2019.2938544</v>
      </c>
      <c r="BG694" t="s">
        <v>74</v>
      </c>
      <c r="BH694" t="s">
        <v>74</v>
      </c>
      <c r="BI694">
        <v>13</v>
      </c>
      <c r="BJ694" t="s">
        <v>13752</v>
      </c>
      <c r="BK694" t="s">
        <v>294</v>
      </c>
      <c r="BL694" t="s">
        <v>13753</v>
      </c>
      <c r="BM694" t="s">
        <v>13754</v>
      </c>
      <c r="BN694" t="s">
        <v>74</v>
      </c>
      <c r="BO694" t="s">
        <v>666</v>
      </c>
      <c r="BP694" t="s">
        <v>74</v>
      </c>
      <c r="BQ694" t="s">
        <v>74</v>
      </c>
      <c r="BR694" t="s">
        <v>108</v>
      </c>
      <c r="BS694" t="s">
        <v>13755</v>
      </c>
      <c r="BT694" t="str">
        <f>HYPERLINK("https%3A%2F%2Fwww.webofscience.com%2Fwos%2Fwoscc%2Ffull-record%2FWOS:000503182000011","View Full Record in Web of Science")</f>
        <v>View Full Record in Web of Science</v>
      </c>
    </row>
    <row r="695" spans="1:72" x14ac:dyDescent="0.15">
      <c r="A695" t="s">
        <v>133</v>
      </c>
      <c r="B695" t="s">
        <v>13756</v>
      </c>
      <c r="C695" t="s">
        <v>74</v>
      </c>
      <c r="D695" t="s">
        <v>74</v>
      </c>
      <c r="E695" t="s">
        <v>74</v>
      </c>
      <c r="F695" t="s">
        <v>13757</v>
      </c>
      <c r="G695" t="s">
        <v>74</v>
      </c>
      <c r="H695" t="s">
        <v>74</v>
      </c>
      <c r="I695" t="s">
        <v>13758</v>
      </c>
      <c r="J695" t="s">
        <v>13759</v>
      </c>
      <c r="K695" t="s">
        <v>74</v>
      </c>
      <c r="L695" t="s">
        <v>74</v>
      </c>
      <c r="M695" t="s">
        <v>80</v>
      </c>
      <c r="N695" t="s">
        <v>138</v>
      </c>
      <c r="O695" t="s">
        <v>74</v>
      </c>
      <c r="P695" t="s">
        <v>74</v>
      </c>
      <c r="Q695" t="s">
        <v>74</v>
      </c>
      <c r="R695" t="s">
        <v>74</v>
      </c>
      <c r="S695" t="s">
        <v>74</v>
      </c>
      <c r="T695" t="s">
        <v>13760</v>
      </c>
      <c r="U695" t="s">
        <v>13761</v>
      </c>
      <c r="V695" t="s">
        <v>13762</v>
      </c>
      <c r="W695" t="s">
        <v>13763</v>
      </c>
      <c r="X695" t="s">
        <v>13764</v>
      </c>
      <c r="Y695" t="s">
        <v>13765</v>
      </c>
      <c r="Z695" t="s">
        <v>13766</v>
      </c>
      <c r="AA695" t="s">
        <v>13767</v>
      </c>
      <c r="AB695" t="s">
        <v>13768</v>
      </c>
      <c r="AC695" t="s">
        <v>13769</v>
      </c>
      <c r="AD695" t="s">
        <v>13770</v>
      </c>
      <c r="AE695" t="s">
        <v>13771</v>
      </c>
      <c r="AF695" t="s">
        <v>74</v>
      </c>
      <c r="AG695">
        <v>28</v>
      </c>
      <c r="AH695">
        <v>17</v>
      </c>
      <c r="AI695">
        <v>19</v>
      </c>
      <c r="AJ695">
        <v>0</v>
      </c>
      <c r="AK695">
        <v>2</v>
      </c>
      <c r="AL695" t="s">
        <v>96</v>
      </c>
      <c r="AM695" t="s">
        <v>97</v>
      </c>
      <c r="AN695" t="s">
        <v>3769</v>
      </c>
      <c r="AO695" t="s">
        <v>13772</v>
      </c>
      <c r="AP695" t="s">
        <v>74</v>
      </c>
      <c r="AQ695" t="s">
        <v>74</v>
      </c>
      <c r="AR695" t="s">
        <v>13773</v>
      </c>
      <c r="AS695" t="s">
        <v>13774</v>
      </c>
      <c r="AT695" t="s">
        <v>6987</v>
      </c>
      <c r="AU695">
        <v>2019</v>
      </c>
      <c r="AV695">
        <v>14</v>
      </c>
      <c r="AW695" t="s">
        <v>74</v>
      </c>
      <c r="AX695" t="s">
        <v>74</v>
      </c>
      <c r="AY695" t="s">
        <v>74</v>
      </c>
      <c r="AZ695" t="s">
        <v>74</v>
      </c>
      <c r="BA695" t="s">
        <v>74</v>
      </c>
      <c r="BB695" t="s">
        <v>74</v>
      </c>
      <c r="BC695" t="s">
        <v>74</v>
      </c>
      <c r="BD695" t="s">
        <v>13775</v>
      </c>
      <c r="BE695" t="s">
        <v>13776</v>
      </c>
      <c r="BF695" t="str">
        <f>HYPERLINK("http://dx.doi.org/10.1088/1748-0221/14/10/P10009","http://dx.doi.org/10.1088/1748-0221/14/10/P10009")</f>
        <v>http://dx.doi.org/10.1088/1748-0221/14/10/P10009</v>
      </c>
      <c r="BG695" t="s">
        <v>74</v>
      </c>
      <c r="BH695" t="s">
        <v>74</v>
      </c>
      <c r="BI695">
        <v>18</v>
      </c>
      <c r="BJ695" t="s">
        <v>13777</v>
      </c>
      <c r="BK695" t="s">
        <v>294</v>
      </c>
      <c r="BL695" t="s">
        <v>13777</v>
      </c>
      <c r="BM695" t="s">
        <v>13778</v>
      </c>
      <c r="BN695" t="s">
        <v>74</v>
      </c>
      <c r="BO695" t="s">
        <v>666</v>
      </c>
      <c r="BP695" t="s">
        <v>74</v>
      </c>
      <c r="BQ695" t="s">
        <v>74</v>
      </c>
      <c r="BR695" t="s">
        <v>108</v>
      </c>
      <c r="BS695" t="s">
        <v>13779</v>
      </c>
      <c r="BT695" t="str">
        <f>HYPERLINK("https%3A%2F%2Fwww.webofscience.com%2Fwos%2Fwoscc%2Ffull-record%2FWOS:000501798100009","View Full Record in Web of Science")</f>
        <v>View Full Record in Web of Science</v>
      </c>
    </row>
    <row r="696" spans="1:72" x14ac:dyDescent="0.15">
      <c r="A696" t="s">
        <v>133</v>
      </c>
      <c r="B696" t="s">
        <v>13780</v>
      </c>
      <c r="C696" t="s">
        <v>74</v>
      </c>
      <c r="D696" t="s">
        <v>74</v>
      </c>
      <c r="E696" t="s">
        <v>74</v>
      </c>
      <c r="F696" t="s">
        <v>13781</v>
      </c>
      <c r="G696" t="s">
        <v>74</v>
      </c>
      <c r="H696" t="s">
        <v>74</v>
      </c>
      <c r="I696" t="s">
        <v>13782</v>
      </c>
      <c r="J696" t="s">
        <v>13783</v>
      </c>
      <c r="K696" t="s">
        <v>74</v>
      </c>
      <c r="L696" t="s">
        <v>74</v>
      </c>
      <c r="M696" t="s">
        <v>80</v>
      </c>
      <c r="N696" t="s">
        <v>138</v>
      </c>
      <c r="O696" t="s">
        <v>74</v>
      </c>
      <c r="P696" t="s">
        <v>74</v>
      </c>
      <c r="Q696" t="s">
        <v>74</v>
      </c>
      <c r="R696" t="s">
        <v>74</v>
      </c>
      <c r="S696" t="s">
        <v>74</v>
      </c>
      <c r="T696" t="s">
        <v>74</v>
      </c>
      <c r="U696" t="s">
        <v>13784</v>
      </c>
      <c r="V696" t="s">
        <v>13785</v>
      </c>
      <c r="W696" t="s">
        <v>13786</v>
      </c>
      <c r="X696" t="s">
        <v>13787</v>
      </c>
      <c r="Y696" t="s">
        <v>13788</v>
      </c>
      <c r="Z696" t="s">
        <v>74</v>
      </c>
      <c r="AA696" t="s">
        <v>13789</v>
      </c>
      <c r="AB696" t="s">
        <v>13790</v>
      </c>
      <c r="AC696" t="s">
        <v>13791</v>
      </c>
      <c r="AD696" t="s">
        <v>13792</v>
      </c>
      <c r="AE696" t="s">
        <v>13793</v>
      </c>
      <c r="AF696" t="s">
        <v>74</v>
      </c>
      <c r="AG696">
        <v>44</v>
      </c>
      <c r="AH696">
        <v>5</v>
      </c>
      <c r="AI696">
        <v>5</v>
      </c>
      <c r="AJ696">
        <v>5</v>
      </c>
      <c r="AK696">
        <v>7</v>
      </c>
      <c r="AL696" t="s">
        <v>13794</v>
      </c>
      <c r="AM696" t="s">
        <v>9351</v>
      </c>
      <c r="AN696" t="s">
        <v>13704</v>
      </c>
      <c r="AO696" t="s">
        <v>13795</v>
      </c>
      <c r="AP696" t="s">
        <v>13796</v>
      </c>
      <c r="AQ696" t="s">
        <v>74</v>
      </c>
      <c r="AR696" t="s">
        <v>13783</v>
      </c>
      <c r="AS696" t="s">
        <v>13797</v>
      </c>
      <c r="AT696" t="s">
        <v>6987</v>
      </c>
      <c r="AU696">
        <v>2019</v>
      </c>
      <c r="AV696">
        <v>29</v>
      </c>
      <c r="AW696">
        <v>10</v>
      </c>
      <c r="AX696" t="s">
        <v>74</v>
      </c>
      <c r="AY696" t="s">
        <v>74</v>
      </c>
      <c r="AZ696" t="s">
        <v>74</v>
      </c>
      <c r="BA696" t="s">
        <v>74</v>
      </c>
      <c r="BB696" t="s">
        <v>74</v>
      </c>
      <c r="BC696" t="s">
        <v>74</v>
      </c>
      <c r="BD696">
        <v>101105</v>
      </c>
      <c r="BE696" t="s">
        <v>13798</v>
      </c>
      <c r="BF696" t="str">
        <f>HYPERLINK("http://dx.doi.org/10.1063/1.5127211","http://dx.doi.org/10.1063/1.5127211")</f>
        <v>http://dx.doi.org/10.1063/1.5127211</v>
      </c>
      <c r="BG696" t="s">
        <v>74</v>
      </c>
      <c r="BH696" t="s">
        <v>74</v>
      </c>
      <c r="BI696">
        <v>10</v>
      </c>
      <c r="BJ696" t="s">
        <v>13799</v>
      </c>
      <c r="BK696" t="s">
        <v>294</v>
      </c>
      <c r="BL696" t="s">
        <v>13800</v>
      </c>
      <c r="BM696" t="s">
        <v>13801</v>
      </c>
      <c r="BN696">
        <v>31675841</v>
      </c>
      <c r="BO696" t="s">
        <v>559</v>
      </c>
      <c r="BP696" t="s">
        <v>74</v>
      </c>
      <c r="BQ696" t="s">
        <v>74</v>
      </c>
      <c r="BR696" t="s">
        <v>108</v>
      </c>
      <c r="BS696" t="s">
        <v>13802</v>
      </c>
      <c r="BT696" t="str">
        <f>HYPERLINK("https%3A%2F%2Fwww.webofscience.com%2Fwos%2Fwoscc%2Ffull-record%2FWOS:000500821700005","View Full Record in Web of Science")</f>
        <v>View Full Record in Web of Science</v>
      </c>
    </row>
    <row r="697" spans="1:72" x14ac:dyDescent="0.15">
      <c r="A697" t="s">
        <v>133</v>
      </c>
      <c r="B697" t="s">
        <v>13803</v>
      </c>
      <c r="C697" t="s">
        <v>74</v>
      </c>
      <c r="D697" t="s">
        <v>74</v>
      </c>
      <c r="E697" t="s">
        <v>74</v>
      </c>
      <c r="F697" t="s">
        <v>13804</v>
      </c>
      <c r="G697" t="s">
        <v>74</v>
      </c>
      <c r="H697" t="s">
        <v>74</v>
      </c>
      <c r="I697" t="s">
        <v>13805</v>
      </c>
      <c r="J697" t="s">
        <v>3755</v>
      </c>
      <c r="K697" t="s">
        <v>74</v>
      </c>
      <c r="L697" t="s">
        <v>74</v>
      </c>
      <c r="M697" t="s">
        <v>80</v>
      </c>
      <c r="N697" t="s">
        <v>138</v>
      </c>
      <c r="O697" t="s">
        <v>74</v>
      </c>
      <c r="P697" t="s">
        <v>74</v>
      </c>
      <c r="Q697" t="s">
        <v>74</v>
      </c>
      <c r="R697" t="s">
        <v>74</v>
      </c>
      <c r="S697" t="s">
        <v>74</v>
      </c>
      <c r="T697" t="s">
        <v>13806</v>
      </c>
      <c r="U697" t="s">
        <v>13807</v>
      </c>
      <c r="V697" t="s">
        <v>13808</v>
      </c>
      <c r="W697" t="s">
        <v>13809</v>
      </c>
      <c r="X697" t="s">
        <v>13810</v>
      </c>
      <c r="Y697" t="s">
        <v>13811</v>
      </c>
      <c r="Z697" t="s">
        <v>13812</v>
      </c>
      <c r="AA697" t="s">
        <v>13813</v>
      </c>
      <c r="AB697" t="s">
        <v>13814</v>
      </c>
      <c r="AC697" t="s">
        <v>13815</v>
      </c>
      <c r="AD697" t="s">
        <v>13816</v>
      </c>
      <c r="AE697" t="s">
        <v>13817</v>
      </c>
      <c r="AF697" t="s">
        <v>74</v>
      </c>
      <c r="AG697">
        <v>42</v>
      </c>
      <c r="AH697">
        <v>11</v>
      </c>
      <c r="AI697">
        <v>11</v>
      </c>
      <c r="AJ697">
        <v>1</v>
      </c>
      <c r="AK697">
        <v>7</v>
      </c>
      <c r="AL697" t="s">
        <v>96</v>
      </c>
      <c r="AM697" t="s">
        <v>97</v>
      </c>
      <c r="AN697" t="s">
        <v>3769</v>
      </c>
      <c r="AO697" t="s">
        <v>3770</v>
      </c>
      <c r="AP697" t="s">
        <v>74</v>
      </c>
      <c r="AQ697" t="s">
        <v>74</v>
      </c>
      <c r="AR697" t="s">
        <v>3771</v>
      </c>
      <c r="AS697" t="s">
        <v>3772</v>
      </c>
      <c r="AT697" t="s">
        <v>6987</v>
      </c>
      <c r="AU697">
        <v>2019</v>
      </c>
      <c r="AV697">
        <v>14</v>
      </c>
      <c r="AW697">
        <v>10</v>
      </c>
      <c r="AX697" t="s">
        <v>74</v>
      </c>
      <c r="AY697" t="s">
        <v>74</v>
      </c>
      <c r="AZ697" t="s">
        <v>74</v>
      </c>
      <c r="BA697" t="s">
        <v>74</v>
      </c>
      <c r="BB697" t="s">
        <v>74</v>
      </c>
      <c r="BC697" t="s">
        <v>74</v>
      </c>
      <c r="BD697">
        <v>104003</v>
      </c>
      <c r="BE697" t="s">
        <v>13818</v>
      </c>
      <c r="BF697" t="str">
        <f>HYPERLINK("http://dx.doi.org/10.1088/1748-9326/ab3b8d","http://dx.doi.org/10.1088/1748-9326/ab3b8d")</f>
        <v>http://dx.doi.org/10.1088/1748-9326/ab3b8d</v>
      </c>
      <c r="BG697" t="s">
        <v>74</v>
      </c>
      <c r="BH697" t="s">
        <v>74</v>
      </c>
      <c r="BI697">
        <v>10</v>
      </c>
      <c r="BJ697" t="s">
        <v>103</v>
      </c>
      <c r="BK697" t="s">
        <v>294</v>
      </c>
      <c r="BL697" t="s">
        <v>105</v>
      </c>
      <c r="BM697" t="s">
        <v>13819</v>
      </c>
      <c r="BN697" t="s">
        <v>74</v>
      </c>
      <c r="BO697" t="s">
        <v>1688</v>
      </c>
      <c r="BP697" t="s">
        <v>74</v>
      </c>
      <c r="BQ697" t="s">
        <v>74</v>
      </c>
      <c r="BR697" t="s">
        <v>108</v>
      </c>
      <c r="BS697" t="s">
        <v>13820</v>
      </c>
      <c r="BT697" t="str">
        <f>HYPERLINK("https%3A%2F%2Fwww.webofscience.com%2Fwos%2Fwoscc%2Ffull-record%2FWOS:000500817400001","View Full Record in Web of Science")</f>
        <v>View Full Record in Web of Science</v>
      </c>
    </row>
    <row r="698" spans="1:72" x14ac:dyDescent="0.15">
      <c r="A698" t="s">
        <v>133</v>
      </c>
      <c r="B698" t="s">
        <v>13821</v>
      </c>
      <c r="C698" t="s">
        <v>74</v>
      </c>
      <c r="D698" t="s">
        <v>74</v>
      </c>
      <c r="E698" t="s">
        <v>74</v>
      </c>
      <c r="F698" t="s">
        <v>13822</v>
      </c>
      <c r="G698" t="s">
        <v>74</v>
      </c>
      <c r="H698" t="s">
        <v>74</v>
      </c>
      <c r="I698" t="s">
        <v>13823</v>
      </c>
      <c r="J698" t="s">
        <v>4037</v>
      </c>
      <c r="K698" t="s">
        <v>74</v>
      </c>
      <c r="L698" t="s">
        <v>74</v>
      </c>
      <c r="M698" t="s">
        <v>80</v>
      </c>
      <c r="N698" t="s">
        <v>138</v>
      </c>
      <c r="O698" t="s">
        <v>74</v>
      </c>
      <c r="P698" t="s">
        <v>74</v>
      </c>
      <c r="Q698" t="s">
        <v>74</v>
      </c>
      <c r="R698" t="s">
        <v>74</v>
      </c>
      <c r="S698" t="s">
        <v>74</v>
      </c>
      <c r="T698" t="s">
        <v>13824</v>
      </c>
      <c r="U698" t="s">
        <v>13825</v>
      </c>
      <c r="V698" t="s">
        <v>13826</v>
      </c>
      <c r="W698" t="s">
        <v>13827</v>
      </c>
      <c r="X698" t="s">
        <v>13828</v>
      </c>
      <c r="Y698" t="s">
        <v>13829</v>
      </c>
      <c r="Z698" t="s">
        <v>13830</v>
      </c>
      <c r="AA698" t="s">
        <v>13831</v>
      </c>
      <c r="AB698" t="s">
        <v>13832</v>
      </c>
      <c r="AC698" t="s">
        <v>13833</v>
      </c>
      <c r="AD698" t="s">
        <v>13834</v>
      </c>
      <c r="AE698" t="s">
        <v>13835</v>
      </c>
      <c r="AF698" t="s">
        <v>74</v>
      </c>
      <c r="AG698">
        <v>24</v>
      </c>
      <c r="AH698">
        <v>1</v>
      </c>
      <c r="AI698">
        <v>1</v>
      </c>
      <c r="AJ698">
        <v>0</v>
      </c>
      <c r="AK698">
        <v>4</v>
      </c>
      <c r="AL698" t="s">
        <v>4050</v>
      </c>
      <c r="AM698" t="s">
        <v>4051</v>
      </c>
      <c r="AN698" t="s">
        <v>4052</v>
      </c>
      <c r="AO698" t="s">
        <v>4053</v>
      </c>
      <c r="AP698" t="s">
        <v>4054</v>
      </c>
      <c r="AQ698" t="s">
        <v>74</v>
      </c>
      <c r="AR698" t="s">
        <v>4055</v>
      </c>
      <c r="AS698" t="s">
        <v>4056</v>
      </c>
      <c r="AT698" t="s">
        <v>6987</v>
      </c>
      <c r="AU698">
        <v>2019</v>
      </c>
      <c r="AV698">
        <v>114</v>
      </c>
      <c r="AW698">
        <v>5</v>
      </c>
      <c r="AX698" t="s">
        <v>74</v>
      </c>
      <c r="AY698" t="s">
        <v>74</v>
      </c>
      <c r="AZ698" t="s">
        <v>74</v>
      </c>
      <c r="BA698" t="s">
        <v>74</v>
      </c>
      <c r="BB698">
        <v>238</v>
      </c>
      <c r="BC698">
        <v>251</v>
      </c>
      <c r="BD698" t="s">
        <v>74</v>
      </c>
      <c r="BE698" t="s">
        <v>13836</v>
      </c>
      <c r="BF698" t="str">
        <f>HYPERLINK("http://dx.doi.org/10.2465/jmps.190509","http://dx.doi.org/10.2465/jmps.190509")</f>
        <v>http://dx.doi.org/10.2465/jmps.190509</v>
      </c>
      <c r="BG698" t="s">
        <v>74</v>
      </c>
      <c r="BH698" t="s">
        <v>74</v>
      </c>
      <c r="BI698">
        <v>14</v>
      </c>
      <c r="BJ698" t="s">
        <v>4058</v>
      </c>
      <c r="BK698" t="s">
        <v>294</v>
      </c>
      <c r="BL698" t="s">
        <v>4058</v>
      </c>
      <c r="BM698" t="s">
        <v>13837</v>
      </c>
      <c r="BN698" t="s">
        <v>74</v>
      </c>
      <c r="BO698" t="s">
        <v>107</v>
      </c>
      <c r="BP698" t="s">
        <v>74</v>
      </c>
      <c r="BQ698" t="s">
        <v>74</v>
      </c>
      <c r="BR698" t="s">
        <v>108</v>
      </c>
      <c r="BS698" t="s">
        <v>13838</v>
      </c>
      <c r="BT698" t="str">
        <f>HYPERLINK("https%3A%2F%2Fwww.webofscience.com%2Fwos%2Fwoscc%2Ffull-record%2FWOS:000500924500004","View Full Record in Web of Science")</f>
        <v>View Full Record in Web of Science</v>
      </c>
    </row>
    <row r="699" spans="1:72" x14ac:dyDescent="0.15">
      <c r="A699" t="s">
        <v>133</v>
      </c>
      <c r="B699" t="s">
        <v>13839</v>
      </c>
      <c r="C699" t="s">
        <v>74</v>
      </c>
      <c r="D699" t="s">
        <v>74</v>
      </c>
      <c r="E699" t="s">
        <v>74</v>
      </c>
      <c r="F699" t="s">
        <v>13840</v>
      </c>
      <c r="G699" t="s">
        <v>74</v>
      </c>
      <c r="H699" t="s">
        <v>74</v>
      </c>
      <c r="I699" t="s">
        <v>13841</v>
      </c>
      <c r="J699" t="s">
        <v>13842</v>
      </c>
      <c r="K699" t="s">
        <v>74</v>
      </c>
      <c r="L699" t="s">
        <v>74</v>
      </c>
      <c r="M699" t="s">
        <v>80</v>
      </c>
      <c r="N699" t="s">
        <v>138</v>
      </c>
      <c r="O699" t="s">
        <v>74</v>
      </c>
      <c r="P699" t="s">
        <v>74</v>
      </c>
      <c r="Q699" t="s">
        <v>74</v>
      </c>
      <c r="R699" t="s">
        <v>74</v>
      </c>
      <c r="S699" t="s">
        <v>74</v>
      </c>
      <c r="T699" t="s">
        <v>13843</v>
      </c>
      <c r="U699" t="s">
        <v>13844</v>
      </c>
      <c r="V699" t="s">
        <v>13845</v>
      </c>
      <c r="W699" t="s">
        <v>13846</v>
      </c>
      <c r="X699" t="s">
        <v>13847</v>
      </c>
      <c r="Y699" t="s">
        <v>13848</v>
      </c>
      <c r="Z699" t="s">
        <v>13849</v>
      </c>
      <c r="AA699" t="s">
        <v>13850</v>
      </c>
      <c r="AB699" t="s">
        <v>13851</v>
      </c>
      <c r="AC699" t="s">
        <v>13852</v>
      </c>
      <c r="AD699" t="s">
        <v>13853</v>
      </c>
      <c r="AE699" t="s">
        <v>13854</v>
      </c>
      <c r="AF699" t="s">
        <v>74</v>
      </c>
      <c r="AG699">
        <v>23</v>
      </c>
      <c r="AH699">
        <v>4</v>
      </c>
      <c r="AI699">
        <v>4</v>
      </c>
      <c r="AJ699">
        <v>3</v>
      </c>
      <c r="AK699">
        <v>25</v>
      </c>
      <c r="AL699" t="s">
        <v>13855</v>
      </c>
      <c r="AM699" t="s">
        <v>13856</v>
      </c>
      <c r="AN699" t="s">
        <v>13857</v>
      </c>
      <c r="AO699" t="s">
        <v>13858</v>
      </c>
      <c r="AP699" t="s">
        <v>13859</v>
      </c>
      <c r="AQ699" t="s">
        <v>74</v>
      </c>
      <c r="AR699" t="s">
        <v>13860</v>
      </c>
      <c r="AS699" t="s">
        <v>13861</v>
      </c>
      <c r="AT699" t="s">
        <v>13862</v>
      </c>
      <c r="AU699">
        <v>2019</v>
      </c>
      <c r="AV699">
        <v>39</v>
      </c>
      <c r="AW699">
        <v>4</v>
      </c>
      <c r="AX699" t="s">
        <v>74</v>
      </c>
      <c r="AY699" t="s">
        <v>74</v>
      </c>
      <c r="AZ699" t="s">
        <v>74</v>
      </c>
      <c r="BA699" t="s">
        <v>74</v>
      </c>
      <c r="BB699">
        <v>905</v>
      </c>
      <c r="BC699">
        <v>911</v>
      </c>
      <c r="BD699" t="s">
        <v>74</v>
      </c>
      <c r="BE699" t="s">
        <v>13863</v>
      </c>
      <c r="BF699" t="str">
        <f>HYPERLINK("http://dx.doi.org/10.1590/fst.11418","http://dx.doi.org/10.1590/fst.11418")</f>
        <v>http://dx.doi.org/10.1590/fst.11418</v>
      </c>
      <c r="BG699" t="s">
        <v>74</v>
      </c>
      <c r="BH699" t="s">
        <v>74</v>
      </c>
      <c r="BI699">
        <v>7</v>
      </c>
      <c r="BJ699" t="s">
        <v>13864</v>
      </c>
      <c r="BK699" t="s">
        <v>294</v>
      </c>
      <c r="BL699" t="s">
        <v>13864</v>
      </c>
      <c r="BM699" t="s">
        <v>13865</v>
      </c>
      <c r="BN699" t="s">
        <v>74</v>
      </c>
      <c r="BO699" t="s">
        <v>693</v>
      </c>
      <c r="BP699" t="s">
        <v>74</v>
      </c>
      <c r="BQ699" t="s">
        <v>74</v>
      </c>
      <c r="BR699" t="s">
        <v>108</v>
      </c>
      <c r="BS699" t="s">
        <v>13866</v>
      </c>
      <c r="BT699" t="str">
        <f>HYPERLINK("https%3A%2F%2Fwww.webofscience.com%2Fwos%2Fwoscc%2Ffull-record%2FWOS:000499659400017","View Full Record in Web of Science")</f>
        <v>View Full Record in Web of Science</v>
      </c>
    </row>
    <row r="700" spans="1:72" x14ac:dyDescent="0.15">
      <c r="A700" t="s">
        <v>133</v>
      </c>
      <c r="B700" t="s">
        <v>13867</v>
      </c>
      <c r="C700" t="s">
        <v>74</v>
      </c>
      <c r="D700" t="s">
        <v>74</v>
      </c>
      <c r="E700" t="s">
        <v>74</v>
      </c>
      <c r="F700" t="s">
        <v>13868</v>
      </c>
      <c r="G700" t="s">
        <v>74</v>
      </c>
      <c r="H700" t="s">
        <v>74</v>
      </c>
      <c r="I700" t="s">
        <v>13869</v>
      </c>
      <c r="J700" t="s">
        <v>4239</v>
      </c>
      <c r="K700" t="s">
        <v>74</v>
      </c>
      <c r="L700" t="s">
        <v>74</v>
      </c>
      <c r="M700" t="s">
        <v>80</v>
      </c>
      <c r="N700" t="s">
        <v>138</v>
      </c>
      <c r="O700" t="s">
        <v>74</v>
      </c>
      <c r="P700" t="s">
        <v>74</v>
      </c>
      <c r="Q700" t="s">
        <v>74</v>
      </c>
      <c r="R700" t="s">
        <v>74</v>
      </c>
      <c r="S700" t="s">
        <v>74</v>
      </c>
      <c r="T700" t="s">
        <v>13870</v>
      </c>
      <c r="U700" t="s">
        <v>13871</v>
      </c>
      <c r="V700" t="s">
        <v>13872</v>
      </c>
      <c r="W700" t="s">
        <v>13873</v>
      </c>
      <c r="X700" t="s">
        <v>13874</v>
      </c>
      <c r="Y700" t="s">
        <v>13875</v>
      </c>
      <c r="Z700" t="s">
        <v>13876</v>
      </c>
      <c r="AA700" t="s">
        <v>13877</v>
      </c>
      <c r="AB700" t="s">
        <v>13878</v>
      </c>
      <c r="AC700" t="s">
        <v>13879</v>
      </c>
      <c r="AD700" t="s">
        <v>1522</v>
      </c>
      <c r="AE700" t="s">
        <v>13880</v>
      </c>
      <c r="AF700" t="s">
        <v>74</v>
      </c>
      <c r="AG700">
        <v>61</v>
      </c>
      <c r="AH700">
        <v>6</v>
      </c>
      <c r="AI700">
        <v>6</v>
      </c>
      <c r="AJ700">
        <v>0</v>
      </c>
      <c r="AK700">
        <v>3</v>
      </c>
      <c r="AL700" t="s">
        <v>683</v>
      </c>
      <c r="AM700" t="s">
        <v>684</v>
      </c>
      <c r="AN700" t="s">
        <v>685</v>
      </c>
      <c r="AO700" t="s">
        <v>74</v>
      </c>
      <c r="AP700" t="s">
        <v>4252</v>
      </c>
      <c r="AQ700" t="s">
        <v>74</v>
      </c>
      <c r="AR700" t="s">
        <v>4239</v>
      </c>
      <c r="AS700" t="s">
        <v>4253</v>
      </c>
      <c r="AT700" t="s">
        <v>6987</v>
      </c>
      <c r="AU700">
        <v>2019</v>
      </c>
      <c r="AV700">
        <v>9</v>
      </c>
      <c r="AW700">
        <v>10</v>
      </c>
      <c r="AX700" t="s">
        <v>74</v>
      </c>
      <c r="AY700" t="s">
        <v>74</v>
      </c>
      <c r="AZ700" t="s">
        <v>74</v>
      </c>
      <c r="BA700" t="s">
        <v>74</v>
      </c>
      <c r="BB700" t="s">
        <v>74</v>
      </c>
      <c r="BC700" t="s">
        <v>74</v>
      </c>
      <c r="BD700">
        <v>413</v>
      </c>
      <c r="BE700" t="s">
        <v>13881</v>
      </c>
      <c r="BF700" t="str">
        <f>HYPERLINK("http://dx.doi.org/10.3390/geosciences9100413","http://dx.doi.org/10.3390/geosciences9100413")</f>
        <v>http://dx.doi.org/10.3390/geosciences9100413</v>
      </c>
      <c r="BG700" t="s">
        <v>74</v>
      </c>
      <c r="BH700" t="s">
        <v>74</v>
      </c>
      <c r="BI700">
        <v>19</v>
      </c>
      <c r="BJ700" t="s">
        <v>849</v>
      </c>
      <c r="BK700" t="s">
        <v>160</v>
      </c>
      <c r="BL700" t="s">
        <v>850</v>
      </c>
      <c r="BM700" t="s">
        <v>13882</v>
      </c>
      <c r="BN700" t="s">
        <v>74</v>
      </c>
      <c r="BO700" t="s">
        <v>2934</v>
      </c>
      <c r="BP700" t="s">
        <v>74</v>
      </c>
      <c r="BQ700" t="s">
        <v>74</v>
      </c>
      <c r="BR700" t="s">
        <v>108</v>
      </c>
      <c r="BS700" t="s">
        <v>13883</v>
      </c>
      <c r="BT700" t="str">
        <f>HYPERLINK("https%3A%2F%2Fwww.webofscience.com%2Fwos%2Fwoscc%2Ffull-record%2FWOS:000498271100009","View Full Record in Web of Science")</f>
        <v>View Full Record in Web of Science</v>
      </c>
    </row>
    <row r="701" spans="1:72" x14ac:dyDescent="0.15">
      <c r="A701" t="s">
        <v>133</v>
      </c>
      <c r="B701" t="s">
        <v>13884</v>
      </c>
      <c r="C701" t="s">
        <v>74</v>
      </c>
      <c r="D701" t="s">
        <v>74</v>
      </c>
      <c r="E701" t="s">
        <v>74</v>
      </c>
      <c r="F701" t="s">
        <v>13885</v>
      </c>
      <c r="G701" t="s">
        <v>74</v>
      </c>
      <c r="H701" t="s">
        <v>74</v>
      </c>
      <c r="I701" t="s">
        <v>13886</v>
      </c>
      <c r="J701" t="s">
        <v>4239</v>
      </c>
      <c r="K701" t="s">
        <v>74</v>
      </c>
      <c r="L701" t="s">
        <v>74</v>
      </c>
      <c r="M701" t="s">
        <v>80</v>
      </c>
      <c r="N701" t="s">
        <v>138</v>
      </c>
      <c r="O701" t="s">
        <v>74</v>
      </c>
      <c r="P701" t="s">
        <v>74</v>
      </c>
      <c r="Q701" t="s">
        <v>74</v>
      </c>
      <c r="R701" t="s">
        <v>74</v>
      </c>
      <c r="S701" t="s">
        <v>74</v>
      </c>
      <c r="T701" t="s">
        <v>13887</v>
      </c>
      <c r="U701" t="s">
        <v>13888</v>
      </c>
      <c r="V701" t="s">
        <v>13889</v>
      </c>
      <c r="W701" t="s">
        <v>13890</v>
      </c>
      <c r="X701" t="s">
        <v>13891</v>
      </c>
      <c r="Y701" t="s">
        <v>13892</v>
      </c>
      <c r="Z701" t="s">
        <v>13893</v>
      </c>
      <c r="AA701" t="s">
        <v>13894</v>
      </c>
      <c r="AB701" t="s">
        <v>13895</v>
      </c>
      <c r="AC701" t="s">
        <v>13896</v>
      </c>
      <c r="AD701" t="s">
        <v>13897</v>
      </c>
      <c r="AE701" t="s">
        <v>13898</v>
      </c>
      <c r="AF701" t="s">
        <v>74</v>
      </c>
      <c r="AG701">
        <v>57</v>
      </c>
      <c r="AH701">
        <v>25</v>
      </c>
      <c r="AI701">
        <v>27</v>
      </c>
      <c r="AJ701">
        <v>1</v>
      </c>
      <c r="AK701">
        <v>17</v>
      </c>
      <c r="AL701" t="s">
        <v>683</v>
      </c>
      <c r="AM701" t="s">
        <v>684</v>
      </c>
      <c r="AN701" t="s">
        <v>685</v>
      </c>
      <c r="AO701" t="s">
        <v>74</v>
      </c>
      <c r="AP701" t="s">
        <v>4252</v>
      </c>
      <c r="AQ701" t="s">
        <v>74</v>
      </c>
      <c r="AR701" t="s">
        <v>4239</v>
      </c>
      <c r="AS701" t="s">
        <v>4253</v>
      </c>
      <c r="AT701" t="s">
        <v>6987</v>
      </c>
      <c r="AU701">
        <v>2019</v>
      </c>
      <c r="AV701">
        <v>9</v>
      </c>
      <c r="AW701">
        <v>10</v>
      </c>
      <c r="AX701" t="s">
        <v>74</v>
      </c>
      <c r="AY701" t="s">
        <v>74</v>
      </c>
      <c r="AZ701" t="s">
        <v>74</v>
      </c>
      <c r="BA701" t="s">
        <v>74</v>
      </c>
      <c r="BB701" t="s">
        <v>74</v>
      </c>
      <c r="BC701" t="s">
        <v>74</v>
      </c>
      <c r="BD701">
        <v>415</v>
      </c>
      <c r="BE701" t="s">
        <v>13899</v>
      </c>
      <c r="BF701" t="str">
        <f>HYPERLINK("http://dx.doi.org/10.3390/geosciences9100415","http://dx.doi.org/10.3390/geosciences9100415")</f>
        <v>http://dx.doi.org/10.3390/geosciences9100415</v>
      </c>
      <c r="BG701" t="s">
        <v>74</v>
      </c>
      <c r="BH701" t="s">
        <v>74</v>
      </c>
      <c r="BI701">
        <v>31</v>
      </c>
      <c r="BJ701" t="s">
        <v>849</v>
      </c>
      <c r="BK701" t="s">
        <v>160</v>
      </c>
      <c r="BL701" t="s">
        <v>850</v>
      </c>
      <c r="BM701" t="s">
        <v>13882</v>
      </c>
      <c r="BN701" t="s">
        <v>74</v>
      </c>
      <c r="BO701" t="s">
        <v>2107</v>
      </c>
      <c r="BP701" t="s">
        <v>74</v>
      </c>
      <c r="BQ701" t="s">
        <v>74</v>
      </c>
      <c r="BR701" t="s">
        <v>108</v>
      </c>
      <c r="BS701" t="s">
        <v>13900</v>
      </c>
      <c r="BT701" t="str">
        <f>HYPERLINK("https%3A%2F%2Fwww.webofscience.com%2Fwos%2Fwoscc%2Ffull-record%2FWOS:000498271100011","View Full Record in Web of Science")</f>
        <v>View Full Record in Web of Science</v>
      </c>
    </row>
    <row r="702" spans="1:72" x14ac:dyDescent="0.15">
      <c r="A702" t="s">
        <v>133</v>
      </c>
      <c r="B702" t="s">
        <v>13901</v>
      </c>
      <c r="C702" t="s">
        <v>74</v>
      </c>
      <c r="D702" t="s">
        <v>74</v>
      </c>
      <c r="E702" t="s">
        <v>74</v>
      </c>
      <c r="F702" t="s">
        <v>13902</v>
      </c>
      <c r="G702" t="s">
        <v>74</v>
      </c>
      <c r="H702" t="s">
        <v>74</v>
      </c>
      <c r="I702" t="s">
        <v>13903</v>
      </c>
      <c r="J702" t="s">
        <v>13904</v>
      </c>
      <c r="K702" t="s">
        <v>74</v>
      </c>
      <c r="L702" t="s">
        <v>74</v>
      </c>
      <c r="M702" t="s">
        <v>13905</v>
      </c>
      <c r="N702" t="s">
        <v>138</v>
      </c>
      <c r="O702" t="s">
        <v>74</v>
      </c>
      <c r="P702" t="s">
        <v>74</v>
      </c>
      <c r="Q702" t="s">
        <v>74</v>
      </c>
      <c r="R702" t="s">
        <v>74</v>
      </c>
      <c r="S702" t="s">
        <v>74</v>
      </c>
      <c r="T702" t="s">
        <v>13906</v>
      </c>
      <c r="U702" t="s">
        <v>74</v>
      </c>
      <c r="V702" t="s">
        <v>13907</v>
      </c>
      <c r="W702" t="s">
        <v>13908</v>
      </c>
      <c r="X702" t="s">
        <v>13909</v>
      </c>
      <c r="Y702" t="s">
        <v>13910</v>
      </c>
      <c r="Z702" t="s">
        <v>13911</v>
      </c>
      <c r="AA702" t="s">
        <v>13912</v>
      </c>
      <c r="AB702" t="s">
        <v>13913</v>
      </c>
      <c r="AC702" t="s">
        <v>74</v>
      </c>
      <c r="AD702" t="s">
        <v>74</v>
      </c>
      <c r="AE702" t="s">
        <v>74</v>
      </c>
      <c r="AF702" t="s">
        <v>74</v>
      </c>
      <c r="AG702">
        <v>6</v>
      </c>
      <c r="AH702">
        <v>0</v>
      </c>
      <c r="AI702">
        <v>0</v>
      </c>
      <c r="AJ702">
        <v>0</v>
      </c>
      <c r="AK702">
        <v>3</v>
      </c>
      <c r="AL702" t="s">
        <v>13914</v>
      </c>
      <c r="AM702" t="s">
        <v>13915</v>
      </c>
      <c r="AN702" t="s">
        <v>13916</v>
      </c>
      <c r="AO702" t="s">
        <v>13917</v>
      </c>
      <c r="AP702" t="s">
        <v>13918</v>
      </c>
      <c r="AQ702" t="s">
        <v>74</v>
      </c>
      <c r="AR702" t="s">
        <v>13919</v>
      </c>
      <c r="AS702" t="s">
        <v>13920</v>
      </c>
      <c r="AT702" t="s">
        <v>6987</v>
      </c>
      <c r="AU702">
        <v>2019</v>
      </c>
      <c r="AV702" t="s">
        <v>74</v>
      </c>
      <c r="AW702">
        <v>447</v>
      </c>
      <c r="AX702" t="s">
        <v>74</v>
      </c>
      <c r="AY702" t="s">
        <v>74</v>
      </c>
      <c r="AZ702" t="s">
        <v>74</v>
      </c>
      <c r="BA702" t="s">
        <v>74</v>
      </c>
      <c r="BB702">
        <v>96</v>
      </c>
      <c r="BC702">
        <v>104</v>
      </c>
      <c r="BD702" t="s">
        <v>74</v>
      </c>
      <c r="BE702" t="s">
        <v>13921</v>
      </c>
      <c r="BF702" t="str">
        <f>HYPERLINK("http://dx.doi.org/10.17223/15617793/447/12","http://dx.doi.org/10.17223/15617793/447/12")</f>
        <v>http://dx.doi.org/10.17223/15617793/447/12</v>
      </c>
      <c r="BG702" t="s">
        <v>74</v>
      </c>
      <c r="BH702" t="s">
        <v>74</v>
      </c>
      <c r="BI702">
        <v>9</v>
      </c>
      <c r="BJ702" t="s">
        <v>1245</v>
      </c>
      <c r="BK702" t="s">
        <v>160</v>
      </c>
      <c r="BL702" t="s">
        <v>1246</v>
      </c>
      <c r="BM702" t="s">
        <v>13922</v>
      </c>
      <c r="BN702" t="s">
        <v>74</v>
      </c>
      <c r="BO702" t="s">
        <v>588</v>
      </c>
      <c r="BP702" t="s">
        <v>74</v>
      </c>
      <c r="BQ702" t="s">
        <v>74</v>
      </c>
      <c r="BR702" t="s">
        <v>108</v>
      </c>
      <c r="BS702" t="s">
        <v>13923</v>
      </c>
      <c r="BT702" t="str">
        <f>HYPERLINK("https%3A%2F%2Fwww.webofscience.com%2Fwos%2Fwoscc%2Ffull-record%2FWOS:000498882000012","View Full Record in Web of Science")</f>
        <v>View Full Record in Web of Science</v>
      </c>
    </row>
    <row r="703" spans="1:72" x14ac:dyDescent="0.15">
      <c r="A703" t="s">
        <v>133</v>
      </c>
      <c r="B703" t="s">
        <v>13924</v>
      </c>
      <c r="C703" t="s">
        <v>74</v>
      </c>
      <c r="D703" t="s">
        <v>74</v>
      </c>
      <c r="E703" t="s">
        <v>74</v>
      </c>
      <c r="F703" t="s">
        <v>13925</v>
      </c>
      <c r="G703" t="s">
        <v>74</v>
      </c>
      <c r="H703" t="s">
        <v>74</v>
      </c>
      <c r="I703" t="s">
        <v>13926</v>
      </c>
      <c r="J703" t="s">
        <v>4064</v>
      </c>
      <c r="K703" t="s">
        <v>74</v>
      </c>
      <c r="L703" t="s">
        <v>74</v>
      </c>
      <c r="M703" t="s">
        <v>80</v>
      </c>
      <c r="N703" t="s">
        <v>138</v>
      </c>
      <c r="O703" t="s">
        <v>74</v>
      </c>
      <c r="P703" t="s">
        <v>74</v>
      </c>
      <c r="Q703" t="s">
        <v>74</v>
      </c>
      <c r="R703" t="s">
        <v>74</v>
      </c>
      <c r="S703" t="s">
        <v>74</v>
      </c>
      <c r="T703" t="s">
        <v>13927</v>
      </c>
      <c r="U703" t="s">
        <v>13928</v>
      </c>
      <c r="V703" t="s">
        <v>13929</v>
      </c>
      <c r="W703" t="s">
        <v>13930</v>
      </c>
      <c r="X703" t="s">
        <v>13931</v>
      </c>
      <c r="Y703" t="s">
        <v>13932</v>
      </c>
      <c r="Z703" t="s">
        <v>13933</v>
      </c>
      <c r="AA703" t="s">
        <v>13934</v>
      </c>
      <c r="AB703" t="s">
        <v>13935</v>
      </c>
      <c r="AC703" t="s">
        <v>13936</v>
      </c>
      <c r="AD703" t="s">
        <v>13937</v>
      </c>
      <c r="AE703" t="s">
        <v>13938</v>
      </c>
      <c r="AF703" t="s">
        <v>74</v>
      </c>
      <c r="AG703">
        <v>54</v>
      </c>
      <c r="AH703">
        <v>6</v>
      </c>
      <c r="AI703">
        <v>6</v>
      </c>
      <c r="AJ703">
        <v>1</v>
      </c>
      <c r="AK703">
        <v>10</v>
      </c>
      <c r="AL703" t="s">
        <v>683</v>
      </c>
      <c r="AM703" t="s">
        <v>684</v>
      </c>
      <c r="AN703" t="s">
        <v>685</v>
      </c>
      <c r="AO703" t="s">
        <v>74</v>
      </c>
      <c r="AP703" t="s">
        <v>4077</v>
      </c>
      <c r="AQ703" t="s">
        <v>74</v>
      </c>
      <c r="AR703" t="s">
        <v>4078</v>
      </c>
      <c r="AS703" t="s">
        <v>4079</v>
      </c>
      <c r="AT703" t="s">
        <v>6987</v>
      </c>
      <c r="AU703">
        <v>2019</v>
      </c>
      <c r="AV703">
        <v>10</v>
      </c>
      <c r="AW703">
        <v>10</v>
      </c>
      <c r="AX703" t="s">
        <v>74</v>
      </c>
      <c r="AY703" t="s">
        <v>74</v>
      </c>
      <c r="AZ703" t="s">
        <v>74</v>
      </c>
      <c r="BA703" t="s">
        <v>74</v>
      </c>
      <c r="BB703" t="s">
        <v>74</v>
      </c>
      <c r="BC703" t="s">
        <v>74</v>
      </c>
      <c r="BD703">
        <v>585</v>
      </c>
      <c r="BE703" t="s">
        <v>13939</v>
      </c>
      <c r="BF703" t="str">
        <f>HYPERLINK("http://dx.doi.org/10.3390/atmos10100585","http://dx.doi.org/10.3390/atmos10100585")</f>
        <v>http://dx.doi.org/10.3390/atmos10100585</v>
      </c>
      <c r="BG703" t="s">
        <v>74</v>
      </c>
      <c r="BH703" t="s">
        <v>74</v>
      </c>
      <c r="BI703">
        <v>14</v>
      </c>
      <c r="BJ703" t="s">
        <v>103</v>
      </c>
      <c r="BK703" t="s">
        <v>294</v>
      </c>
      <c r="BL703" t="s">
        <v>105</v>
      </c>
      <c r="BM703" t="s">
        <v>13940</v>
      </c>
      <c r="BN703" t="s">
        <v>74</v>
      </c>
      <c r="BO703" t="s">
        <v>107</v>
      </c>
      <c r="BP703" t="s">
        <v>74</v>
      </c>
      <c r="BQ703" t="s">
        <v>74</v>
      </c>
      <c r="BR703" t="s">
        <v>108</v>
      </c>
      <c r="BS703" t="s">
        <v>13941</v>
      </c>
      <c r="BT703" t="str">
        <f>HYPERLINK("https%3A%2F%2Fwww.webofscience.com%2Fwos%2Fwoscc%2Ffull-record%2FWOS:000498267500023","View Full Record in Web of Science")</f>
        <v>View Full Record in Web of Science</v>
      </c>
    </row>
    <row r="704" spans="1:72" x14ac:dyDescent="0.15">
      <c r="A704" t="s">
        <v>133</v>
      </c>
      <c r="B704" t="s">
        <v>13942</v>
      </c>
      <c r="C704" t="s">
        <v>74</v>
      </c>
      <c r="D704" t="s">
        <v>74</v>
      </c>
      <c r="E704" t="s">
        <v>74</v>
      </c>
      <c r="F704" t="s">
        <v>13943</v>
      </c>
      <c r="G704" t="s">
        <v>74</v>
      </c>
      <c r="H704" t="s">
        <v>74</v>
      </c>
      <c r="I704" t="s">
        <v>13944</v>
      </c>
      <c r="J704" t="s">
        <v>4064</v>
      </c>
      <c r="K704" t="s">
        <v>74</v>
      </c>
      <c r="L704" t="s">
        <v>74</v>
      </c>
      <c r="M704" t="s">
        <v>80</v>
      </c>
      <c r="N704" t="s">
        <v>138</v>
      </c>
      <c r="O704" t="s">
        <v>74</v>
      </c>
      <c r="P704" t="s">
        <v>74</v>
      </c>
      <c r="Q704" t="s">
        <v>74</v>
      </c>
      <c r="R704" t="s">
        <v>74</v>
      </c>
      <c r="S704" t="s">
        <v>74</v>
      </c>
      <c r="T704" t="s">
        <v>13945</v>
      </c>
      <c r="U704" t="s">
        <v>13946</v>
      </c>
      <c r="V704" t="s">
        <v>13947</v>
      </c>
      <c r="W704" t="s">
        <v>13948</v>
      </c>
      <c r="X704" t="s">
        <v>13949</v>
      </c>
      <c r="Y704" t="s">
        <v>13950</v>
      </c>
      <c r="Z704" t="s">
        <v>13951</v>
      </c>
      <c r="AA704" t="s">
        <v>13952</v>
      </c>
      <c r="AB704" t="s">
        <v>13953</v>
      </c>
      <c r="AC704" t="s">
        <v>13954</v>
      </c>
      <c r="AD704" t="s">
        <v>13955</v>
      </c>
      <c r="AE704" t="s">
        <v>13956</v>
      </c>
      <c r="AF704" t="s">
        <v>74</v>
      </c>
      <c r="AG704">
        <v>68</v>
      </c>
      <c r="AH704">
        <v>2</v>
      </c>
      <c r="AI704">
        <v>2</v>
      </c>
      <c r="AJ704">
        <v>0</v>
      </c>
      <c r="AK704">
        <v>8</v>
      </c>
      <c r="AL704" t="s">
        <v>683</v>
      </c>
      <c r="AM704" t="s">
        <v>684</v>
      </c>
      <c r="AN704" t="s">
        <v>685</v>
      </c>
      <c r="AO704" t="s">
        <v>74</v>
      </c>
      <c r="AP704" t="s">
        <v>4077</v>
      </c>
      <c r="AQ704" t="s">
        <v>74</v>
      </c>
      <c r="AR704" t="s">
        <v>4078</v>
      </c>
      <c r="AS704" t="s">
        <v>4079</v>
      </c>
      <c r="AT704" t="s">
        <v>6987</v>
      </c>
      <c r="AU704">
        <v>2019</v>
      </c>
      <c r="AV704">
        <v>10</v>
      </c>
      <c r="AW704">
        <v>10</v>
      </c>
      <c r="AX704" t="s">
        <v>74</v>
      </c>
      <c r="AY704" t="s">
        <v>74</v>
      </c>
      <c r="AZ704" t="s">
        <v>74</v>
      </c>
      <c r="BA704" t="s">
        <v>74</v>
      </c>
      <c r="BB704" t="s">
        <v>74</v>
      </c>
      <c r="BC704" t="s">
        <v>74</v>
      </c>
      <c r="BD704">
        <v>627</v>
      </c>
      <c r="BE704" t="s">
        <v>13957</v>
      </c>
      <c r="BF704" t="str">
        <f>HYPERLINK("http://dx.doi.org/10.3390/atmos10100627","http://dx.doi.org/10.3390/atmos10100627")</f>
        <v>http://dx.doi.org/10.3390/atmos10100627</v>
      </c>
      <c r="BG704" t="s">
        <v>74</v>
      </c>
      <c r="BH704" t="s">
        <v>74</v>
      </c>
      <c r="BI704">
        <v>21</v>
      </c>
      <c r="BJ704" t="s">
        <v>103</v>
      </c>
      <c r="BK704" t="s">
        <v>294</v>
      </c>
      <c r="BL704" t="s">
        <v>105</v>
      </c>
      <c r="BM704" t="s">
        <v>13940</v>
      </c>
      <c r="BN704" t="s">
        <v>74</v>
      </c>
      <c r="BO704" t="s">
        <v>693</v>
      </c>
      <c r="BP704" t="s">
        <v>74</v>
      </c>
      <c r="BQ704" t="s">
        <v>74</v>
      </c>
      <c r="BR704" t="s">
        <v>108</v>
      </c>
      <c r="BS704" t="s">
        <v>13958</v>
      </c>
      <c r="BT704" t="str">
        <f>HYPERLINK("https%3A%2F%2Fwww.webofscience.com%2Fwos%2Fwoscc%2Ffull-record%2FWOS:000498267500065","View Full Record in Web of Science")</f>
        <v>View Full Record in Web of Science</v>
      </c>
    </row>
    <row r="705" spans="1:72" x14ac:dyDescent="0.15">
      <c r="A705" t="s">
        <v>133</v>
      </c>
      <c r="B705" t="s">
        <v>13959</v>
      </c>
      <c r="C705" t="s">
        <v>74</v>
      </c>
      <c r="D705" t="s">
        <v>74</v>
      </c>
      <c r="E705" t="s">
        <v>74</v>
      </c>
      <c r="F705" t="s">
        <v>13960</v>
      </c>
      <c r="G705" t="s">
        <v>74</v>
      </c>
      <c r="H705" t="s">
        <v>74</v>
      </c>
      <c r="I705" t="s">
        <v>13961</v>
      </c>
      <c r="J705" t="s">
        <v>13962</v>
      </c>
      <c r="K705" t="s">
        <v>74</v>
      </c>
      <c r="L705" t="s">
        <v>74</v>
      </c>
      <c r="M705" t="s">
        <v>80</v>
      </c>
      <c r="N705" t="s">
        <v>138</v>
      </c>
      <c r="O705" t="s">
        <v>74</v>
      </c>
      <c r="P705" t="s">
        <v>74</v>
      </c>
      <c r="Q705" t="s">
        <v>74</v>
      </c>
      <c r="R705" t="s">
        <v>74</v>
      </c>
      <c r="S705" t="s">
        <v>74</v>
      </c>
      <c r="T705" t="s">
        <v>13963</v>
      </c>
      <c r="U705" t="s">
        <v>13964</v>
      </c>
      <c r="V705" t="s">
        <v>13965</v>
      </c>
      <c r="W705" t="s">
        <v>13966</v>
      </c>
      <c r="X705" t="s">
        <v>13967</v>
      </c>
      <c r="Y705" t="s">
        <v>13968</v>
      </c>
      <c r="Z705" t="s">
        <v>13969</v>
      </c>
      <c r="AA705" t="s">
        <v>74</v>
      </c>
      <c r="AB705" t="s">
        <v>13970</v>
      </c>
      <c r="AC705" t="s">
        <v>13971</v>
      </c>
      <c r="AD705" t="s">
        <v>13972</v>
      </c>
      <c r="AE705" t="s">
        <v>13973</v>
      </c>
      <c r="AF705" t="s">
        <v>74</v>
      </c>
      <c r="AG705">
        <v>36</v>
      </c>
      <c r="AH705">
        <v>5</v>
      </c>
      <c r="AI705">
        <v>6</v>
      </c>
      <c r="AJ705">
        <v>1</v>
      </c>
      <c r="AK705">
        <v>9</v>
      </c>
      <c r="AL705" t="s">
        <v>683</v>
      </c>
      <c r="AM705" t="s">
        <v>684</v>
      </c>
      <c r="AN705" t="s">
        <v>685</v>
      </c>
      <c r="AO705" t="s">
        <v>74</v>
      </c>
      <c r="AP705" t="s">
        <v>13974</v>
      </c>
      <c r="AQ705" t="s">
        <v>74</v>
      </c>
      <c r="AR705" t="s">
        <v>13962</v>
      </c>
      <c r="AS705" t="s">
        <v>13975</v>
      </c>
      <c r="AT705" t="s">
        <v>6987</v>
      </c>
      <c r="AU705">
        <v>2019</v>
      </c>
      <c r="AV705">
        <v>9</v>
      </c>
      <c r="AW705">
        <v>10</v>
      </c>
      <c r="AX705" t="s">
        <v>74</v>
      </c>
      <c r="AY705" t="s">
        <v>74</v>
      </c>
      <c r="AZ705" t="s">
        <v>74</v>
      </c>
      <c r="BA705" t="s">
        <v>74</v>
      </c>
      <c r="BB705" t="s">
        <v>74</v>
      </c>
      <c r="BC705" t="s">
        <v>74</v>
      </c>
      <c r="BD705">
        <v>537</v>
      </c>
      <c r="BE705" t="s">
        <v>13976</v>
      </c>
      <c r="BF705" t="str">
        <f>HYPERLINK("http://dx.doi.org/10.3390/cryst9100537","http://dx.doi.org/10.3390/cryst9100537")</f>
        <v>http://dx.doi.org/10.3390/cryst9100537</v>
      </c>
      <c r="BG705" t="s">
        <v>74</v>
      </c>
      <c r="BH705" t="s">
        <v>74</v>
      </c>
      <c r="BI705">
        <v>12</v>
      </c>
      <c r="BJ705" t="s">
        <v>13977</v>
      </c>
      <c r="BK705" t="s">
        <v>294</v>
      </c>
      <c r="BL705" t="s">
        <v>13978</v>
      </c>
      <c r="BM705" t="s">
        <v>13979</v>
      </c>
      <c r="BN705" t="s">
        <v>74</v>
      </c>
      <c r="BO705" t="s">
        <v>107</v>
      </c>
      <c r="BP705" t="s">
        <v>74</v>
      </c>
      <c r="BQ705" t="s">
        <v>74</v>
      </c>
      <c r="BR705" t="s">
        <v>108</v>
      </c>
      <c r="BS705" t="s">
        <v>13980</v>
      </c>
      <c r="BT705" t="str">
        <f>HYPERLINK("https%3A%2F%2Fwww.webofscience.com%2Fwos%2Fwoscc%2Ffull-record%2FWOS:000498263500052","View Full Record in Web of Science")</f>
        <v>View Full Record in Web of Science</v>
      </c>
    </row>
    <row r="706" spans="1:72" x14ac:dyDescent="0.15">
      <c r="A706" t="s">
        <v>133</v>
      </c>
      <c r="B706" t="s">
        <v>13981</v>
      </c>
      <c r="C706" t="s">
        <v>74</v>
      </c>
      <c r="D706" t="s">
        <v>74</v>
      </c>
      <c r="E706" t="s">
        <v>74</v>
      </c>
      <c r="F706" t="s">
        <v>13982</v>
      </c>
      <c r="G706" t="s">
        <v>74</v>
      </c>
      <c r="H706" t="s">
        <v>74</v>
      </c>
      <c r="I706" t="s">
        <v>13983</v>
      </c>
      <c r="J706" t="s">
        <v>9919</v>
      </c>
      <c r="K706" t="s">
        <v>74</v>
      </c>
      <c r="L706" t="s">
        <v>74</v>
      </c>
      <c r="M706" t="s">
        <v>80</v>
      </c>
      <c r="N706" t="s">
        <v>930</v>
      </c>
      <c r="O706" t="s">
        <v>74</v>
      </c>
      <c r="P706" t="s">
        <v>74</v>
      </c>
      <c r="Q706" t="s">
        <v>74</v>
      </c>
      <c r="R706" t="s">
        <v>74</v>
      </c>
      <c r="S706" t="s">
        <v>74</v>
      </c>
      <c r="T706" t="s">
        <v>13984</v>
      </c>
      <c r="U706" t="s">
        <v>13985</v>
      </c>
      <c r="V706" t="s">
        <v>13986</v>
      </c>
      <c r="W706" t="s">
        <v>13987</v>
      </c>
      <c r="X706" t="s">
        <v>13988</v>
      </c>
      <c r="Y706" t="s">
        <v>13989</v>
      </c>
      <c r="Z706" t="s">
        <v>13990</v>
      </c>
      <c r="AA706" t="s">
        <v>13991</v>
      </c>
      <c r="AB706" t="s">
        <v>13992</v>
      </c>
      <c r="AC706" t="s">
        <v>13993</v>
      </c>
      <c r="AD706" t="s">
        <v>512</v>
      </c>
      <c r="AE706" t="s">
        <v>13994</v>
      </c>
      <c r="AF706" t="s">
        <v>74</v>
      </c>
      <c r="AG706">
        <v>80</v>
      </c>
      <c r="AH706">
        <v>8</v>
      </c>
      <c r="AI706">
        <v>9</v>
      </c>
      <c r="AJ706">
        <v>4</v>
      </c>
      <c r="AK706">
        <v>46</v>
      </c>
      <c r="AL706" t="s">
        <v>284</v>
      </c>
      <c r="AM706" t="s">
        <v>285</v>
      </c>
      <c r="AN706" t="s">
        <v>286</v>
      </c>
      <c r="AO706" t="s">
        <v>9932</v>
      </c>
      <c r="AP706" t="s">
        <v>9933</v>
      </c>
      <c r="AQ706" t="s">
        <v>74</v>
      </c>
      <c r="AR706" t="s">
        <v>9934</v>
      </c>
      <c r="AS706" t="s">
        <v>9935</v>
      </c>
      <c r="AT706" t="s">
        <v>6987</v>
      </c>
      <c r="AU706">
        <v>2019</v>
      </c>
      <c r="AV706">
        <v>197</v>
      </c>
      <c r="AW706" t="s">
        <v>74</v>
      </c>
      <c r="AX706" t="s">
        <v>74</v>
      </c>
      <c r="AY706" t="s">
        <v>74</v>
      </c>
      <c r="AZ706" t="s">
        <v>74</v>
      </c>
      <c r="BA706" t="s">
        <v>74</v>
      </c>
      <c r="BB706" t="s">
        <v>74</v>
      </c>
      <c r="BC706" t="s">
        <v>74</v>
      </c>
      <c r="BD706">
        <v>102917</v>
      </c>
      <c r="BE706" t="s">
        <v>13995</v>
      </c>
      <c r="BF706" t="str">
        <f>HYPERLINK("http://dx.doi.org/10.1016/j.earscirev.2019.102917","http://dx.doi.org/10.1016/j.earscirev.2019.102917")</f>
        <v>http://dx.doi.org/10.1016/j.earscirev.2019.102917</v>
      </c>
      <c r="BG706" t="s">
        <v>74</v>
      </c>
      <c r="BH706" t="s">
        <v>74</v>
      </c>
      <c r="BI706">
        <v>12</v>
      </c>
      <c r="BJ706" t="s">
        <v>849</v>
      </c>
      <c r="BK706" t="s">
        <v>294</v>
      </c>
      <c r="BL706" t="s">
        <v>850</v>
      </c>
      <c r="BM706" t="s">
        <v>13996</v>
      </c>
      <c r="BN706" t="s">
        <v>74</v>
      </c>
      <c r="BO706" t="s">
        <v>74</v>
      </c>
      <c r="BP706" t="s">
        <v>74</v>
      </c>
      <c r="BQ706" t="s">
        <v>74</v>
      </c>
      <c r="BR706" t="s">
        <v>108</v>
      </c>
      <c r="BS706" t="s">
        <v>13997</v>
      </c>
      <c r="BT706" t="str">
        <f>HYPERLINK("https%3A%2F%2Fwww.webofscience.com%2Fwos%2Fwoscc%2Ffull-record%2FWOS:000497253500011","View Full Record in Web of Science")</f>
        <v>View Full Record in Web of Science</v>
      </c>
    </row>
    <row r="707" spans="1:72" x14ac:dyDescent="0.15">
      <c r="A707" t="s">
        <v>133</v>
      </c>
      <c r="B707" t="s">
        <v>13998</v>
      </c>
      <c r="C707" t="s">
        <v>74</v>
      </c>
      <c r="D707" t="s">
        <v>74</v>
      </c>
      <c r="E707" t="s">
        <v>74</v>
      </c>
      <c r="F707" t="s">
        <v>13999</v>
      </c>
      <c r="G707" t="s">
        <v>74</v>
      </c>
      <c r="H707" t="s">
        <v>74</v>
      </c>
      <c r="I707" t="s">
        <v>14000</v>
      </c>
      <c r="J707" t="s">
        <v>9919</v>
      </c>
      <c r="K707" t="s">
        <v>74</v>
      </c>
      <c r="L707" t="s">
        <v>74</v>
      </c>
      <c r="M707" t="s">
        <v>80</v>
      </c>
      <c r="N707" t="s">
        <v>930</v>
      </c>
      <c r="O707" t="s">
        <v>74</v>
      </c>
      <c r="P707" t="s">
        <v>74</v>
      </c>
      <c r="Q707" t="s">
        <v>74</v>
      </c>
      <c r="R707" t="s">
        <v>74</v>
      </c>
      <c r="S707" t="s">
        <v>74</v>
      </c>
      <c r="T707" t="s">
        <v>74</v>
      </c>
      <c r="U707" t="s">
        <v>14001</v>
      </c>
      <c r="V707" t="s">
        <v>14002</v>
      </c>
      <c r="W707" t="s">
        <v>14003</v>
      </c>
      <c r="X707" t="s">
        <v>14004</v>
      </c>
      <c r="Y707" t="s">
        <v>14005</v>
      </c>
      <c r="Z707" t="s">
        <v>14006</v>
      </c>
      <c r="AA707" t="s">
        <v>14007</v>
      </c>
      <c r="AB707" t="s">
        <v>14008</v>
      </c>
      <c r="AC707" t="s">
        <v>74</v>
      </c>
      <c r="AD707" t="s">
        <v>74</v>
      </c>
      <c r="AE707" t="s">
        <v>74</v>
      </c>
      <c r="AF707" t="s">
        <v>74</v>
      </c>
      <c r="AG707">
        <v>383</v>
      </c>
      <c r="AH707">
        <v>60</v>
      </c>
      <c r="AI707">
        <v>67</v>
      </c>
      <c r="AJ707">
        <v>15</v>
      </c>
      <c r="AK707">
        <v>163</v>
      </c>
      <c r="AL707" t="s">
        <v>284</v>
      </c>
      <c r="AM707" t="s">
        <v>285</v>
      </c>
      <c r="AN707" t="s">
        <v>286</v>
      </c>
      <c r="AO707" t="s">
        <v>9932</v>
      </c>
      <c r="AP707" t="s">
        <v>9933</v>
      </c>
      <c r="AQ707" t="s">
        <v>74</v>
      </c>
      <c r="AR707" t="s">
        <v>9934</v>
      </c>
      <c r="AS707" t="s">
        <v>9935</v>
      </c>
      <c r="AT707" t="s">
        <v>6987</v>
      </c>
      <c r="AU707">
        <v>2019</v>
      </c>
      <c r="AV707">
        <v>197</v>
      </c>
      <c r="AW707" t="s">
        <v>74</v>
      </c>
      <c r="AX707" t="s">
        <v>74</v>
      </c>
      <c r="AY707" t="s">
        <v>74</v>
      </c>
      <c r="AZ707" t="s">
        <v>74</v>
      </c>
      <c r="BA707" t="s">
        <v>74</v>
      </c>
      <c r="BB707" t="s">
        <v>74</v>
      </c>
      <c r="BC707" t="s">
        <v>74</v>
      </c>
      <c r="BD707">
        <v>102893</v>
      </c>
      <c r="BE707" t="s">
        <v>14009</v>
      </c>
      <c r="BF707" t="str">
        <f>HYPERLINK("http://dx.doi.org/10.1016/j.earscirev.2019.102893","http://dx.doi.org/10.1016/j.earscirev.2019.102893")</f>
        <v>http://dx.doi.org/10.1016/j.earscirev.2019.102893</v>
      </c>
      <c r="BG707" t="s">
        <v>74</v>
      </c>
      <c r="BH707" t="s">
        <v>74</v>
      </c>
      <c r="BI707">
        <v>23</v>
      </c>
      <c r="BJ707" t="s">
        <v>849</v>
      </c>
      <c r="BK707" t="s">
        <v>294</v>
      </c>
      <c r="BL707" t="s">
        <v>850</v>
      </c>
      <c r="BM707" t="s">
        <v>13996</v>
      </c>
      <c r="BN707" t="s">
        <v>74</v>
      </c>
      <c r="BO707" t="s">
        <v>74</v>
      </c>
      <c r="BP707" t="s">
        <v>74</v>
      </c>
      <c r="BQ707" t="s">
        <v>74</v>
      </c>
      <c r="BR707" t="s">
        <v>108</v>
      </c>
      <c r="BS707" t="s">
        <v>14010</v>
      </c>
      <c r="BT707" t="str">
        <f>HYPERLINK("https%3A%2F%2Fwww.webofscience.com%2Fwos%2Fwoscc%2Ffull-record%2FWOS:000497253500001","View Full Record in Web of Science")</f>
        <v>View Full Record in Web of Science</v>
      </c>
    </row>
    <row r="708" spans="1:72" x14ac:dyDescent="0.15">
      <c r="A708" t="s">
        <v>133</v>
      </c>
      <c r="B708" t="s">
        <v>14011</v>
      </c>
      <c r="C708" t="s">
        <v>74</v>
      </c>
      <c r="D708" t="s">
        <v>74</v>
      </c>
      <c r="E708" t="s">
        <v>74</v>
      </c>
      <c r="F708" t="s">
        <v>14012</v>
      </c>
      <c r="G708" t="s">
        <v>74</v>
      </c>
      <c r="H708" t="s">
        <v>74</v>
      </c>
      <c r="I708" t="s">
        <v>14013</v>
      </c>
      <c r="J708" t="s">
        <v>14014</v>
      </c>
      <c r="K708" t="s">
        <v>74</v>
      </c>
      <c r="L708" t="s">
        <v>74</v>
      </c>
      <c r="M708" t="s">
        <v>80</v>
      </c>
      <c r="N708" t="s">
        <v>138</v>
      </c>
      <c r="O708" t="s">
        <v>74</v>
      </c>
      <c r="P708" t="s">
        <v>74</v>
      </c>
      <c r="Q708" t="s">
        <v>74</v>
      </c>
      <c r="R708" t="s">
        <v>74</v>
      </c>
      <c r="S708" t="s">
        <v>74</v>
      </c>
      <c r="T708" t="s">
        <v>14015</v>
      </c>
      <c r="U708" t="s">
        <v>14016</v>
      </c>
      <c r="V708" t="s">
        <v>14017</v>
      </c>
      <c r="W708" t="s">
        <v>14018</v>
      </c>
      <c r="X708" t="s">
        <v>14019</v>
      </c>
      <c r="Y708" t="s">
        <v>14020</v>
      </c>
      <c r="Z708" t="s">
        <v>14021</v>
      </c>
      <c r="AA708" t="s">
        <v>14022</v>
      </c>
      <c r="AB708" t="s">
        <v>14023</v>
      </c>
      <c r="AC708" t="s">
        <v>14024</v>
      </c>
      <c r="AD708" t="s">
        <v>14025</v>
      </c>
      <c r="AE708" t="s">
        <v>14026</v>
      </c>
      <c r="AF708" t="s">
        <v>74</v>
      </c>
      <c r="AG708">
        <v>61</v>
      </c>
      <c r="AH708">
        <v>15</v>
      </c>
      <c r="AI708">
        <v>15</v>
      </c>
      <c r="AJ708">
        <v>2</v>
      </c>
      <c r="AK708">
        <v>14</v>
      </c>
      <c r="AL708" t="s">
        <v>4680</v>
      </c>
      <c r="AM708" t="s">
        <v>1730</v>
      </c>
      <c r="AN708" t="s">
        <v>4681</v>
      </c>
      <c r="AO708" t="s">
        <v>14027</v>
      </c>
      <c r="AP708" t="s">
        <v>14028</v>
      </c>
      <c r="AQ708" t="s">
        <v>74</v>
      </c>
      <c r="AR708" t="s">
        <v>14029</v>
      </c>
      <c r="AS708" t="s">
        <v>14030</v>
      </c>
      <c r="AT708" t="s">
        <v>6987</v>
      </c>
      <c r="AU708">
        <v>2019</v>
      </c>
      <c r="AV708">
        <v>65</v>
      </c>
      <c r="AW708" t="s">
        <v>74</v>
      </c>
      <c r="AX708" t="s">
        <v>74</v>
      </c>
      <c r="AY708" t="s">
        <v>74</v>
      </c>
      <c r="AZ708" t="s">
        <v>74</v>
      </c>
      <c r="BA708" t="s">
        <v>74</v>
      </c>
      <c r="BB708" t="s">
        <v>74</v>
      </c>
      <c r="BC708" t="s">
        <v>74</v>
      </c>
      <c r="BD708">
        <v>101317</v>
      </c>
      <c r="BE708" t="s">
        <v>14031</v>
      </c>
      <c r="BF708" t="str">
        <f>HYPERLINK("http://dx.doi.org/10.1016/j.jenvp.2019.101317","http://dx.doi.org/10.1016/j.jenvp.2019.101317")</f>
        <v>http://dx.doi.org/10.1016/j.jenvp.2019.101317</v>
      </c>
      <c r="BG708" t="s">
        <v>74</v>
      </c>
      <c r="BH708" t="s">
        <v>74</v>
      </c>
      <c r="BI708">
        <v>8</v>
      </c>
      <c r="BJ708" t="s">
        <v>8657</v>
      </c>
      <c r="BK708" t="s">
        <v>717</v>
      </c>
      <c r="BL708" t="s">
        <v>8658</v>
      </c>
      <c r="BM708" t="s">
        <v>14032</v>
      </c>
      <c r="BN708" t="s">
        <v>74</v>
      </c>
      <c r="BO708" t="s">
        <v>74</v>
      </c>
      <c r="BP708" t="s">
        <v>74</v>
      </c>
      <c r="BQ708" t="s">
        <v>74</v>
      </c>
      <c r="BR708" t="s">
        <v>108</v>
      </c>
      <c r="BS708" t="s">
        <v>14033</v>
      </c>
      <c r="BT708" t="str">
        <f>HYPERLINK("https%3A%2F%2Fwww.webofscience.com%2Fwos%2Fwoscc%2Ffull-record%2FWOS:000498328300020","View Full Record in Web of Science")</f>
        <v>View Full Record in Web of Science</v>
      </c>
    </row>
    <row r="709" spans="1:72" x14ac:dyDescent="0.15">
      <c r="A709" t="s">
        <v>133</v>
      </c>
      <c r="B709" t="s">
        <v>14034</v>
      </c>
      <c r="C709" t="s">
        <v>74</v>
      </c>
      <c r="D709" t="s">
        <v>74</v>
      </c>
      <c r="E709" t="s">
        <v>74</v>
      </c>
      <c r="F709" t="s">
        <v>14035</v>
      </c>
      <c r="G709" t="s">
        <v>74</v>
      </c>
      <c r="H709" t="s">
        <v>74</v>
      </c>
      <c r="I709" t="s">
        <v>14036</v>
      </c>
      <c r="J709" t="s">
        <v>671</v>
      </c>
      <c r="K709" t="s">
        <v>74</v>
      </c>
      <c r="L709" t="s">
        <v>74</v>
      </c>
      <c r="M709" t="s">
        <v>80</v>
      </c>
      <c r="N709" t="s">
        <v>930</v>
      </c>
      <c r="O709" t="s">
        <v>74</v>
      </c>
      <c r="P709" t="s">
        <v>74</v>
      </c>
      <c r="Q709" t="s">
        <v>74</v>
      </c>
      <c r="R709" t="s">
        <v>74</v>
      </c>
      <c r="S709" t="s">
        <v>74</v>
      </c>
      <c r="T709" t="s">
        <v>14037</v>
      </c>
      <c r="U709" t="s">
        <v>14038</v>
      </c>
      <c r="V709" t="s">
        <v>14039</v>
      </c>
      <c r="W709" t="s">
        <v>14040</v>
      </c>
      <c r="X709" t="s">
        <v>14041</v>
      </c>
      <c r="Y709" t="s">
        <v>14042</v>
      </c>
      <c r="Z709" t="s">
        <v>14043</v>
      </c>
      <c r="AA709" t="s">
        <v>14044</v>
      </c>
      <c r="AB709" t="s">
        <v>14045</v>
      </c>
      <c r="AC709" t="s">
        <v>14046</v>
      </c>
      <c r="AD709" t="s">
        <v>11221</v>
      </c>
      <c r="AE709" t="s">
        <v>14047</v>
      </c>
      <c r="AF709" t="s">
        <v>74</v>
      </c>
      <c r="AG709">
        <v>226</v>
      </c>
      <c r="AH709">
        <v>58</v>
      </c>
      <c r="AI709">
        <v>63</v>
      </c>
      <c r="AJ709">
        <v>5</v>
      </c>
      <c r="AK709">
        <v>64</v>
      </c>
      <c r="AL709" t="s">
        <v>683</v>
      </c>
      <c r="AM709" t="s">
        <v>684</v>
      </c>
      <c r="AN709" t="s">
        <v>685</v>
      </c>
      <c r="AO709" t="s">
        <v>74</v>
      </c>
      <c r="AP709" t="s">
        <v>686</v>
      </c>
      <c r="AQ709" t="s">
        <v>74</v>
      </c>
      <c r="AR709" t="s">
        <v>687</v>
      </c>
      <c r="AS709" t="s">
        <v>688</v>
      </c>
      <c r="AT709" t="s">
        <v>6987</v>
      </c>
      <c r="AU709">
        <v>2019</v>
      </c>
      <c r="AV709">
        <v>17</v>
      </c>
      <c r="AW709">
        <v>10</v>
      </c>
      <c r="AX709" t="s">
        <v>74</v>
      </c>
      <c r="AY709" t="s">
        <v>74</v>
      </c>
      <c r="AZ709" t="s">
        <v>74</v>
      </c>
      <c r="BA709" t="s">
        <v>74</v>
      </c>
      <c r="BB709" t="s">
        <v>74</v>
      </c>
      <c r="BC709" t="s">
        <v>74</v>
      </c>
      <c r="BD709">
        <v>544</v>
      </c>
      <c r="BE709" t="s">
        <v>14048</v>
      </c>
      <c r="BF709" t="str">
        <f>HYPERLINK("http://dx.doi.org/10.3390/md17100544","http://dx.doi.org/10.3390/md17100544")</f>
        <v>http://dx.doi.org/10.3390/md17100544</v>
      </c>
      <c r="BG709" t="s">
        <v>74</v>
      </c>
      <c r="BH709" t="s">
        <v>74</v>
      </c>
      <c r="BI709">
        <v>36</v>
      </c>
      <c r="BJ709" t="s">
        <v>690</v>
      </c>
      <c r="BK709" t="s">
        <v>294</v>
      </c>
      <c r="BL709" t="s">
        <v>691</v>
      </c>
      <c r="BM709" t="s">
        <v>14049</v>
      </c>
      <c r="BN709">
        <v>31547548</v>
      </c>
      <c r="BO709" t="s">
        <v>2934</v>
      </c>
      <c r="BP709" t="s">
        <v>74</v>
      </c>
      <c r="BQ709" t="s">
        <v>74</v>
      </c>
      <c r="BR709" t="s">
        <v>108</v>
      </c>
      <c r="BS709" t="s">
        <v>14050</v>
      </c>
      <c r="BT709" t="str">
        <f>HYPERLINK("https%3A%2F%2Fwww.webofscience.com%2Fwos%2Fwoscc%2Ffull-record%2FWOS:000498064500004","View Full Record in Web of Science")</f>
        <v>View Full Record in Web of Science</v>
      </c>
    </row>
    <row r="710" spans="1:72" x14ac:dyDescent="0.15">
      <c r="A710" t="s">
        <v>133</v>
      </c>
      <c r="B710" t="s">
        <v>14051</v>
      </c>
      <c r="C710" t="s">
        <v>74</v>
      </c>
      <c r="D710" t="s">
        <v>74</v>
      </c>
      <c r="E710" t="s">
        <v>74</v>
      </c>
      <c r="F710" t="s">
        <v>14052</v>
      </c>
      <c r="G710" t="s">
        <v>74</v>
      </c>
      <c r="H710" t="s">
        <v>74</v>
      </c>
      <c r="I710" t="s">
        <v>14053</v>
      </c>
      <c r="J710" t="s">
        <v>671</v>
      </c>
      <c r="K710" t="s">
        <v>74</v>
      </c>
      <c r="L710" t="s">
        <v>74</v>
      </c>
      <c r="M710" t="s">
        <v>80</v>
      </c>
      <c r="N710" t="s">
        <v>138</v>
      </c>
      <c r="O710" t="s">
        <v>74</v>
      </c>
      <c r="P710" t="s">
        <v>74</v>
      </c>
      <c r="Q710" t="s">
        <v>74</v>
      </c>
      <c r="R710" t="s">
        <v>74</v>
      </c>
      <c r="S710" t="s">
        <v>74</v>
      </c>
      <c r="T710" t="s">
        <v>14054</v>
      </c>
      <c r="U710" t="s">
        <v>14055</v>
      </c>
      <c r="V710" t="s">
        <v>14056</v>
      </c>
      <c r="W710" t="s">
        <v>14057</v>
      </c>
      <c r="X710" t="s">
        <v>14058</v>
      </c>
      <c r="Y710" t="s">
        <v>14059</v>
      </c>
      <c r="Z710" t="s">
        <v>14060</v>
      </c>
      <c r="AA710" t="s">
        <v>14061</v>
      </c>
      <c r="AB710" t="s">
        <v>14062</v>
      </c>
      <c r="AC710" t="s">
        <v>14063</v>
      </c>
      <c r="AD710" t="s">
        <v>14064</v>
      </c>
      <c r="AE710" t="s">
        <v>14065</v>
      </c>
      <c r="AF710" t="s">
        <v>74</v>
      </c>
      <c r="AG710">
        <v>61</v>
      </c>
      <c r="AH710">
        <v>24</v>
      </c>
      <c r="AI710">
        <v>26</v>
      </c>
      <c r="AJ710">
        <v>1</v>
      </c>
      <c r="AK710">
        <v>15</v>
      </c>
      <c r="AL710" t="s">
        <v>683</v>
      </c>
      <c r="AM710" t="s">
        <v>684</v>
      </c>
      <c r="AN710" t="s">
        <v>685</v>
      </c>
      <c r="AO710" t="s">
        <v>74</v>
      </c>
      <c r="AP710" t="s">
        <v>686</v>
      </c>
      <c r="AQ710" t="s">
        <v>74</v>
      </c>
      <c r="AR710" t="s">
        <v>687</v>
      </c>
      <c r="AS710" t="s">
        <v>688</v>
      </c>
      <c r="AT710" t="s">
        <v>6987</v>
      </c>
      <c r="AU710">
        <v>2019</v>
      </c>
      <c r="AV710">
        <v>17</v>
      </c>
      <c r="AW710">
        <v>10</v>
      </c>
      <c r="AX710" t="s">
        <v>74</v>
      </c>
      <c r="AY710" t="s">
        <v>74</v>
      </c>
      <c r="AZ710" t="s">
        <v>74</v>
      </c>
      <c r="BA710" t="s">
        <v>74</v>
      </c>
      <c r="BB710" t="s">
        <v>74</v>
      </c>
      <c r="BC710" t="s">
        <v>74</v>
      </c>
      <c r="BD710">
        <v>583</v>
      </c>
      <c r="BE710" t="s">
        <v>14066</v>
      </c>
      <c r="BF710" t="str">
        <f>HYPERLINK("http://dx.doi.org/10.3390/md17100583","http://dx.doi.org/10.3390/md17100583")</f>
        <v>http://dx.doi.org/10.3390/md17100583</v>
      </c>
      <c r="BG710" t="s">
        <v>74</v>
      </c>
      <c r="BH710" t="s">
        <v>74</v>
      </c>
      <c r="BI710">
        <v>13</v>
      </c>
      <c r="BJ710" t="s">
        <v>690</v>
      </c>
      <c r="BK710" t="s">
        <v>294</v>
      </c>
      <c r="BL710" t="s">
        <v>691</v>
      </c>
      <c r="BM710" t="s">
        <v>14049</v>
      </c>
      <c r="BN710">
        <v>31615007</v>
      </c>
      <c r="BO710" t="s">
        <v>693</v>
      </c>
      <c r="BP710" t="s">
        <v>74</v>
      </c>
      <c r="BQ710" t="s">
        <v>74</v>
      </c>
      <c r="BR710" t="s">
        <v>108</v>
      </c>
      <c r="BS710" t="s">
        <v>14067</v>
      </c>
      <c r="BT710" t="str">
        <f>HYPERLINK("https%3A%2F%2Fwww.webofscience.com%2Fwos%2Fwoscc%2Ffull-record%2FWOS:000498064500043","View Full Record in Web of Science")</f>
        <v>View Full Record in Web of Science</v>
      </c>
    </row>
    <row r="711" spans="1:72" x14ac:dyDescent="0.15">
      <c r="A711" t="s">
        <v>133</v>
      </c>
      <c r="B711" t="s">
        <v>14068</v>
      </c>
      <c r="C711" t="s">
        <v>74</v>
      </c>
      <c r="D711" t="s">
        <v>74</v>
      </c>
      <c r="E711" t="s">
        <v>74</v>
      </c>
      <c r="F711" t="s">
        <v>14069</v>
      </c>
      <c r="G711" t="s">
        <v>74</v>
      </c>
      <c r="H711" t="s">
        <v>74</v>
      </c>
      <c r="I711" t="s">
        <v>14070</v>
      </c>
      <c r="J711" t="s">
        <v>671</v>
      </c>
      <c r="K711" t="s">
        <v>74</v>
      </c>
      <c r="L711" t="s">
        <v>74</v>
      </c>
      <c r="M711" t="s">
        <v>80</v>
      </c>
      <c r="N711" t="s">
        <v>138</v>
      </c>
      <c r="O711" t="s">
        <v>74</v>
      </c>
      <c r="P711" t="s">
        <v>74</v>
      </c>
      <c r="Q711" t="s">
        <v>74</v>
      </c>
      <c r="R711" t="s">
        <v>74</v>
      </c>
      <c r="S711" t="s">
        <v>74</v>
      </c>
      <c r="T711" t="s">
        <v>14071</v>
      </c>
      <c r="U711" t="s">
        <v>14072</v>
      </c>
      <c r="V711" t="s">
        <v>14073</v>
      </c>
      <c r="W711" t="s">
        <v>14074</v>
      </c>
      <c r="X711" t="s">
        <v>14075</v>
      </c>
      <c r="Y711" t="s">
        <v>14076</v>
      </c>
      <c r="Z711" t="s">
        <v>14077</v>
      </c>
      <c r="AA711" t="s">
        <v>14078</v>
      </c>
      <c r="AB711" t="s">
        <v>14079</v>
      </c>
      <c r="AC711" t="s">
        <v>14080</v>
      </c>
      <c r="AD711" t="s">
        <v>14080</v>
      </c>
      <c r="AE711" t="s">
        <v>14081</v>
      </c>
      <c r="AF711" t="s">
        <v>74</v>
      </c>
      <c r="AG711">
        <v>52</v>
      </c>
      <c r="AH711">
        <v>5</v>
      </c>
      <c r="AI711">
        <v>6</v>
      </c>
      <c r="AJ711">
        <v>0</v>
      </c>
      <c r="AK711">
        <v>4</v>
      </c>
      <c r="AL711" t="s">
        <v>683</v>
      </c>
      <c r="AM711" t="s">
        <v>684</v>
      </c>
      <c r="AN711" t="s">
        <v>685</v>
      </c>
      <c r="AO711" t="s">
        <v>74</v>
      </c>
      <c r="AP711" t="s">
        <v>686</v>
      </c>
      <c r="AQ711" t="s">
        <v>74</v>
      </c>
      <c r="AR711" t="s">
        <v>687</v>
      </c>
      <c r="AS711" t="s">
        <v>688</v>
      </c>
      <c r="AT711" t="s">
        <v>6987</v>
      </c>
      <c r="AU711">
        <v>2019</v>
      </c>
      <c r="AV711">
        <v>17</v>
      </c>
      <c r="AW711">
        <v>10</v>
      </c>
      <c r="AX711" t="s">
        <v>74</v>
      </c>
      <c r="AY711" t="s">
        <v>74</v>
      </c>
      <c r="AZ711" t="s">
        <v>74</v>
      </c>
      <c r="BA711" t="s">
        <v>74</v>
      </c>
      <c r="BB711" t="s">
        <v>74</v>
      </c>
      <c r="BC711" t="s">
        <v>74</v>
      </c>
      <c r="BD711">
        <v>573</v>
      </c>
      <c r="BE711" t="s">
        <v>14082</v>
      </c>
      <c r="BF711" t="str">
        <f>HYPERLINK("http://dx.doi.org/10.3390/md17100573","http://dx.doi.org/10.3390/md17100573")</f>
        <v>http://dx.doi.org/10.3390/md17100573</v>
      </c>
      <c r="BG711" t="s">
        <v>74</v>
      </c>
      <c r="BH711" t="s">
        <v>74</v>
      </c>
      <c r="BI711">
        <v>13</v>
      </c>
      <c r="BJ711" t="s">
        <v>690</v>
      </c>
      <c r="BK711" t="s">
        <v>294</v>
      </c>
      <c r="BL711" t="s">
        <v>691</v>
      </c>
      <c r="BM711" t="s">
        <v>14049</v>
      </c>
      <c r="BN711">
        <v>31658661</v>
      </c>
      <c r="BO711" t="s">
        <v>693</v>
      </c>
      <c r="BP711" t="s">
        <v>74</v>
      </c>
      <c r="BQ711" t="s">
        <v>74</v>
      </c>
      <c r="BR711" t="s">
        <v>108</v>
      </c>
      <c r="BS711" t="s">
        <v>14083</v>
      </c>
      <c r="BT711" t="str">
        <f>HYPERLINK("https%3A%2F%2Fwww.webofscience.com%2Fwos%2Fwoscc%2Ffull-record%2FWOS:000498064500033","View Full Record in Web of Science")</f>
        <v>View Full Record in Web of Science</v>
      </c>
    </row>
    <row r="712" spans="1:72" x14ac:dyDescent="0.15">
      <c r="A712" t="s">
        <v>133</v>
      </c>
      <c r="B712" t="s">
        <v>14084</v>
      </c>
      <c r="C712" t="s">
        <v>74</v>
      </c>
      <c r="D712" t="s">
        <v>74</v>
      </c>
      <c r="E712" t="s">
        <v>74</v>
      </c>
      <c r="F712" t="s">
        <v>14085</v>
      </c>
      <c r="G712" t="s">
        <v>74</v>
      </c>
      <c r="H712" t="s">
        <v>74</v>
      </c>
      <c r="I712" t="s">
        <v>14086</v>
      </c>
      <c r="J712" t="s">
        <v>5556</v>
      </c>
      <c r="K712" t="s">
        <v>74</v>
      </c>
      <c r="L712" t="s">
        <v>74</v>
      </c>
      <c r="M712" t="s">
        <v>80</v>
      </c>
      <c r="N712" t="s">
        <v>138</v>
      </c>
      <c r="O712" t="s">
        <v>74</v>
      </c>
      <c r="P712" t="s">
        <v>74</v>
      </c>
      <c r="Q712" t="s">
        <v>74</v>
      </c>
      <c r="R712" t="s">
        <v>74</v>
      </c>
      <c r="S712" t="s">
        <v>74</v>
      </c>
      <c r="T712" t="s">
        <v>14087</v>
      </c>
      <c r="U712" t="s">
        <v>14088</v>
      </c>
      <c r="V712" t="s">
        <v>14089</v>
      </c>
      <c r="W712" t="s">
        <v>14090</v>
      </c>
      <c r="X712" t="s">
        <v>14091</v>
      </c>
      <c r="Y712" t="s">
        <v>14092</v>
      </c>
      <c r="Z712" t="s">
        <v>14093</v>
      </c>
      <c r="AA712" t="s">
        <v>14094</v>
      </c>
      <c r="AB712" t="s">
        <v>14095</v>
      </c>
      <c r="AC712" t="s">
        <v>14096</v>
      </c>
      <c r="AD712" t="s">
        <v>14096</v>
      </c>
      <c r="AE712" t="s">
        <v>14097</v>
      </c>
      <c r="AF712" t="s">
        <v>74</v>
      </c>
      <c r="AG712">
        <v>45</v>
      </c>
      <c r="AH712">
        <v>14</v>
      </c>
      <c r="AI712">
        <v>14</v>
      </c>
      <c r="AJ712">
        <v>4</v>
      </c>
      <c r="AK712">
        <v>14</v>
      </c>
      <c r="AL712" t="s">
        <v>709</v>
      </c>
      <c r="AM712" t="s">
        <v>380</v>
      </c>
      <c r="AN712" t="s">
        <v>710</v>
      </c>
      <c r="AO712" t="s">
        <v>5569</v>
      </c>
      <c r="AP712" t="s">
        <v>5570</v>
      </c>
      <c r="AQ712" t="s">
        <v>74</v>
      </c>
      <c r="AR712" t="s">
        <v>5571</v>
      </c>
      <c r="AS712" t="s">
        <v>5572</v>
      </c>
      <c r="AT712" t="s">
        <v>6987</v>
      </c>
      <c r="AU712">
        <v>2019</v>
      </c>
      <c r="AV712">
        <v>151</v>
      </c>
      <c r="AW712" t="s">
        <v>74</v>
      </c>
      <c r="AX712" t="s">
        <v>74</v>
      </c>
      <c r="AY712" t="s">
        <v>74</v>
      </c>
      <c r="AZ712" t="s">
        <v>74</v>
      </c>
      <c r="BA712" t="s">
        <v>74</v>
      </c>
      <c r="BB712" t="s">
        <v>74</v>
      </c>
      <c r="BC712" t="s">
        <v>74</v>
      </c>
      <c r="BD712">
        <v>104749</v>
      </c>
      <c r="BE712" t="s">
        <v>14098</v>
      </c>
      <c r="BF712" t="str">
        <f>HYPERLINK("http://dx.doi.org/10.1016/j.marenvres.2019.104749","http://dx.doi.org/10.1016/j.marenvres.2019.104749")</f>
        <v>http://dx.doi.org/10.1016/j.marenvres.2019.104749</v>
      </c>
      <c r="BG712" t="s">
        <v>74</v>
      </c>
      <c r="BH712" t="s">
        <v>74</v>
      </c>
      <c r="BI712">
        <v>7</v>
      </c>
      <c r="BJ712" t="s">
        <v>5574</v>
      </c>
      <c r="BK712" t="s">
        <v>294</v>
      </c>
      <c r="BL712" t="s">
        <v>5575</v>
      </c>
      <c r="BM712" t="s">
        <v>14099</v>
      </c>
      <c r="BN712">
        <v>31256980</v>
      </c>
      <c r="BO712" t="s">
        <v>1482</v>
      </c>
      <c r="BP712" t="s">
        <v>74</v>
      </c>
      <c r="BQ712" t="s">
        <v>74</v>
      </c>
      <c r="BR712" t="s">
        <v>108</v>
      </c>
      <c r="BS712" t="s">
        <v>14100</v>
      </c>
      <c r="BT712" t="str">
        <f>HYPERLINK("https%3A%2F%2Fwww.webofscience.com%2Fwos%2Fwoscc%2Ffull-record%2FWOS:000497258600004","View Full Record in Web of Science")</f>
        <v>View Full Record in Web of Science</v>
      </c>
    </row>
    <row r="713" spans="1:72" x14ac:dyDescent="0.15">
      <c r="A713" t="s">
        <v>133</v>
      </c>
      <c r="B713" t="s">
        <v>14101</v>
      </c>
      <c r="C713" t="s">
        <v>74</v>
      </c>
      <c r="D713" t="s">
        <v>74</v>
      </c>
      <c r="E713" t="s">
        <v>74</v>
      </c>
      <c r="F713" t="s">
        <v>14102</v>
      </c>
      <c r="G713" t="s">
        <v>74</v>
      </c>
      <c r="H713" t="s">
        <v>74</v>
      </c>
      <c r="I713" t="s">
        <v>14103</v>
      </c>
      <c r="J713" t="s">
        <v>4109</v>
      </c>
      <c r="K713" t="s">
        <v>74</v>
      </c>
      <c r="L713" t="s">
        <v>74</v>
      </c>
      <c r="M713" t="s">
        <v>80</v>
      </c>
      <c r="N713" t="s">
        <v>138</v>
      </c>
      <c r="O713" t="s">
        <v>74</v>
      </c>
      <c r="P713" t="s">
        <v>74</v>
      </c>
      <c r="Q713" t="s">
        <v>74</v>
      </c>
      <c r="R713" t="s">
        <v>74</v>
      </c>
      <c r="S713" t="s">
        <v>74</v>
      </c>
      <c r="T713" t="s">
        <v>14104</v>
      </c>
      <c r="U713" t="s">
        <v>14105</v>
      </c>
      <c r="V713" t="s">
        <v>14106</v>
      </c>
      <c r="W713" t="s">
        <v>14107</v>
      </c>
      <c r="X713" t="s">
        <v>14108</v>
      </c>
      <c r="Y713" t="s">
        <v>14109</v>
      </c>
      <c r="Z713" t="s">
        <v>14110</v>
      </c>
      <c r="AA713" t="s">
        <v>74</v>
      </c>
      <c r="AB713" t="s">
        <v>14111</v>
      </c>
      <c r="AC713" t="s">
        <v>14112</v>
      </c>
      <c r="AD713" t="s">
        <v>1522</v>
      </c>
      <c r="AE713" t="s">
        <v>14113</v>
      </c>
      <c r="AF713" t="s">
        <v>74</v>
      </c>
      <c r="AG713">
        <v>69</v>
      </c>
      <c r="AH713">
        <v>4</v>
      </c>
      <c r="AI713">
        <v>4</v>
      </c>
      <c r="AJ713">
        <v>3</v>
      </c>
      <c r="AK713">
        <v>11</v>
      </c>
      <c r="AL713" t="s">
        <v>683</v>
      </c>
      <c r="AM713" t="s">
        <v>684</v>
      </c>
      <c r="AN713" t="s">
        <v>685</v>
      </c>
      <c r="AO713" t="s">
        <v>74</v>
      </c>
      <c r="AP713" t="s">
        <v>4122</v>
      </c>
      <c r="AQ713" t="s">
        <v>74</v>
      </c>
      <c r="AR713" t="s">
        <v>4109</v>
      </c>
      <c r="AS713" t="s">
        <v>4123</v>
      </c>
      <c r="AT713" t="s">
        <v>6987</v>
      </c>
      <c r="AU713">
        <v>2019</v>
      </c>
      <c r="AV713">
        <v>7</v>
      </c>
      <c r="AW713">
        <v>10</v>
      </c>
      <c r="AX713" t="s">
        <v>74</v>
      </c>
      <c r="AY713" t="s">
        <v>74</v>
      </c>
      <c r="AZ713" t="s">
        <v>74</v>
      </c>
      <c r="BA713" t="s">
        <v>74</v>
      </c>
      <c r="BB713" t="s">
        <v>74</v>
      </c>
      <c r="BC713" t="s">
        <v>74</v>
      </c>
      <c r="BD713">
        <v>454</v>
      </c>
      <c r="BE713" t="s">
        <v>14114</v>
      </c>
      <c r="BF713" t="str">
        <f>HYPERLINK("http://dx.doi.org/10.3390/microorganisms7100454","http://dx.doi.org/10.3390/microorganisms7100454")</f>
        <v>http://dx.doi.org/10.3390/microorganisms7100454</v>
      </c>
      <c r="BG713" t="s">
        <v>74</v>
      </c>
      <c r="BH713" t="s">
        <v>74</v>
      </c>
      <c r="BI713">
        <v>18</v>
      </c>
      <c r="BJ713" t="s">
        <v>1713</v>
      </c>
      <c r="BK713" t="s">
        <v>294</v>
      </c>
      <c r="BL713" t="s">
        <v>1713</v>
      </c>
      <c r="BM713" t="s">
        <v>14115</v>
      </c>
      <c r="BN713">
        <v>31618878</v>
      </c>
      <c r="BO713" t="s">
        <v>693</v>
      </c>
      <c r="BP713" t="s">
        <v>74</v>
      </c>
      <c r="BQ713" t="s">
        <v>74</v>
      </c>
      <c r="BR713" t="s">
        <v>108</v>
      </c>
      <c r="BS713" t="s">
        <v>14116</v>
      </c>
      <c r="BT713" t="str">
        <f>HYPERLINK("https%3A%2F%2Fwww.webofscience.com%2Fwos%2Fwoscc%2Ffull-record%2FWOS:000498223100083","View Full Record in Web of Science")</f>
        <v>View Full Record in Web of Science</v>
      </c>
    </row>
    <row r="714" spans="1:72" x14ac:dyDescent="0.15">
      <c r="A714" t="s">
        <v>133</v>
      </c>
      <c r="B714" t="s">
        <v>14117</v>
      </c>
      <c r="C714" t="s">
        <v>74</v>
      </c>
      <c r="D714" t="s">
        <v>74</v>
      </c>
      <c r="E714" t="s">
        <v>74</v>
      </c>
      <c r="F714" t="s">
        <v>14118</v>
      </c>
      <c r="G714" t="s">
        <v>74</v>
      </c>
      <c r="H714" t="s">
        <v>74</v>
      </c>
      <c r="I714" t="s">
        <v>14119</v>
      </c>
      <c r="J714" t="s">
        <v>3420</v>
      </c>
      <c r="K714" t="s">
        <v>74</v>
      </c>
      <c r="L714" t="s">
        <v>74</v>
      </c>
      <c r="M714" t="s">
        <v>80</v>
      </c>
      <c r="N714" t="s">
        <v>138</v>
      </c>
      <c r="O714" t="s">
        <v>74</v>
      </c>
      <c r="P714" t="s">
        <v>74</v>
      </c>
      <c r="Q714" t="s">
        <v>74</v>
      </c>
      <c r="R714" t="s">
        <v>74</v>
      </c>
      <c r="S714" t="s">
        <v>74</v>
      </c>
      <c r="T714" t="s">
        <v>14120</v>
      </c>
      <c r="U714" t="s">
        <v>14121</v>
      </c>
      <c r="V714" t="s">
        <v>14122</v>
      </c>
      <c r="W714" t="s">
        <v>14123</v>
      </c>
      <c r="X714" t="s">
        <v>14124</v>
      </c>
      <c r="Y714" t="s">
        <v>14125</v>
      </c>
      <c r="Z714" t="s">
        <v>14126</v>
      </c>
      <c r="AA714" t="s">
        <v>14127</v>
      </c>
      <c r="AB714" t="s">
        <v>14128</v>
      </c>
      <c r="AC714" t="s">
        <v>14129</v>
      </c>
      <c r="AD714" t="s">
        <v>14130</v>
      </c>
      <c r="AE714" t="s">
        <v>14131</v>
      </c>
      <c r="AF714" t="s">
        <v>74</v>
      </c>
      <c r="AG714">
        <v>58</v>
      </c>
      <c r="AH714">
        <v>5</v>
      </c>
      <c r="AI714">
        <v>6</v>
      </c>
      <c r="AJ714">
        <v>1</v>
      </c>
      <c r="AK714">
        <v>14</v>
      </c>
      <c r="AL714" t="s">
        <v>683</v>
      </c>
      <c r="AM714" t="s">
        <v>684</v>
      </c>
      <c r="AN714" t="s">
        <v>685</v>
      </c>
      <c r="AO714" t="s">
        <v>74</v>
      </c>
      <c r="AP714" t="s">
        <v>3432</v>
      </c>
      <c r="AQ714" t="s">
        <v>74</v>
      </c>
      <c r="AR714" t="s">
        <v>3433</v>
      </c>
      <c r="AS714" t="s">
        <v>3434</v>
      </c>
      <c r="AT714" t="s">
        <v>6987</v>
      </c>
      <c r="AU714">
        <v>2019</v>
      </c>
      <c r="AV714">
        <v>11</v>
      </c>
      <c r="AW714">
        <v>19</v>
      </c>
      <c r="AX714" t="s">
        <v>74</v>
      </c>
      <c r="AY714" t="s">
        <v>74</v>
      </c>
      <c r="AZ714" t="s">
        <v>74</v>
      </c>
      <c r="BA714" t="s">
        <v>74</v>
      </c>
      <c r="BB714" t="s">
        <v>74</v>
      </c>
      <c r="BC714" t="s">
        <v>74</v>
      </c>
      <c r="BD714">
        <v>2323</v>
      </c>
      <c r="BE714" t="s">
        <v>14132</v>
      </c>
      <c r="BF714" t="str">
        <f>HYPERLINK("http://dx.doi.org/10.3390/rs11192323","http://dx.doi.org/10.3390/rs11192323")</f>
        <v>http://dx.doi.org/10.3390/rs11192323</v>
      </c>
      <c r="BG714" t="s">
        <v>74</v>
      </c>
      <c r="BH714" t="s">
        <v>74</v>
      </c>
      <c r="BI714">
        <v>31</v>
      </c>
      <c r="BJ714" t="s">
        <v>3436</v>
      </c>
      <c r="BK714" t="s">
        <v>294</v>
      </c>
      <c r="BL714" t="s">
        <v>3437</v>
      </c>
      <c r="BM714" t="s">
        <v>14133</v>
      </c>
      <c r="BN714" t="s">
        <v>74</v>
      </c>
      <c r="BO714" t="s">
        <v>107</v>
      </c>
      <c r="BP714" t="s">
        <v>74</v>
      </c>
      <c r="BQ714" t="s">
        <v>74</v>
      </c>
      <c r="BR714" t="s">
        <v>108</v>
      </c>
      <c r="BS714" t="s">
        <v>14134</v>
      </c>
      <c r="BT714" t="str">
        <f>HYPERLINK("https%3A%2F%2Fwww.webofscience.com%2Fwos%2Fwoscc%2Ffull-record%2FWOS:000496827100137","View Full Record in Web of Science")</f>
        <v>View Full Record in Web of Science</v>
      </c>
    </row>
    <row r="715" spans="1:72" x14ac:dyDescent="0.15">
      <c r="A715" t="s">
        <v>133</v>
      </c>
      <c r="B715" t="s">
        <v>14135</v>
      </c>
      <c r="C715" t="s">
        <v>74</v>
      </c>
      <c r="D715" t="s">
        <v>74</v>
      </c>
      <c r="E715" t="s">
        <v>74</v>
      </c>
      <c r="F715" t="s">
        <v>14136</v>
      </c>
      <c r="G715" t="s">
        <v>74</v>
      </c>
      <c r="H715" t="s">
        <v>74</v>
      </c>
      <c r="I715" t="s">
        <v>14137</v>
      </c>
      <c r="J715" t="s">
        <v>4170</v>
      </c>
      <c r="K715" t="s">
        <v>74</v>
      </c>
      <c r="L715" t="s">
        <v>74</v>
      </c>
      <c r="M715" t="s">
        <v>80</v>
      </c>
      <c r="N715" t="s">
        <v>138</v>
      </c>
      <c r="O715" t="s">
        <v>74</v>
      </c>
      <c r="P715" t="s">
        <v>74</v>
      </c>
      <c r="Q715" t="s">
        <v>74</v>
      </c>
      <c r="R715" t="s">
        <v>74</v>
      </c>
      <c r="S715" t="s">
        <v>74</v>
      </c>
      <c r="T715" t="s">
        <v>14138</v>
      </c>
      <c r="U715" t="s">
        <v>14139</v>
      </c>
      <c r="V715" t="s">
        <v>14140</v>
      </c>
      <c r="W715" t="s">
        <v>14141</v>
      </c>
      <c r="X715" t="s">
        <v>14142</v>
      </c>
      <c r="Y715" t="s">
        <v>14143</v>
      </c>
      <c r="Z715" t="s">
        <v>14144</v>
      </c>
      <c r="AA715" t="s">
        <v>74</v>
      </c>
      <c r="AB715" t="s">
        <v>14145</v>
      </c>
      <c r="AC715" t="s">
        <v>14146</v>
      </c>
      <c r="AD715" t="s">
        <v>14147</v>
      </c>
      <c r="AE715" t="s">
        <v>14148</v>
      </c>
      <c r="AF715" t="s">
        <v>74</v>
      </c>
      <c r="AG715">
        <v>90</v>
      </c>
      <c r="AH715">
        <v>9</v>
      </c>
      <c r="AI715">
        <v>10</v>
      </c>
      <c r="AJ715">
        <v>3</v>
      </c>
      <c r="AK715">
        <v>16</v>
      </c>
      <c r="AL715" t="s">
        <v>379</v>
      </c>
      <c r="AM715" t="s">
        <v>380</v>
      </c>
      <c r="AN715" t="s">
        <v>381</v>
      </c>
      <c r="AO715" t="s">
        <v>4183</v>
      </c>
      <c r="AP715" t="s">
        <v>4184</v>
      </c>
      <c r="AQ715" t="s">
        <v>74</v>
      </c>
      <c r="AR715" t="s">
        <v>4185</v>
      </c>
      <c r="AS715" t="s">
        <v>4186</v>
      </c>
      <c r="AT715" t="s">
        <v>6987</v>
      </c>
      <c r="AU715">
        <v>2019</v>
      </c>
      <c r="AV715">
        <v>152</v>
      </c>
      <c r="AW715" t="s">
        <v>74</v>
      </c>
      <c r="AX715" t="s">
        <v>74</v>
      </c>
      <c r="AY715" t="s">
        <v>74</v>
      </c>
      <c r="AZ715" t="s">
        <v>74</v>
      </c>
      <c r="BA715" t="s">
        <v>74</v>
      </c>
      <c r="BB715" t="s">
        <v>74</v>
      </c>
      <c r="BC715" t="s">
        <v>74</v>
      </c>
      <c r="BD715">
        <v>103083</v>
      </c>
      <c r="BE715" t="s">
        <v>14149</v>
      </c>
      <c r="BF715" t="str">
        <f>HYPERLINK("http://dx.doi.org/10.1016/j.dsr.2019.103083","http://dx.doi.org/10.1016/j.dsr.2019.103083")</f>
        <v>http://dx.doi.org/10.1016/j.dsr.2019.103083</v>
      </c>
      <c r="BG715" t="s">
        <v>74</v>
      </c>
      <c r="BH715" t="s">
        <v>74</v>
      </c>
      <c r="BI715">
        <v>20</v>
      </c>
      <c r="BJ715" t="s">
        <v>1945</v>
      </c>
      <c r="BK715" t="s">
        <v>294</v>
      </c>
      <c r="BL715" t="s">
        <v>1945</v>
      </c>
      <c r="BM715" t="s">
        <v>14150</v>
      </c>
      <c r="BN715" t="s">
        <v>74</v>
      </c>
      <c r="BO715" t="s">
        <v>74</v>
      </c>
      <c r="BP715" t="s">
        <v>74</v>
      </c>
      <c r="BQ715" t="s">
        <v>74</v>
      </c>
      <c r="BR715" t="s">
        <v>108</v>
      </c>
      <c r="BS715" t="s">
        <v>14151</v>
      </c>
      <c r="BT715" t="str">
        <f>HYPERLINK("https%3A%2F%2Fwww.webofscience.com%2Fwos%2Fwoscc%2Ffull-record%2FWOS:000497251500006","View Full Record in Web of Science")</f>
        <v>View Full Record in Web of Science</v>
      </c>
    </row>
    <row r="716" spans="1:72" x14ac:dyDescent="0.15">
      <c r="A716" t="s">
        <v>133</v>
      </c>
      <c r="B716" t="s">
        <v>14152</v>
      </c>
      <c r="C716" t="s">
        <v>74</v>
      </c>
      <c r="D716" t="s">
        <v>74</v>
      </c>
      <c r="E716" t="s">
        <v>74</v>
      </c>
      <c r="F716" t="s">
        <v>14153</v>
      </c>
      <c r="G716" t="s">
        <v>74</v>
      </c>
      <c r="H716" t="s">
        <v>74</v>
      </c>
      <c r="I716" t="s">
        <v>14154</v>
      </c>
      <c r="J716" t="s">
        <v>14155</v>
      </c>
      <c r="K716" t="s">
        <v>74</v>
      </c>
      <c r="L716" t="s">
        <v>74</v>
      </c>
      <c r="M716" t="s">
        <v>80</v>
      </c>
      <c r="N716" t="s">
        <v>138</v>
      </c>
      <c r="O716" t="s">
        <v>74</v>
      </c>
      <c r="P716" t="s">
        <v>74</v>
      </c>
      <c r="Q716" t="s">
        <v>74</v>
      </c>
      <c r="R716" t="s">
        <v>74</v>
      </c>
      <c r="S716" t="s">
        <v>74</v>
      </c>
      <c r="T716" t="s">
        <v>14156</v>
      </c>
      <c r="U716" t="s">
        <v>14157</v>
      </c>
      <c r="V716" t="s">
        <v>14158</v>
      </c>
      <c r="W716" t="s">
        <v>14159</v>
      </c>
      <c r="X716" t="s">
        <v>14160</v>
      </c>
      <c r="Y716" t="s">
        <v>14161</v>
      </c>
      <c r="Z716" t="s">
        <v>14162</v>
      </c>
      <c r="AA716" t="s">
        <v>74</v>
      </c>
      <c r="AB716" t="s">
        <v>14163</v>
      </c>
      <c r="AC716" t="s">
        <v>14164</v>
      </c>
      <c r="AD716" t="s">
        <v>14165</v>
      </c>
      <c r="AE716" t="s">
        <v>14166</v>
      </c>
      <c r="AF716" t="s">
        <v>74</v>
      </c>
      <c r="AG716">
        <v>70</v>
      </c>
      <c r="AH716">
        <v>6</v>
      </c>
      <c r="AI716">
        <v>6</v>
      </c>
      <c r="AJ716">
        <v>3</v>
      </c>
      <c r="AK716">
        <v>12</v>
      </c>
      <c r="AL716" t="s">
        <v>683</v>
      </c>
      <c r="AM716" t="s">
        <v>684</v>
      </c>
      <c r="AN716" t="s">
        <v>685</v>
      </c>
      <c r="AO716" t="s">
        <v>74</v>
      </c>
      <c r="AP716" t="s">
        <v>14167</v>
      </c>
      <c r="AQ716" t="s">
        <v>74</v>
      </c>
      <c r="AR716" t="s">
        <v>14168</v>
      </c>
      <c r="AS716" t="s">
        <v>14169</v>
      </c>
      <c r="AT716" t="s">
        <v>6987</v>
      </c>
      <c r="AU716">
        <v>2019</v>
      </c>
      <c r="AV716">
        <v>9</v>
      </c>
      <c r="AW716">
        <v>20</v>
      </c>
      <c r="AX716" t="s">
        <v>74</v>
      </c>
      <c r="AY716" t="s">
        <v>74</v>
      </c>
      <c r="AZ716" t="s">
        <v>74</v>
      </c>
      <c r="BA716" t="s">
        <v>74</v>
      </c>
      <c r="BB716" t="s">
        <v>74</v>
      </c>
      <c r="BC716" t="s">
        <v>74</v>
      </c>
      <c r="BD716">
        <v>4299</v>
      </c>
      <c r="BE716" t="s">
        <v>14170</v>
      </c>
      <c r="BF716" t="str">
        <f>HYPERLINK("http://dx.doi.org/10.3390/app9204299","http://dx.doi.org/10.3390/app9204299")</f>
        <v>http://dx.doi.org/10.3390/app9204299</v>
      </c>
      <c r="BG716" t="s">
        <v>74</v>
      </c>
      <c r="BH716" t="s">
        <v>74</v>
      </c>
      <c r="BI716">
        <v>15</v>
      </c>
      <c r="BJ716" t="s">
        <v>14171</v>
      </c>
      <c r="BK716" t="s">
        <v>294</v>
      </c>
      <c r="BL716" t="s">
        <v>14172</v>
      </c>
      <c r="BM716" t="s">
        <v>14173</v>
      </c>
      <c r="BN716" t="s">
        <v>74</v>
      </c>
      <c r="BO716" t="s">
        <v>107</v>
      </c>
      <c r="BP716" t="s">
        <v>74</v>
      </c>
      <c r="BQ716" t="s">
        <v>74</v>
      </c>
      <c r="BR716" t="s">
        <v>108</v>
      </c>
      <c r="BS716" t="s">
        <v>14174</v>
      </c>
      <c r="BT716" t="str">
        <f>HYPERLINK("https%3A%2F%2Fwww.webofscience.com%2Fwos%2Fwoscc%2Ffull-record%2FWOS:000496269400102","View Full Record in Web of Science")</f>
        <v>View Full Record in Web of Science</v>
      </c>
    </row>
    <row r="717" spans="1:72" x14ac:dyDescent="0.15">
      <c r="A717" t="s">
        <v>133</v>
      </c>
      <c r="B717" t="s">
        <v>14175</v>
      </c>
      <c r="C717" t="s">
        <v>74</v>
      </c>
      <c r="D717" t="s">
        <v>74</v>
      </c>
      <c r="E717" t="s">
        <v>74</v>
      </c>
      <c r="F717" t="s">
        <v>14176</v>
      </c>
      <c r="G717" t="s">
        <v>74</v>
      </c>
      <c r="H717" t="s">
        <v>74</v>
      </c>
      <c r="I717" t="s">
        <v>14177</v>
      </c>
      <c r="J717" t="s">
        <v>14155</v>
      </c>
      <c r="K717" t="s">
        <v>74</v>
      </c>
      <c r="L717" t="s">
        <v>74</v>
      </c>
      <c r="M717" t="s">
        <v>80</v>
      </c>
      <c r="N717" t="s">
        <v>138</v>
      </c>
      <c r="O717" t="s">
        <v>74</v>
      </c>
      <c r="P717" t="s">
        <v>74</v>
      </c>
      <c r="Q717" t="s">
        <v>74</v>
      </c>
      <c r="R717" t="s">
        <v>74</v>
      </c>
      <c r="S717" t="s">
        <v>74</v>
      </c>
      <c r="T717" t="s">
        <v>14178</v>
      </c>
      <c r="U717" t="s">
        <v>74</v>
      </c>
      <c r="V717" t="s">
        <v>14179</v>
      </c>
      <c r="W717" t="s">
        <v>14180</v>
      </c>
      <c r="X717" t="s">
        <v>14181</v>
      </c>
      <c r="Y717" t="s">
        <v>14182</v>
      </c>
      <c r="Z717" t="s">
        <v>14183</v>
      </c>
      <c r="AA717" t="s">
        <v>14184</v>
      </c>
      <c r="AB717" t="s">
        <v>4550</v>
      </c>
      <c r="AC717" t="s">
        <v>14185</v>
      </c>
      <c r="AD717" t="s">
        <v>14186</v>
      </c>
      <c r="AE717" t="s">
        <v>14187</v>
      </c>
      <c r="AF717" t="s">
        <v>74</v>
      </c>
      <c r="AG717">
        <v>12</v>
      </c>
      <c r="AH717">
        <v>1</v>
      </c>
      <c r="AI717">
        <v>1</v>
      </c>
      <c r="AJ717">
        <v>10</v>
      </c>
      <c r="AK717">
        <v>28</v>
      </c>
      <c r="AL717" t="s">
        <v>683</v>
      </c>
      <c r="AM717" t="s">
        <v>684</v>
      </c>
      <c r="AN717" t="s">
        <v>685</v>
      </c>
      <c r="AO717" t="s">
        <v>74</v>
      </c>
      <c r="AP717" t="s">
        <v>14167</v>
      </c>
      <c r="AQ717" t="s">
        <v>74</v>
      </c>
      <c r="AR717" t="s">
        <v>14168</v>
      </c>
      <c r="AS717" t="s">
        <v>14169</v>
      </c>
      <c r="AT717" t="s">
        <v>6987</v>
      </c>
      <c r="AU717">
        <v>2019</v>
      </c>
      <c r="AV717">
        <v>9</v>
      </c>
      <c r="AW717">
        <v>19</v>
      </c>
      <c r="AX717" t="s">
        <v>74</v>
      </c>
      <c r="AY717" t="s">
        <v>74</v>
      </c>
      <c r="AZ717" t="s">
        <v>74</v>
      </c>
      <c r="BA717" t="s">
        <v>74</v>
      </c>
      <c r="BB717" t="s">
        <v>74</v>
      </c>
      <c r="BC717" t="s">
        <v>74</v>
      </c>
      <c r="BD717">
        <v>3953</v>
      </c>
      <c r="BE717" t="s">
        <v>14188</v>
      </c>
      <c r="BF717" t="str">
        <f>HYPERLINK("http://dx.doi.org/10.3390/app9193953","http://dx.doi.org/10.3390/app9193953")</f>
        <v>http://dx.doi.org/10.3390/app9193953</v>
      </c>
      <c r="BG717" t="s">
        <v>74</v>
      </c>
      <c r="BH717" t="s">
        <v>74</v>
      </c>
      <c r="BI717">
        <v>15</v>
      </c>
      <c r="BJ717" t="s">
        <v>14171</v>
      </c>
      <c r="BK717" t="s">
        <v>294</v>
      </c>
      <c r="BL717" t="s">
        <v>14172</v>
      </c>
      <c r="BM717" t="s">
        <v>14189</v>
      </c>
      <c r="BN717" t="s">
        <v>74</v>
      </c>
      <c r="BO717" t="s">
        <v>107</v>
      </c>
      <c r="BP717" t="s">
        <v>74</v>
      </c>
      <c r="BQ717" t="s">
        <v>74</v>
      </c>
      <c r="BR717" t="s">
        <v>108</v>
      </c>
      <c r="BS717" t="s">
        <v>14190</v>
      </c>
      <c r="BT717" t="str">
        <f>HYPERLINK("https%3A%2F%2Fwww.webofscience.com%2Fwos%2Fwoscc%2Ffull-record%2FWOS:000496258100012","View Full Record in Web of Science")</f>
        <v>View Full Record in Web of Science</v>
      </c>
    </row>
    <row r="718" spans="1:72" x14ac:dyDescent="0.15">
      <c r="A718" t="s">
        <v>133</v>
      </c>
      <c r="B718" t="s">
        <v>14191</v>
      </c>
      <c r="C718" t="s">
        <v>74</v>
      </c>
      <c r="D718" t="s">
        <v>74</v>
      </c>
      <c r="E718" t="s">
        <v>74</v>
      </c>
      <c r="F718" t="s">
        <v>14192</v>
      </c>
      <c r="G718" t="s">
        <v>74</v>
      </c>
      <c r="H718" t="s">
        <v>74</v>
      </c>
      <c r="I718" t="s">
        <v>14193</v>
      </c>
      <c r="J718" t="s">
        <v>9719</v>
      </c>
      <c r="K718" t="s">
        <v>74</v>
      </c>
      <c r="L718" t="s">
        <v>74</v>
      </c>
      <c r="M718" t="s">
        <v>80</v>
      </c>
      <c r="N718" t="s">
        <v>138</v>
      </c>
      <c r="O718" t="s">
        <v>74</v>
      </c>
      <c r="P718" t="s">
        <v>74</v>
      </c>
      <c r="Q718" t="s">
        <v>74</v>
      </c>
      <c r="R718" t="s">
        <v>74</v>
      </c>
      <c r="S718" t="s">
        <v>74</v>
      </c>
      <c r="T718" t="s">
        <v>14194</v>
      </c>
      <c r="U718" t="s">
        <v>14195</v>
      </c>
      <c r="V718" t="s">
        <v>14196</v>
      </c>
      <c r="W718" t="s">
        <v>14197</v>
      </c>
      <c r="X718" t="s">
        <v>14198</v>
      </c>
      <c r="Y718" t="s">
        <v>14199</v>
      </c>
      <c r="Z718" t="s">
        <v>14200</v>
      </c>
      <c r="AA718" t="s">
        <v>14201</v>
      </c>
      <c r="AB718" t="s">
        <v>14202</v>
      </c>
      <c r="AC718" t="s">
        <v>14203</v>
      </c>
      <c r="AD718" t="s">
        <v>14204</v>
      </c>
      <c r="AE718" t="s">
        <v>14205</v>
      </c>
      <c r="AF718" t="s">
        <v>74</v>
      </c>
      <c r="AG718">
        <v>68</v>
      </c>
      <c r="AH718">
        <v>22</v>
      </c>
      <c r="AI718">
        <v>24</v>
      </c>
      <c r="AJ718">
        <v>0</v>
      </c>
      <c r="AK718">
        <v>5</v>
      </c>
      <c r="AL718" t="s">
        <v>683</v>
      </c>
      <c r="AM718" t="s">
        <v>684</v>
      </c>
      <c r="AN718" t="s">
        <v>685</v>
      </c>
      <c r="AO718" t="s">
        <v>74</v>
      </c>
      <c r="AP718" t="s">
        <v>9730</v>
      </c>
      <c r="AQ718" t="s">
        <v>74</v>
      </c>
      <c r="AR718" t="s">
        <v>9731</v>
      </c>
      <c r="AS718" t="s">
        <v>9732</v>
      </c>
      <c r="AT718" t="s">
        <v>6987</v>
      </c>
      <c r="AU718">
        <v>2019</v>
      </c>
      <c r="AV718">
        <v>16</v>
      </c>
      <c r="AW718">
        <v>19</v>
      </c>
      <c r="AX718" t="s">
        <v>74</v>
      </c>
      <c r="AY718" t="s">
        <v>74</v>
      </c>
      <c r="AZ718" t="s">
        <v>74</v>
      </c>
      <c r="BA718" t="s">
        <v>74</v>
      </c>
      <c r="BB718" t="s">
        <v>74</v>
      </c>
      <c r="BC718" t="s">
        <v>74</v>
      </c>
      <c r="BD718">
        <v>3715</v>
      </c>
      <c r="BE718" t="s">
        <v>14206</v>
      </c>
      <c r="BF718" t="str">
        <f>HYPERLINK("http://dx.doi.org/10.3390/ijerph16193715","http://dx.doi.org/10.3390/ijerph16193715")</f>
        <v>http://dx.doi.org/10.3390/ijerph16193715</v>
      </c>
      <c r="BG718" t="s">
        <v>74</v>
      </c>
      <c r="BH718" t="s">
        <v>74</v>
      </c>
      <c r="BI718">
        <v>14</v>
      </c>
      <c r="BJ718" t="s">
        <v>9734</v>
      </c>
      <c r="BK718" t="s">
        <v>360</v>
      </c>
      <c r="BL718" t="s">
        <v>9735</v>
      </c>
      <c r="BM718" t="s">
        <v>14207</v>
      </c>
      <c r="BN718">
        <v>31581630</v>
      </c>
      <c r="BO718" t="s">
        <v>12534</v>
      </c>
      <c r="BP718" t="s">
        <v>74</v>
      </c>
      <c r="BQ718" t="s">
        <v>74</v>
      </c>
      <c r="BR718" t="s">
        <v>108</v>
      </c>
      <c r="BS718" t="s">
        <v>14208</v>
      </c>
      <c r="BT718" t="str">
        <f>HYPERLINK("https%3A%2F%2Fwww.webofscience.com%2Fwos%2Fwoscc%2Ffull-record%2FWOS:000494748600211","View Full Record in Web of Science")</f>
        <v>View Full Record in Web of Science</v>
      </c>
    </row>
    <row r="719" spans="1:72" x14ac:dyDescent="0.15">
      <c r="A719" t="s">
        <v>133</v>
      </c>
      <c r="B719" t="s">
        <v>14209</v>
      </c>
      <c r="C719" t="s">
        <v>74</v>
      </c>
      <c r="D719" t="s">
        <v>74</v>
      </c>
      <c r="E719" t="s">
        <v>74</v>
      </c>
      <c r="F719" t="s">
        <v>14210</v>
      </c>
      <c r="G719" t="s">
        <v>74</v>
      </c>
      <c r="H719" t="s">
        <v>74</v>
      </c>
      <c r="I719" t="s">
        <v>14211</v>
      </c>
      <c r="J719" t="s">
        <v>14212</v>
      </c>
      <c r="K719" t="s">
        <v>74</v>
      </c>
      <c r="L719" t="s">
        <v>74</v>
      </c>
      <c r="M719" t="s">
        <v>80</v>
      </c>
      <c r="N719" t="s">
        <v>138</v>
      </c>
      <c r="O719" t="s">
        <v>74</v>
      </c>
      <c r="P719" t="s">
        <v>74</v>
      </c>
      <c r="Q719" t="s">
        <v>74</v>
      </c>
      <c r="R719" t="s">
        <v>74</v>
      </c>
      <c r="S719" t="s">
        <v>74</v>
      </c>
      <c r="T719" t="s">
        <v>14213</v>
      </c>
      <c r="U719" t="s">
        <v>14214</v>
      </c>
      <c r="V719" t="s">
        <v>14215</v>
      </c>
      <c r="W719" t="s">
        <v>14216</v>
      </c>
      <c r="X719" t="s">
        <v>14217</v>
      </c>
      <c r="Y719" t="s">
        <v>14218</v>
      </c>
      <c r="Z719" t="s">
        <v>14219</v>
      </c>
      <c r="AA719" t="s">
        <v>14220</v>
      </c>
      <c r="AB719" t="s">
        <v>14221</v>
      </c>
      <c r="AC719" t="s">
        <v>74</v>
      </c>
      <c r="AD719" t="s">
        <v>74</v>
      </c>
      <c r="AE719" t="s">
        <v>74</v>
      </c>
      <c r="AF719" t="s">
        <v>74</v>
      </c>
      <c r="AG719">
        <v>48</v>
      </c>
      <c r="AH719">
        <v>13</v>
      </c>
      <c r="AI719">
        <v>13</v>
      </c>
      <c r="AJ719">
        <v>0</v>
      </c>
      <c r="AK719">
        <v>17</v>
      </c>
      <c r="AL719" t="s">
        <v>1964</v>
      </c>
      <c r="AM719" t="s">
        <v>1965</v>
      </c>
      <c r="AN719" t="s">
        <v>3452</v>
      </c>
      <c r="AO719" t="s">
        <v>14222</v>
      </c>
      <c r="AP719" t="s">
        <v>14223</v>
      </c>
      <c r="AQ719" t="s">
        <v>74</v>
      </c>
      <c r="AR719" t="s">
        <v>14224</v>
      </c>
      <c r="AS719" t="s">
        <v>14225</v>
      </c>
      <c r="AT719" t="s">
        <v>6987</v>
      </c>
      <c r="AU719">
        <v>2019</v>
      </c>
      <c r="AV719">
        <v>93</v>
      </c>
      <c r="AW719">
        <v>10</v>
      </c>
      <c r="AX719" t="s">
        <v>74</v>
      </c>
      <c r="AY719" t="s">
        <v>74</v>
      </c>
      <c r="AZ719" t="s">
        <v>74</v>
      </c>
      <c r="BA719" t="s">
        <v>74</v>
      </c>
      <c r="BB719">
        <v>1911</v>
      </c>
      <c r="BC719">
        <v>1930</v>
      </c>
      <c r="BD719" t="s">
        <v>74</v>
      </c>
      <c r="BE719" t="s">
        <v>14226</v>
      </c>
      <c r="BF719" t="str">
        <f>HYPERLINK("http://dx.doi.org/10.1007/s00190-019-01291-5","http://dx.doi.org/10.1007/s00190-019-01291-5")</f>
        <v>http://dx.doi.org/10.1007/s00190-019-01291-5</v>
      </c>
      <c r="BG719" t="s">
        <v>74</v>
      </c>
      <c r="BH719" t="s">
        <v>74</v>
      </c>
      <c r="BI719">
        <v>20</v>
      </c>
      <c r="BJ719" t="s">
        <v>14227</v>
      </c>
      <c r="BK719" t="s">
        <v>294</v>
      </c>
      <c r="BL719" t="s">
        <v>14227</v>
      </c>
      <c r="BM719" t="s">
        <v>14228</v>
      </c>
      <c r="BN719" t="s">
        <v>74</v>
      </c>
      <c r="BO719" t="s">
        <v>74</v>
      </c>
      <c r="BP719" t="s">
        <v>74</v>
      </c>
      <c r="BQ719" t="s">
        <v>74</v>
      </c>
      <c r="BR719" t="s">
        <v>108</v>
      </c>
      <c r="BS719" t="s">
        <v>14229</v>
      </c>
      <c r="BT719" t="str">
        <f>HYPERLINK("https%3A%2F%2Fwww.webofscience.com%2Fwos%2Fwoscc%2Ffull-record%2FWOS:000495245100007","View Full Record in Web of Science")</f>
        <v>View Full Record in Web of Science</v>
      </c>
    </row>
    <row r="720" spans="1:72" x14ac:dyDescent="0.15">
      <c r="A720" t="s">
        <v>133</v>
      </c>
      <c r="B720" t="s">
        <v>14230</v>
      </c>
      <c r="C720" t="s">
        <v>74</v>
      </c>
      <c r="D720" t="s">
        <v>74</v>
      </c>
      <c r="E720" t="s">
        <v>74</v>
      </c>
      <c r="F720" t="s">
        <v>14231</v>
      </c>
      <c r="G720" t="s">
        <v>74</v>
      </c>
      <c r="H720" t="s">
        <v>74</v>
      </c>
      <c r="I720" t="s">
        <v>14232</v>
      </c>
      <c r="J720" t="s">
        <v>14233</v>
      </c>
      <c r="K720" t="s">
        <v>74</v>
      </c>
      <c r="L720" t="s">
        <v>74</v>
      </c>
      <c r="M720" t="s">
        <v>13905</v>
      </c>
      <c r="N720" t="s">
        <v>138</v>
      </c>
      <c r="O720" t="s">
        <v>74</v>
      </c>
      <c r="P720" t="s">
        <v>74</v>
      </c>
      <c r="Q720" t="s">
        <v>74</v>
      </c>
      <c r="R720" t="s">
        <v>74</v>
      </c>
      <c r="S720" t="s">
        <v>74</v>
      </c>
      <c r="T720" t="s">
        <v>14234</v>
      </c>
      <c r="U720" t="s">
        <v>74</v>
      </c>
      <c r="V720" t="s">
        <v>14235</v>
      </c>
      <c r="W720" t="s">
        <v>14236</v>
      </c>
      <c r="X720" t="s">
        <v>14237</v>
      </c>
      <c r="Y720" t="s">
        <v>14238</v>
      </c>
      <c r="Z720" t="s">
        <v>14239</v>
      </c>
      <c r="AA720" t="s">
        <v>14240</v>
      </c>
      <c r="AB720" t="s">
        <v>14241</v>
      </c>
      <c r="AC720" t="s">
        <v>74</v>
      </c>
      <c r="AD720" t="s">
        <v>74</v>
      </c>
      <c r="AE720" t="s">
        <v>74</v>
      </c>
      <c r="AF720" t="s">
        <v>74</v>
      </c>
      <c r="AG720">
        <v>29</v>
      </c>
      <c r="AH720">
        <v>0</v>
      </c>
      <c r="AI720">
        <v>0</v>
      </c>
      <c r="AJ720">
        <v>0</v>
      </c>
      <c r="AK720">
        <v>7</v>
      </c>
      <c r="AL720" t="s">
        <v>14242</v>
      </c>
      <c r="AM720" t="s">
        <v>3718</v>
      </c>
      <c r="AN720" t="s">
        <v>14243</v>
      </c>
      <c r="AO720" t="s">
        <v>14244</v>
      </c>
      <c r="AP720" t="s">
        <v>74</v>
      </c>
      <c r="AQ720" t="s">
        <v>74</v>
      </c>
      <c r="AR720" t="s">
        <v>14245</v>
      </c>
      <c r="AS720" t="s">
        <v>14246</v>
      </c>
      <c r="AT720" t="s">
        <v>6987</v>
      </c>
      <c r="AU720">
        <v>2019</v>
      </c>
      <c r="AV720">
        <v>98</v>
      </c>
      <c r="AW720">
        <v>10</v>
      </c>
      <c r="AX720" t="s">
        <v>74</v>
      </c>
      <c r="AY720" t="s">
        <v>74</v>
      </c>
      <c r="AZ720" t="s">
        <v>74</v>
      </c>
      <c r="BA720" t="s">
        <v>74</v>
      </c>
      <c r="BB720">
        <v>1177</v>
      </c>
      <c r="BC720">
        <v>1185</v>
      </c>
      <c r="BD720" t="s">
        <v>74</v>
      </c>
      <c r="BE720" t="s">
        <v>14247</v>
      </c>
      <c r="BF720" t="str">
        <f>HYPERLINK("http://dx.doi.org/10.1134/S004451341910009X","http://dx.doi.org/10.1134/S004451341910009X")</f>
        <v>http://dx.doi.org/10.1134/S004451341910009X</v>
      </c>
      <c r="BG720" t="s">
        <v>74</v>
      </c>
      <c r="BH720" t="s">
        <v>74</v>
      </c>
      <c r="BI720">
        <v>9</v>
      </c>
      <c r="BJ720" t="s">
        <v>1219</v>
      </c>
      <c r="BK720" t="s">
        <v>294</v>
      </c>
      <c r="BL720" t="s">
        <v>1219</v>
      </c>
      <c r="BM720" t="s">
        <v>14248</v>
      </c>
      <c r="BN720" t="s">
        <v>74</v>
      </c>
      <c r="BO720" t="s">
        <v>74</v>
      </c>
      <c r="BP720" t="s">
        <v>74</v>
      </c>
      <c r="BQ720" t="s">
        <v>74</v>
      </c>
      <c r="BR720" t="s">
        <v>108</v>
      </c>
      <c r="BS720" t="s">
        <v>14249</v>
      </c>
      <c r="BT720" t="str">
        <f>HYPERLINK("https%3A%2F%2Fwww.webofscience.com%2Fwos%2Fwoscc%2Ffull-record%2FWOS:000495809100009","View Full Record in Web of Science")</f>
        <v>View Full Record in Web of Science</v>
      </c>
    </row>
    <row r="721" spans="1:72" x14ac:dyDescent="0.15">
      <c r="A721" t="s">
        <v>133</v>
      </c>
      <c r="B721" t="s">
        <v>14250</v>
      </c>
      <c r="C721" t="s">
        <v>74</v>
      </c>
      <c r="D721" t="s">
        <v>74</v>
      </c>
      <c r="E721" t="s">
        <v>74</v>
      </c>
      <c r="F721" t="s">
        <v>14251</v>
      </c>
      <c r="G721" t="s">
        <v>74</v>
      </c>
      <c r="H721" t="s">
        <v>74</v>
      </c>
      <c r="I721" t="s">
        <v>14252</v>
      </c>
      <c r="J721" t="s">
        <v>698</v>
      </c>
      <c r="K721" t="s">
        <v>74</v>
      </c>
      <c r="L721" t="s">
        <v>74</v>
      </c>
      <c r="M721" t="s">
        <v>80</v>
      </c>
      <c r="N721" t="s">
        <v>138</v>
      </c>
      <c r="O721" t="s">
        <v>74</v>
      </c>
      <c r="P721" t="s">
        <v>74</v>
      </c>
      <c r="Q721" t="s">
        <v>74</v>
      </c>
      <c r="R721" t="s">
        <v>74</v>
      </c>
      <c r="S721" t="s">
        <v>74</v>
      </c>
      <c r="T721" t="s">
        <v>14253</v>
      </c>
      <c r="U721" t="s">
        <v>74</v>
      </c>
      <c r="V721" t="s">
        <v>14254</v>
      </c>
      <c r="W721" t="s">
        <v>14255</v>
      </c>
      <c r="X721" t="s">
        <v>14256</v>
      </c>
      <c r="Y721" t="s">
        <v>14257</v>
      </c>
      <c r="Z721" t="s">
        <v>14258</v>
      </c>
      <c r="AA721" t="s">
        <v>74</v>
      </c>
      <c r="AB721" t="s">
        <v>74</v>
      </c>
      <c r="AC721" t="s">
        <v>14259</v>
      </c>
      <c r="AD721" t="s">
        <v>14260</v>
      </c>
      <c r="AE721" t="s">
        <v>14261</v>
      </c>
      <c r="AF721" t="s">
        <v>74</v>
      </c>
      <c r="AG721">
        <v>7</v>
      </c>
      <c r="AH721">
        <v>5</v>
      </c>
      <c r="AI721">
        <v>5</v>
      </c>
      <c r="AJ721">
        <v>0</v>
      </c>
      <c r="AK721">
        <v>8</v>
      </c>
      <c r="AL721" t="s">
        <v>709</v>
      </c>
      <c r="AM721" t="s">
        <v>380</v>
      </c>
      <c r="AN721" t="s">
        <v>710</v>
      </c>
      <c r="AO721" t="s">
        <v>711</v>
      </c>
      <c r="AP721" t="s">
        <v>712</v>
      </c>
      <c r="AQ721" t="s">
        <v>74</v>
      </c>
      <c r="AR721" t="s">
        <v>713</v>
      </c>
      <c r="AS721" t="s">
        <v>714</v>
      </c>
      <c r="AT721" t="s">
        <v>6987</v>
      </c>
      <c r="AU721">
        <v>2019</v>
      </c>
      <c r="AV721">
        <v>108</v>
      </c>
      <c r="AW721" t="s">
        <v>74</v>
      </c>
      <c r="AX721" t="s">
        <v>74</v>
      </c>
      <c r="AY721" t="s">
        <v>74</v>
      </c>
      <c r="AZ721" t="s">
        <v>74</v>
      </c>
      <c r="BA721" t="s">
        <v>74</v>
      </c>
      <c r="BB721" t="s">
        <v>74</v>
      </c>
      <c r="BC721" t="s">
        <v>74</v>
      </c>
      <c r="BD721">
        <v>103632</v>
      </c>
      <c r="BE721" t="s">
        <v>14262</v>
      </c>
      <c r="BF721" t="str">
        <f>HYPERLINK("http://dx.doi.org/10.1016/j.marpol.2019.103632","http://dx.doi.org/10.1016/j.marpol.2019.103632")</f>
        <v>http://dx.doi.org/10.1016/j.marpol.2019.103632</v>
      </c>
      <c r="BG721" t="s">
        <v>74</v>
      </c>
      <c r="BH721" t="s">
        <v>74</v>
      </c>
      <c r="BI721">
        <v>2</v>
      </c>
      <c r="BJ721" t="s">
        <v>716</v>
      </c>
      <c r="BK721" t="s">
        <v>717</v>
      </c>
      <c r="BL721" t="s">
        <v>718</v>
      </c>
      <c r="BM721" t="s">
        <v>14263</v>
      </c>
      <c r="BN721" t="s">
        <v>74</v>
      </c>
      <c r="BO721" t="s">
        <v>74</v>
      </c>
      <c r="BP721" t="s">
        <v>74</v>
      </c>
      <c r="BQ721" t="s">
        <v>74</v>
      </c>
      <c r="BR721" t="s">
        <v>108</v>
      </c>
      <c r="BS721" t="s">
        <v>14264</v>
      </c>
      <c r="BT721" t="str">
        <f>HYPERLINK("https%3A%2F%2Fwww.webofscience.com%2Fwos%2Fwoscc%2Ffull-record%2FWOS:000495518700052","View Full Record in Web of Science")</f>
        <v>View Full Record in Web of Science</v>
      </c>
    </row>
    <row r="722" spans="1:72" x14ac:dyDescent="0.15">
      <c r="A722" t="s">
        <v>133</v>
      </c>
      <c r="B722" t="s">
        <v>14265</v>
      </c>
      <c r="C722" t="s">
        <v>74</v>
      </c>
      <c r="D722" t="s">
        <v>74</v>
      </c>
      <c r="E722" t="s">
        <v>74</v>
      </c>
      <c r="F722" t="s">
        <v>14266</v>
      </c>
      <c r="G722" t="s">
        <v>74</v>
      </c>
      <c r="H722" t="s">
        <v>74</v>
      </c>
      <c r="I722" t="s">
        <v>14267</v>
      </c>
      <c r="J722" t="s">
        <v>698</v>
      </c>
      <c r="K722" t="s">
        <v>74</v>
      </c>
      <c r="L722" t="s">
        <v>74</v>
      </c>
      <c r="M722" t="s">
        <v>80</v>
      </c>
      <c r="N722" t="s">
        <v>138</v>
      </c>
      <c r="O722" t="s">
        <v>74</v>
      </c>
      <c r="P722" t="s">
        <v>74</v>
      </c>
      <c r="Q722" t="s">
        <v>74</v>
      </c>
      <c r="R722" t="s">
        <v>74</v>
      </c>
      <c r="S722" t="s">
        <v>74</v>
      </c>
      <c r="T722" t="s">
        <v>14268</v>
      </c>
      <c r="U722" t="s">
        <v>14269</v>
      </c>
      <c r="V722" t="s">
        <v>14270</v>
      </c>
      <c r="W722" t="s">
        <v>14271</v>
      </c>
      <c r="X722" t="s">
        <v>14272</v>
      </c>
      <c r="Y722" t="s">
        <v>14273</v>
      </c>
      <c r="Z722" t="s">
        <v>14274</v>
      </c>
      <c r="AA722" t="s">
        <v>14275</v>
      </c>
      <c r="AB722" t="s">
        <v>14276</v>
      </c>
      <c r="AC722" t="s">
        <v>14277</v>
      </c>
      <c r="AD722" t="s">
        <v>14278</v>
      </c>
      <c r="AE722" t="s">
        <v>14279</v>
      </c>
      <c r="AF722" t="s">
        <v>74</v>
      </c>
      <c r="AG722">
        <v>66</v>
      </c>
      <c r="AH722">
        <v>32</v>
      </c>
      <c r="AI722">
        <v>36</v>
      </c>
      <c r="AJ722">
        <v>0</v>
      </c>
      <c r="AK722">
        <v>8</v>
      </c>
      <c r="AL722" t="s">
        <v>709</v>
      </c>
      <c r="AM722" t="s">
        <v>380</v>
      </c>
      <c r="AN722" t="s">
        <v>710</v>
      </c>
      <c r="AO722" t="s">
        <v>711</v>
      </c>
      <c r="AP722" t="s">
        <v>712</v>
      </c>
      <c r="AQ722" t="s">
        <v>74</v>
      </c>
      <c r="AR722" t="s">
        <v>713</v>
      </c>
      <c r="AS722" t="s">
        <v>714</v>
      </c>
      <c r="AT722" t="s">
        <v>6987</v>
      </c>
      <c r="AU722">
        <v>2019</v>
      </c>
      <c r="AV722">
        <v>108</v>
      </c>
      <c r="AW722" t="s">
        <v>74</v>
      </c>
      <c r="AX722" t="s">
        <v>74</v>
      </c>
      <c r="AY722" t="s">
        <v>74</v>
      </c>
      <c r="AZ722" t="s">
        <v>74</v>
      </c>
      <c r="BA722" t="s">
        <v>74</v>
      </c>
      <c r="BB722" t="s">
        <v>74</v>
      </c>
      <c r="BC722" t="s">
        <v>74</v>
      </c>
      <c r="BD722">
        <v>103639</v>
      </c>
      <c r="BE722" t="s">
        <v>14280</v>
      </c>
      <c r="BF722" t="str">
        <f>HYPERLINK("http://dx.doi.org/10.1016/j.marpol.2019.103639","http://dx.doi.org/10.1016/j.marpol.2019.103639")</f>
        <v>http://dx.doi.org/10.1016/j.marpol.2019.103639</v>
      </c>
      <c r="BG722" t="s">
        <v>74</v>
      </c>
      <c r="BH722" t="s">
        <v>74</v>
      </c>
      <c r="BI722">
        <v>8</v>
      </c>
      <c r="BJ722" t="s">
        <v>716</v>
      </c>
      <c r="BK722" t="s">
        <v>717</v>
      </c>
      <c r="BL722" t="s">
        <v>718</v>
      </c>
      <c r="BM722" t="s">
        <v>14263</v>
      </c>
      <c r="BN722" t="s">
        <v>74</v>
      </c>
      <c r="BO722" t="s">
        <v>4773</v>
      </c>
      <c r="BP722" t="s">
        <v>74</v>
      </c>
      <c r="BQ722" t="s">
        <v>74</v>
      </c>
      <c r="BR722" t="s">
        <v>108</v>
      </c>
      <c r="BS722" t="s">
        <v>14281</v>
      </c>
      <c r="BT722" t="str">
        <f>HYPERLINK("https%3A%2F%2Fwww.webofscience.com%2Fwos%2Fwoscc%2Ffull-record%2FWOS:000495518700026","View Full Record in Web of Science")</f>
        <v>View Full Record in Web of Science</v>
      </c>
    </row>
    <row r="723" spans="1:72" x14ac:dyDescent="0.15">
      <c r="A723" t="s">
        <v>133</v>
      </c>
      <c r="B723" t="s">
        <v>14282</v>
      </c>
      <c r="C723" t="s">
        <v>74</v>
      </c>
      <c r="D723" t="s">
        <v>74</v>
      </c>
      <c r="E723" t="s">
        <v>74</v>
      </c>
      <c r="F723" t="s">
        <v>14283</v>
      </c>
      <c r="G723" t="s">
        <v>74</v>
      </c>
      <c r="H723" t="s">
        <v>74</v>
      </c>
      <c r="I723" t="s">
        <v>14284</v>
      </c>
      <c r="J723" t="s">
        <v>698</v>
      </c>
      <c r="K723" t="s">
        <v>74</v>
      </c>
      <c r="L723" t="s">
        <v>74</v>
      </c>
      <c r="M723" t="s">
        <v>80</v>
      </c>
      <c r="N723" t="s">
        <v>138</v>
      </c>
      <c r="O723" t="s">
        <v>74</v>
      </c>
      <c r="P723" t="s">
        <v>74</v>
      </c>
      <c r="Q723" t="s">
        <v>74</v>
      </c>
      <c r="R723" t="s">
        <v>74</v>
      </c>
      <c r="S723" t="s">
        <v>74</v>
      </c>
      <c r="T723" t="s">
        <v>14285</v>
      </c>
      <c r="U723" t="s">
        <v>14286</v>
      </c>
      <c r="V723" t="s">
        <v>14287</v>
      </c>
      <c r="W723" t="s">
        <v>14288</v>
      </c>
      <c r="X723" t="s">
        <v>14289</v>
      </c>
      <c r="Y723" t="s">
        <v>14290</v>
      </c>
      <c r="Z723" t="s">
        <v>14291</v>
      </c>
      <c r="AA723" t="s">
        <v>74</v>
      </c>
      <c r="AB723" t="s">
        <v>74</v>
      </c>
      <c r="AC723" t="s">
        <v>14292</v>
      </c>
      <c r="AD723" t="s">
        <v>14292</v>
      </c>
      <c r="AE723" t="s">
        <v>14293</v>
      </c>
      <c r="AF723" t="s">
        <v>74</v>
      </c>
      <c r="AG723">
        <v>35</v>
      </c>
      <c r="AH723">
        <v>2</v>
      </c>
      <c r="AI723">
        <v>2</v>
      </c>
      <c r="AJ723">
        <v>1</v>
      </c>
      <c r="AK723">
        <v>4</v>
      </c>
      <c r="AL723" t="s">
        <v>709</v>
      </c>
      <c r="AM723" t="s">
        <v>380</v>
      </c>
      <c r="AN723" t="s">
        <v>710</v>
      </c>
      <c r="AO723" t="s">
        <v>711</v>
      </c>
      <c r="AP723" t="s">
        <v>712</v>
      </c>
      <c r="AQ723" t="s">
        <v>74</v>
      </c>
      <c r="AR723" t="s">
        <v>713</v>
      </c>
      <c r="AS723" t="s">
        <v>714</v>
      </c>
      <c r="AT723" t="s">
        <v>6987</v>
      </c>
      <c r="AU723">
        <v>2019</v>
      </c>
      <c r="AV723">
        <v>108</v>
      </c>
      <c r="AW723" t="s">
        <v>74</v>
      </c>
      <c r="AX723" t="s">
        <v>74</v>
      </c>
      <c r="AY723" t="s">
        <v>74</v>
      </c>
      <c r="AZ723" t="s">
        <v>74</v>
      </c>
      <c r="BA723" t="s">
        <v>74</v>
      </c>
      <c r="BB723" t="s">
        <v>74</v>
      </c>
      <c r="BC723" t="s">
        <v>74</v>
      </c>
      <c r="BD723">
        <v>103659</v>
      </c>
      <c r="BE723" t="s">
        <v>14294</v>
      </c>
      <c r="BF723" t="str">
        <f>HYPERLINK("http://dx.doi.org/10.1016/j.marpol.2019.103659","http://dx.doi.org/10.1016/j.marpol.2019.103659")</f>
        <v>http://dx.doi.org/10.1016/j.marpol.2019.103659</v>
      </c>
      <c r="BG723" t="s">
        <v>74</v>
      </c>
      <c r="BH723" t="s">
        <v>74</v>
      </c>
      <c r="BI723">
        <v>5</v>
      </c>
      <c r="BJ723" t="s">
        <v>716</v>
      </c>
      <c r="BK723" t="s">
        <v>717</v>
      </c>
      <c r="BL723" t="s">
        <v>718</v>
      </c>
      <c r="BM723" t="s">
        <v>14263</v>
      </c>
      <c r="BN723" t="s">
        <v>74</v>
      </c>
      <c r="BO723" t="s">
        <v>74</v>
      </c>
      <c r="BP723" t="s">
        <v>74</v>
      </c>
      <c r="BQ723" t="s">
        <v>74</v>
      </c>
      <c r="BR723" t="s">
        <v>108</v>
      </c>
      <c r="BS723" t="s">
        <v>14295</v>
      </c>
      <c r="BT723" t="str">
        <f>HYPERLINK("https%3A%2F%2Fwww.webofscience.com%2Fwos%2Fwoscc%2Ffull-record%2FWOS:000495518700030","View Full Record in Web of Science")</f>
        <v>View Full Record in Web of Science</v>
      </c>
    </row>
    <row r="724" spans="1:72" x14ac:dyDescent="0.15">
      <c r="A724" t="s">
        <v>133</v>
      </c>
      <c r="B724" t="s">
        <v>14296</v>
      </c>
      <c r="C724" t="s">
        <v>74</v>
      </c>
      <c r="D724" t="s">
        <v>74</v>
      </c>
      <c r="E724" t="s">
        <v>74</v>
      </c>
      <c r="F724" t="s">
        <v>14297</v>
      </c>
      <c r="G724" t="s">
        <v>74</v>
      </c>
      <c r="H724" t="s">
        <v>74</v>
      </c>
      <c r="I724" t="s">
        <v>14298</v>
      </c>
      <c r="J724" t="s">
        <v>698</v>
      </c>
      <c r="K724" t="s">
        <v>74</v>
      </c>
      <c r="L724" t="s">
        <v>74</v>
      </c>
      <c r="M724" t="s">
        <v>80</v>
      </c>
      <c r="N724" t="s">
        <v>138</v>
      </c>
      <c r="O724" t="s">
        <v>74</v>
      </c>
      <c r="P724" t="s">
        <v>74</v>
      </c>
      <c r="Q724" t="s">
        <v>74</v>
      </c>
      <c r="R724" t="s">
        <v>74</v>
      </c>
      <c r="S724" t="s">
        <v>74</v>
      </c>
      <c r="T724" t="s">
        <v>14299</v>
      </c>
      <c r="U724" t="s">
        <v>14300</v>
      </c>
      <c r="V724" t="s">
        <v>14301</v>
      </c>
      <c r="W724" t="s">
        <v>14302</v>
      </c>
      <c r="X724" t="s">
        <v>3815</v>
      </c>
      <c r="Y724" t="s">
        <v>14303</v>
      </c>
      <c r="Z724" t="s">
        <v>14304</v>
      </c>
      <c r="AA724" t="s">
        <v>14305</v>
      </c>
      <c r="AB724" t="s">
        <v>14306</v>
      </c>
      <c r="AC724" t="s">
        <v>74</v>
      </c>
      <c r="AD724" t="s">
        <v>74</v>
      </c>
      <c r="AE724" t="s">
        <v>74</v>
      </c>
      <c r="AF724" t="s">
        <v>74</v>
      </c>
      <c r="AG724">
        <v>48</v>
      </c>
      <c r="AH724">
        <v>17</v>
      </c>
      <c r="AI724">
        <v>17</v>
      </c>
      <c r="AJ724">
        <v>1</v>
      </c>
      <c r="AK724">
        <v>26</v>
      </c>
      <c r="AL724" t="s">
        <v>709</v>
      </c>
      <c r="AM724" t="s">
        <v>380</v>
      </c>
      <c r="AN724" t="s">
        <v>710</v>
      </c>
      <c r="AO724" t="s">
        <v>711</v>
      </c>
      <c r="AP724" t="s">
        <v>712</v>
      </c>
      <c r="AQ724" t="s">
        <v>74</v>
      </c>
      <c r="AR724" t="s">
        <v>713</v>
      </c>
      <c r="AS724" t="s">
        <v>714</v>
      </c>
      <c r="AT724" t="s">
        <v>6987</v>
      </c>
      <c r="AU724">
        <v>2019</v>
      </c>
      <c r="AV724">
        <v>108</v>
      </c>
      <c r="AW724" t="s">
        <v>74</v>
      </c>
      <c r="AX724" t="s">
        <v>74</v>
      </c>
      <c r="AY724" t="s">
        <v>74</v>
      </c>
      <c r="AZ724" t="s">
        <v>74</v>
      </c>
      <c r="BA724" t="s">
        <v>74</v>
      </c>
      <c r="BB724" t="s">
        <v>74</v>
      </c>
      <c r="BC724" t="s">
        <v>74</v>
      </c>
      <c r="BD724">
        <v>103634</v>
      </c>
      <c r="BE724" t="s">
        <v>14307</v>
      </c>
      <c r="BF724" t="str">
        <f>HYPERLINK("http://dx.doi.org/10.1016/j.marpol.2019.103634","http://dx.doi.org/10.1016/j.marpol.2019.103634")</f>
        <v>http://dx.doi.org/10.1016/j.marpol.2019.103634</v>
      </c>
      <c r="BG724" t="s">
        <v>74</v>
      </c>
      <c r="BH724" t="s">
        <v>74</v>
      </c>
      <c r="BI724">
        <v>8</v>
      </c>
      <c r="BJ724" t="s">
        <v>716</v>
      </c>
      <c r="BK724" t="s">
        <v>717</v>
      </c>
      <c r="BL724" t="s">
        <v>718</v>
      </c>
      <c r="BM724" t="s">
        <v>14263</v>
      </c>
      <c r="BN724" t="s">
        <v>74</v>
      </c>
      <c r="BO724" t="s">
        <v>74</v>
      </c>
      <c r="BP724" t="s">
        <v>74</v>
      </c>
      <c r="BQ724" t="s">
        <v>74</v>
      </c>
      <c r="BR724" t="s">
        <v>108</v>
      </c>
      <c r="BS724" t="s">
        <v>14308</v>
      </c>
      <c r="BT724" t="str">
        <f>HYPERLINK("https%3A%2F%2Fwww.webofscience.com%2Fwos%2Fwoscc%2Ffull-record%2FWOS:000495518700016","View Full Record in Web of Science")</f>
        <v>View Full Record in Web of Science</v>
      </c>
    </row>
    <row r="725" spans="1:72" x14ac:dyDescent="0.15">
      <c r="A725" t="s">
        <v>133</v>
      </c>
      <c r="B725" t="s">
        <v>14309</v>
      </c>
      <c r="C725" t="s">
        <v>74</v>
      </c>
      <c r="D725" t="s">
        <v>74</v>
      </c>
      <c r="E725" t="s">
        <v>74</v>
      </c>
      <c r="F725" t="s">
        <v>14310</v>
      </c>
      <c r="G725" t="s">
        <v>74</v>
      </c>
      <c r="H725" t="s">
        <v>74</v>
      </c>
      <c r="I725" t="s">
        <v>14311</v>
      </c>
      <c r="J725" t="s">
        <v>14312</v>
      </c>
      <c r="K725" t="s">
        <v>74</v>
      </c>
      <c r="L725" t="s">
        <v>74</v>
      </c>
      <c r="M725" t="s">
        <v>80</v>
      </c>
      <c r="N725" t="s">
        <v>930</v>
      </c>
      <c r="O725" t="s">
        <v>74</v>
      </c>
      <c r="P725" t="s">
        <v>74</v>
      </c>
      <c r="Q725" t="s">
        <v>74</v>
      </c>
      <c r="R725" t="s">
        <v>74</v>
      </c>
      <c r="S725" t="s">
        <v>74</v>
      </c>
      <c r="T725" t="s">
        <v>14313</v>
      </c>
      <c r="U725" t="s">
        <v>14314</v>
      </c>
      <c r="V725" t="s">
        <v>14315</v>
      </c>
      <c r="W725" t="s">
        <v>14316</v>
      </c>
      <c r="X725" t="s">
        <v>14317</v>
      </c>
      <c r="Y725" t="s">
        <v>14318</v>
      </c>
      <c r="Z725" t="s">
        <v>14319</v>
      </c>
      <c r="AA725" t="s">
        <v>14320</v>
      </c>
      <c r="AB725" t="s">
        <v>14321</v>
      </c>
      <c r="AC725" t="s">
        <v>14322</v>
      </c>
      <c r="AD725" t="s">
        <v>14323</v>
      </c>
      <c r="AE725" t="s">
        <v>14324</v>
      </c>
      <c r="AF725" t="s">
        <v>74</v>
      </c>
      <c r="AG725">
        <v>84</v>
      </c>
      <c r="AH725">
        <v>8</v>
      </c>
      <c r="AI725">
        <v>8</v>
      </c>
      <c r="AJ725">
        <v>3</v>
      </c>
      <c r="AK725">
        <v>33</v>
      </c>
      <c r="AL725" t="s">
        <v>683</v>
      </c>
      <c r="AM725" t="s">
        <v>684</v>
      </c>
      <c r="AN725" t="s">
        <v>685</v>
      </c>
      <c r="AO725" t="s">
        <v>74</v>
      </c>
      <c r="AP725" t="s">
        <v>14325</v>
      </c>
      <c r="AQ725" t="s">
        <v>74</v>
      </c>
      <c r="AR725" t="s">
        <v>14312</v>
      </c>
      <c r="AS725" t="s">
        <v>14326</v>
      </c>
      <c r="AT725" t="s">
        <v>6987</v>
      </c>
      <c r="AU725">
        <v>2019</v>
      </c>
      <c r="AV725">
        <v>11</v>
      </c>
      <c r="AW725">
        <v>10</v>
      </c>
      <c r="AX725" t="s">
        <v>74</v>
      </c>
      <c r="AY725" t="s">
        <v>74</v>
      </c>
      <c r="AZ725" t="s">
        <v>74</v>
      </c>
      <c r="BA725" t="s">
        <v>74</v>
      </c>
      <c r="BB725" t="s">
        <v>74</v>
      </c>
      <c r="BC725" t="s">
        <v>74</v>
      </c>
      <c r="BD725">
        <v>201</v>
      </c>
      <c r="BE725" t="s">
        <v>14327</v>
      </c>
      <c r="BF725" t="str">
        <f>HYPERLINK("http://dx.doi.org/10.3390/d11100201","http://dx.doi.org/10.3390/d11100201")</f>
        <v>http://dx.doi.org/10.3390/d11100201</v>
      </c>
      <c r="BG725" t="s">
        <v>74</v>
      </c>
      <c r="BH725" t="s">
        <v>74</v>
      </c>
      <c r="BI725">
        <v>20</v>
      </c>
      <c r="BJ725" t="s">
        <v>3524</v>
      </c>
      <c r="BK725" t="s">
        <v>294</v>
      </c>
      <c r="BL725" t="s">
        <v>295</v>
      </c>
      <c r="BM725" t="s">
        <v>14328</v>
      </c>
      <c r="BN725" t="s">
        <v>74</v>
      </c>
      <c r="BO725" t="s">
        <v>107</v>
      </c>
      <c r="BP725" t="s">
        <v>74</v>
      </c>
      <c r="BQ725" t="s">
        <v>74</v>
      </c>
      <c r="BR725" t="s">
        <v>108</v>
      </c>
      <c r="BS725" t="s">
        <v>14329</v>
      </c>
      <c r="BT725" t="str">
        <f>HYPERLINK("https%3A%2F%2Fwww.webofscience.com%2Fwos%2Fwoscc%2Ffull-record%2FWOS:000494425500026","View Full Record in Web of Science")</f>
        <v>View Full Record in Web of Science</v>
      </c>
    </row>
    <row r="726" spans="1:72" x14ac:dyDescent="0.15">
      <c r="A726" t="s">
        <v>133</v>
      </c>
      <c r="B726" t="s">
        <v>14330</v>
      </c>
      <c r="C726" t="s">
        <v>74</v>
      </c>
      <c r="D726" t="s">
        <v>74</v>
      </c>
      <c r="E726" t="s">
        <v>74</v>
      </c>
      <c r="F726" t="s">
        <v>14331</v>
      </c>
      <c r="G726" t="s">
        <v>74</v>
      </c>
      <c r="H726" t="s">
        <v>74</v>
      </c>
      <c r="I726" t="s">
        <v>14332</v>
      </c>
      <c r="J726" t="s">
        <v>14333</v>
      </c>
      <c r="K726" t="s">
        <v>74</v>
      </c>
      <c r="L726" t="s">
        <v>74</v>
      </c>
      <c r="M726" t="s">
        <v>80</v>
      </c>
      <c r="N726" t="s">
        <v>138</v>
      </c>
      <c r="O726" t="s">
        <v>74</v>
      </c>
      <c r="P726" t="s">
        <v>74</v>
      </c>
      <c r="Q726" t="s">
        <v>74</v>
      </c>
      <c r="R726" t="s">
        <v>74</v>
      </c>
      <c r="S726" t="s">
        <v>74</v>
      </c>
      <c r="T726" t="s">
        <v>14334</v>
      </c>
      <c r="U726" t="s">
        <v>14335</v>
      </c>
      <c r="V726" t="s">
        <v>14336</v>
      </c>
      <c r="W726" t="s">
        <v>14337</v>
      </c>
      <c r="X726" t="s">
        <v>14338</v>
      </c>
      <c r="Y726" t="s">
        <v>14339</v>
      </c>
      <c r="Z726" t="s">
        <v>14340</v>
      </c>
      <c r="AA726" t="s">
        <v>14341</v>
      </c>
      <c r="AB726" t="s">
        <v>14342</v>
      </c>
      <c r="AC726" t="s">
        <v>14343</v>
      </c>
      <c r="AD726" t="s">
        <v>14344</v>
      </c>
      <c r="AE726" t="s">
        <v>14345</v>
      </c>
      <c r="AF726" t="s">
        <v>74</v>
      </c>
      <c r="AG726">
        <v>49</v>
      </c>
      <c r="AH726">
        <v>3</v>
      </c>
      <c r="AI726">
        <v>3</v>
      </c>
      <c r="AJ726">
        <v>1</v>
      </c>
      <c r="AK726">
        <v>22</v>
      </c>
      <c r="AL726" t="s">
        <v>3493</v>
      </c>
      <c r="AM726" t="s">
        <v>3494</v>
      </c>
      <c r="AN726" t="s">
        <v>3495</v>
      </c>
      <c r="AO726" t="s">
        <v>14346</v>
      </c>
      <c r="AP726" t="s">
        <v>14347</v>
      </c>
      <c r="AQ726" t="s">
        <v>74</v>
      </c>
      <c r="AR726" t="s">
        <v>14348</v>
      </c>
      <c r="AS726" t="s">
        <v>14349</v>
      </c>
      <c r="AT726" t="s">
        <v>6987</v>
      </c>
      <c r="AU726">
        <v>2019</v>
      </c>
      <c r="AV726">
        <v>33</v>
      </c>
      <c r="AW726">
        <v>5</v>
      </c>
      <c r="AX726" t="s">
        <v>74</v>
      </c>
      <c r="AY726" t="s">
        <v>74</v>
      </c>
      <c r="AZ726" t="s">
        <v>74</v>
      </c>
      <c r="BA726" t="s">
        <v>74</v>
      </c>
      <c r="BB726">
        <v>934</v>
      </c>
      <c r="BC726">
        <v>948</v>
      </c>
      <c r="BD726" t="s">
        <v>74</v>
      </c>
      <c r="BE726" t="s">
        <v>14350</v>
      </c>
      <c r="BF726" t="str">
        <f>HYPERLINK("http://dx.doi.org/10.1007/s13351-019-8099-9","http://dx.doi.org/10.1007/s13351-019-8099-9")</f>
        <v>http://dx.doi.org/10.1007/s13351-019-8099-9</v>
      </c>
      <c r="BG726" t="s">
        <v>74</v>
      </c>
      <c r="BH726" t="s">
        <v>74</v>
      </c>
      <c r="BI726">
        <v>15</v>
      </c>
      <c r="BJ726" t="s">
        <v>1024</v>
      </c>
      <c r="BK726" t="s">
        <v>294</v>
      </c>
      <c r="BL726" t="s">
        <v>1024</v>
      </c>
      <c r="BM726" t="s">
        <v>14351</v>
      </c>
      <c r="BN726" t="s">
        <v>74</v>
      </c>
      <c r="BO726" t="s">
        <v>559</v>
      </c>
      <c r="BP726" t="s">
        <v>74</v>
      </c>
      <c r="BQ726" t="s">
        <v>74</v>
      </c>
      <c r="BR726" t="s">
        <v>108</v>
      </c>
      <c r="BS726" t="s">
        <v>14352</v>
      </c>
      <c r="BT726" t="str">
        <f>HYPERLINK("https%3A%2F%2Fwww.webofscience.com%2Fwos%2Fwoscc%2Ffull-record%2FWOS:000494484300012","View Full Record in Web of Science")</f>
        <v>View Full Record in Web of Science</v>
      </c>
    </row>
    <row r="727" spans="1:72" x14ac:dyDescent="0.15">
      <c r="A727" t="s">
        <v>133</v>
      </c>
      <c r="B727" t="s">
        <v>14353</v>
      </c>
      <c r="C727" t="s">
        <v>74</v>
      </c>
      <c r="D727" t="s">
        <v>74</v>
      </c>
      <c r="E727" t="s">
        <v>74</v>
      </c>
      <c r="F727" t="s">
        <v>14354</v>
      </c>
      <c r="G727" t="s">
        <v>74</v>
      </c>
      <c r="H727" t="s">
        <v>74</v>
      </c>
      <c r="I727" t="s">
        <v>14355</v>
      </c>
      <c r="J727" t="s">
        <v>14356</v>
      </c>
      <c r="K727" t="s">
        <v>74</v>
      </c>
      <c r="L727" t="s">
        <v>74</v>
      </c>
      <c r="M727" t="s">
        <v>80</v>
      </c>
      <c r="N727" t="s">
        <v>138</v>
      </c>
      <c r="O727" t="s">
        <v>74</v>
      </c>
      <c r="P727" t="s">
        <v>74</v>
      </c>
      <c r="Q727" t="s">
        <v>74</v>
      </c>
      <c r="R727" t="s">
        <v>74</v>
      </c>
      <c r="S727" t="s">
        <v>74</v>
      </c>
      <c r="T727" t="s">
        <v>14357</v>
      </c>
      <c r="U727" t="s">
        <v>14358</v>
      </c>
      <c r="V727" t="s">
        <v>14359</v>
      </c>
      <c r="W727" t="s">
        <v>14360</v>
      </c>
      <c r="X727" t="s">
        <v>14361</v>
      </c>
      <c r="Y727" t="s">
        <v>14362</v>
      </c>
      <c r="Z727" t="s">
        <v>14363</v>
      </c>
      <c r="AA727" t="s">
        <v>14364</v>
      </c>
      <c r="AB727" t="s">
        <v>14365</v>
      </c>
      <c r="AC727" t="s">
        <v>14366</v>
      </c>
      <c r="AD727" t="s">
        <v>14367</v>
      </c>
      <c r="AE727" t="s">
        <v>14368</v>
      </c>
      <c r="AF727" t="s">
        <v>74</v>
      </c>
      <c r="AG727">
        <v>66</v>
      </c>
      <c r="AH727">
        <v>11</v>
      </c>
      <c r="AI727">
        <v>11</v>
      </c>
      <c r="AJ727">
        <v>0</v>
      </c>
      <c r="AK727">
        <v>8</v>
      </c>
      <c r="AL727" t="s">
        <v>14369</v>
      </c>
      <c r="AM727" t="s">
        <v>684</v>
      </c>
      <c r="AN727" t="s">
        <v>14370</v>
      </c>
      <c r="AO727" t="s">
        <v>14371</v>
      </c>
      <c r="AP727" t="s">
        <v>14372</v>
      </c>
      <c r="AQ727" t="s">
        <v>74</v>
      </c>
      <c r="AR727" t="s">
        <v>14373</v>
      </c>
      <c r="AS727" t="s">
        <v>14374</v>
      </c>
      <c r="AT727" t="s">
        <v>6987</v>
      </c>
      <c r="AU727">
        <v>2019</v>
      </c>
      <c r="AV727">
        <v>176</v>
      </c>
      <c r="AW727">
        <v>10</v>
      </c>
      <c r="AX727" t="s">
        <v>74</v>
      </c>
      <c r="AY727" t="s">
        <v>74</v>
      </c>
      <c r="AZ727" t="s">
        <v>74</v>
      </c>
      <c r="BA727" t="s">
        <v>74</v>
      </c>
      <c r="BB727">
        <v>4401</v>
      </c>
      <c r="BC727">
        <v>4414</v>
      </c>
      <c r="BD727" t="s">
        <v>74</v>
      </c>
      <c r="BE727" t="s">
        <v>14375</v>
      </c>
      <c r="BF727" t="str">
        <f>HYPERLINK("http://dx.doi.org/10.1007/s00024-019-02212-5","http://dx.doi.org/10.1007/s00024-019-02212-5")</f>
        <v>http://dx.doi.org/10.1007/s00024-019-02212-5</v>
      </c>
      <c r="BG727" t="s">
        <v>74</v>
      </c>
      <c r="BH727" t="s">
        <v>74</v>
      </c>
      <c r="BI727">
        <v>14</v>
      </c>
      <c r="BJ727" t="s">
        <v>1067</v>
      </c>
      <c r="BK727" t="s">
        <v>294</v>
      </c>
      <c r="BL727" t="s">
        <v>1067</v>
      </c>
      <c r="BM727" t="s">
        <v>14376</v>
      </c>
      <c r="BN727" t="s">
        <v>74</v>
      </c>
      <c r="BO727" t="s">
        <v>666</v>
      </c>
      <c r="BP727" t="s">
        <v>74</v>
      </c>
      <c r="BQ727" t="s">
        <v>74</v>
      </c>
      <c r="BR727" t="s">
        <v>108</v>
      </c>
      <c r="BS727" t="s">
        <v>14377</v>
      </c>
      <c r="BT727" t="str">
        <f>HYPERLINK("https%3A%2F%2Fwww.webofscience.com%2Fwos%2Fwoscc%2Ffull-record%2FWOS:000495461700019","View Full Record in Web of Science")</f>
        <v>View Full Record in Web of Science</v>
      </c>
    </row>
    <row r="728" spans="1:72" x14ac:dyDescent="0.15">
      <c r="A728" t="s">
        <v>133</v>
      </c>
      <c r="B728" t="s">
        <v>14378</v>
      </c>
      <c r="C728" t="s">
        <v>74</v>
      </c>
      <c r="D728" t="s">
        <v>74</v>
      </c>
      <c r="E728" t="s">
        <v>74</v>
      </c>
      <c r="F728" t="s">
        <v>14379</v>
      </c>
      <c r="G728" t="s">
        <v>74</v>
      </c>
      <c r="H728" t="s">
        <v>74</v>
      </c>
      <c r="I728" t="s">
        <v>14380</v>
      </c>
      <c r="J728" t="s">
        <v>11925</v>
      </c>
      <c r="K728" t="s">
        <v>74</v>
      </c>
      <c r="L728" t="s">
        <v>74</v>
      </c>
      <c r="M728" t="s">
        <v>80</v>
      </c>
      <c r="N728" t="s">
        <v>138</v>
      </c>
      <c r="O728" t="s">
        <v>74</v>
      </c>
      <c r="P728" t="s">
        <v>74</v>
      </c>
      <c r="Q728" t="s">
        <v>74</v>
      </c>
      <c r="R728" t="s">
        <v>74</v>
      </c>
      <c r="S728" t="s">
        <v>74</v>
      </c>
      <c r="T728" t="s">
        <v>14381</v>
      </c>
      <c r="U728" t="s">
        <v>14382</v>
      </c>
      <c r="V728" t="s">
        <v>14383</v>
      </c>
      <c r="W728" t="s">
        <v>14384</v>
      </c>
      <c r="X728" t="s">
        <v>14385</v>
      </c>
      <c r="Y728" t="s">
        <v>14386</v>
      </c>
      <c r="Z728" t="s">
        <v>14387</v>
      </c>
      <c r="AA728" t="s">
        <v>14388</v>
      </c>
      <c r="AB728" t="s">
        <v>14389</v>
      </c>
      <c r="AC728" t="s">
        <v>14390</v>
      </c>
      <c r="AD728" t="s">
        <v>3210</v>
      </c>
      <c r="AE728" t="s">
        <v>74</v>
      </c>
      <c r="AF728" t="s">
        <v>74</v>
      </c>
      <c r="AG728">
        <v>153</v>
      </c>
      <c r="AH728">
        <v>19</v>
      </c>
      <c r="AI728">
        <v>20</v>
      </c>
      <c r="AJ728">
        <v>1</v>
      </c>
      <c r="AK728">
        <v>31</v>
      </c>
      <c r="AL728" t="s">
        <v>429</v>
      </c>
      <c r="AM728" t="s">
        <v>430</v>
      </c>
      <c r="AN728" t="s">
        <v>431</v>
      </c>
      <c r="AO728" t="s">
        <v>11938</v>
      </c>
      <c r="AP728" t="s">
        <v>11939</v>
      </c>
      <c r="AQ728" t="s">
        <v>74</v>
      </c>
      <c r="AR728" t="s">
        <v>11940</v>
      </c>
      <c r="AS728" t="s">
        <v>11941</v>
      </c>
      <c r="AT728" t="s">
        <v>6987</v>
      </c>
      <c r="AU728">
        <v>2019</v>
      </c>
      <c r="AV728">
        <v>28</v>
      </c>
      <c r="AW728">
        <v>20</v>
      </c>
      <c r="AX728" t="s">
        <v>74</v>
      </c>
      <c r="AY728" t="s">
        <v>74</v>
      </c>
      <c r="AZ728" t="s">
        <v>74</v>
      </c>
      <c r="BA728" t="s">
        <v>74</v>
      </c>
      <c r="BB728">
        <v>4552</v>
      </c>
      <c r="BC728">
        <v>4572</v>
      </c>
      <c r="BD728" t="s">
        <v>74</v>
      </c>
      <c r="BE728" t="s">
        <v>14391</v>
      </c>
      <c r="BF728" t="str">
        <f>HYPERLINK("http://dx.doi.org/10.1111/mec.15248","http://dx.doi.org/10.1111/mec.15248")</f>
        <v>http://dx.doi.org/10.1111/mec.15248</v>
      </c>
      <c r="BG728" t="s">
        <v>74</v>
      </c>
      <c r="BH728" t="s">
        <v>74</v>
      </c>
      <c r="BI728">
        <v>21</v>
      </c>
      <c r="BJ728" t="s">
        <v>11943</v>
      </c>
      <c r="BK728" t="s">
        <v>294</v>
      </c>
      <c r="BL728" t="s">
        <v>11944</v>
      </c>
      <c r="BM728" t="s">
        <v>14392</v>
      </c>
      <c r="BN728">
        <v>31541577</v>
      </c>
      <c r="BO728" t="s">
        <v>74</v>
      </c>
      <c r="BP728" t="s">
        <v>74</v>
      </c>
      <c r="BQ728" t="s">
        <v>74</v>
      </c>
      <c r="BR728" t="s">
        <v>108</v>
      </c>
      <c r="BS728" t="s">
        <v>14393</v>
      </c>
      <c r="BT728" t="str">
        <f>HYPERLINK("https%3A%2F%2Fwww.webofscience.com%2Fwos%2Fwoscc%2Ffull-record%2FWOS:000493203200005","View Full Record in Web of Science")</f>
        <v>View Full Record in Web of Science</v>
      </c>
    </row>
    <row r="729" spans="1:72" x14ac:dyDescent="0.15">
      <c r="A729" t="s">
        <v>133</v>
      </c>
      <c r="B729" t="s">
        <v>14394</v>
      </c>
      <c r="C729" t="s">
        <v>74</v>
      </c>
      <c r="D729" t="s">
        <v>74</v>
      </c>
      <c r="E729" t="s">
        <v>74</v>
      </c>
      <c r="F729" t="s">
        <v>14395</v>
      </c>
      <c r="G729" t="s">
        <v>74</v>
      </c>
      <c r="H729" t="s">
        <v>74</v>
      </c>
      <c r="I729" t="s">
        <v>14396</v>
      </c>
      <c r="J729" t="s">
        <v>14397</v>
      </c>
      <c r="K729" t="s">
        <v>74</v>
      </c>
      <c r="L729" t="s">
        <v>74</v>
      </c>
      <c r="M729" t="s">
        <v>80</v>
      </c>
      <c r="N729" t="s">
        <v>138</v>
      </c>
      <c r="O729" t="s">
        <v>74</v>
      </c>
      <c r="P729" t="s">
        <v>74</v>
      </c>
      <c r="Q729" t="s">
        <v>74</v>
      </c>
      <c r="R729" t="s">
        <v>74</v>
      </c>
      <c r="S729" t="s">
        <v>74</v>
      </c>
      <c r="T729" t="s">
        <v>14398</v>
      </c>
      <c r="U729" t="s">
        <v>14399</v>
      </c>
      <c r="V729" t="s">
        <v>14400</v>
      </c>
      <c r="W729" t="s">
        <v>14401</v>
      </c>
      <c r="X729" t="s">
        <v>14402</v>
      </c>
      <c r="Y729" t="s">
        <v>10386</v>
      </c>
      <c r="Z729" t="s">
        <v>10387</v>
      </c>
      <c r="AA729" t="s">
        <v>14403</v>
      </c>
      <c r="AB729" t="s">
        <v>14404</v>
      </c>
      <c r="AC729" t="s">
        <v>14405</v>
      </c>
      <c r="AD729" t="s">
        <v>14406</v>
      </c>
      <c r="AE729" t="s">
        <v>14407</v>
      </c>
      <c r="AF729" t="s">
        <v>74</v>
      </c>
      <c r="AG729">
        <v>67</v>
      </c>
      <c r="AH729">
        <v>12</v>
      </c>
      <c r="AI729">
        <v>13</v>
      </c>
      <c r="AJ729">
        <v>0</v>
      </c>
      <c r="AK729">
        <v>10</v>
      </c>
      <c r="AL729" t="s">
        <v>284</v>
      </c>
      <c r="AM729" t="s">
        <v>285</v>
      </c>
      <c r="AN729" t="s">
        <v>286</v>
      </c>
      <c r="AO729" t="s">
        <v>14408</v>
      </c>
      <c r="AP729" t="s">
        <v>14409</v>
      </c>
      <c r="AQ729" t="s">
        <v>74</v>
      </c>
      <c r="AR729" t="s">
        <v>14410</v>
      </c>
      <c r="AS729" t="s">
        <v>14411</v>
      </c>
      <c r="AT729" t="s">
        <v>14412</v>
      </c>
      <c r="AU729">
        <v>2019</v>
      </c>
      <c r="AV729">
        <v>333</v>
      </c>
      <c r="AW729" t="s">
        <v>74</v>
      </c>
      <c r="AX729" t="s">
        <v>74</v>
      </c>
      <c r="AY729" t="s">
        <v>74</v>
      </c>
      <c r="AZ729" t="s">
        <v>74</v>
      </c>
      <c r="BA729" t="s">
        <v>74</v>
      </c>
      <c r="BB729" t="s">
        <v>74</v>
      </c>
      <c r="BC729" t="s">
        <v>74</v>
      </c>
      <c r="BD729">
        <v>105444</v>
      </c>
      <c r="BE729" t="s">
        <v>14413</v>
      </c>
      <c r="BF729" t="str">
        <f>HYPERLINK("http://dx.doi.org/10.1016/j.precamres.2019.105444","http://dx.doi.org/10.1016/j.precamres.2019.105444")</f>
        <v>http://dx.doi.org/10.1016/j.precamres.2019.105444</v>
      </c>
      <c r="BG729" t="s">
        <v>74</v>
      </c>
      <c r="BH729" t="s">
        <v>74</v>
      </c>
      <c r="BI729">
        <v>24</v>
      </c>
      <c r="BJ729" t="s">
        <v>849</v>
      </c>
      <c r="BK729" t="s">
        <v>294</v>
      </c>
      <c r="BL729" t="s">
        <v>850</v>
      </c>
      <c r="BM729" t="s">
        <v>14414</v>
      </c>
      <c r="BN729" t="s">
        <v>74</v>
      </c>
      <c r="BO729" t="s">
        <v>666</v>
      </c>
      <c r="BP729" t="s">
        <v>74</v>
      </c>
      <c r="BQ729" t="s">
        <v>74</v>
      </c>
      <c r="BR729" t="s">
        <v>108</v>
      </c>
      <c r="BS729" t="s">
        <v>14415</v>
      </c>
      <c r="BT729" t="str">
        <f>HYPERLINK("https%3A%2F%2Fwww.webofscience.com%2Fwos%2Fwoscc%2Ffull-record%2FWOS:000493218900014","View Full Record in Web of Science")</f>
        <v>View Full Record in Web of Science</v>
      </c>
    </row>
    <row r="730" spans="1:72" x14ac:dyDescent="0.15">
      <c r="A730" t="s">
        <v>133</v>
      </c>
      <c r="B730" t="s">
        <v>14416</v>
      </c>
      <c r="C730" t="s">
        <v>74</v>
      </c>
      <c r="D730" t="s">
        <v>74</v>
      </c>
      <c r="E730" t="s">
        <v>74</v>
      </c>
      <c r="F730" t="s">
        <v>14417</v>
      </c>
      <c r="G730" t="s">
        <v>74</v>
      </c>
      <c r="H730" t="s">
        <v>74</v>
      </c>
      <c r="I730" t="s">
        <v>14418</v>
      </c>
      <c r="J730" t="s">
        <v>14419</v>
      </c>
      <c r="K730" t="s">
        <v>74</v>
      </c>
      <c r="L730" t="s">
        <v>74</v>
      </c>
      <c r="M730" t="s">
        <v>80</v>
      </c>
      <c r="N730" t="s">
        <v>138</v>
      </c>
      <c r="O730" t="s">
        <v>74</v>
      </c>
      <c r="P730" t="s">
        <v>74</v>
      </c>
      <c r="Q730" t="s">
        <v>74</v>
      </c>
      <c r="R730" t="s">
        <v>74</v>
      </c>
      <c r="S730" t="s">
        <v>74</v>
      </c>
      <c r="T730" t="s">
        <v>14420</v>
      </c>
      <c r="U730" t="s">
        <v>14421</v>
      </c>
      <c r="V730" t="s">
        <v>14422</v>
      </c>
      <c r="W730" t="s">
        <v>14423</v>
      </c>
      <c r="X730" t="s">
        <v>14424</v>
      </c>
      <c r="Y730" t="s">
        <v>14425</v>
      </c>
      <c r="Z730" t="s">
        <v>14426</v>
      </c>
      <c r="AA730" t="s">
        <v>14427</v>
      </c>
      <c r="AB730" t="s">
        <v>14428</v>
      </c>
      <c r="AC730" t="s">
        <v>14429</v>
      </c>
      <c r="AD730" t="s">
        <v>14430</v>
      </c>
      <c r="AE730" t="s">
        <v>14431</v>
      </c>
      <c r="AF730" t="s">
        <v>74</v>
      </c>
      <c r="AG730">
        <v>71</v>
      </c>
      <c r="AH730">
        <v>5</v>
      </c>
      <c r="AI730">
        <v>8</v>
      </c>
      <c r="AJ730">
        <v>0</v>
      </c>
      <c r="AK730">
        <v>10</v>
      </c>
      <c r="AL730" t="s">
        <v>1964</v>
      </c>
      <c r="AM730" t="s">
        <v>4096</v>
      </c>
      <c r="AN730" t="s">
        <v>4097</v>
      </c>
      <c r="AO730" t="s">
        <v>14432</v>
      </c>
      <c r="AP730" t="s">
        <v>14433</v>
      </c>
      <c r="AQ730" t="s">
        <v>74</v>
      </c>
      <c r="AR730" t="s">
        <v>14419</v>
      </c>
      <c r="AS730" t="s">
        <v>14434</v>
      </c>
      <c r="AT730" t="s">
        <v>6987</v>
      </c>
      <c r="AU730">
        <v>2019</v>
      </c>
      <c r="AV730">
        <v>28</v>
      </c>
      <c r="AW730">
        <v>8</v>
      </c>
      <c r="AX730" t="s">
        <v>74</v>
      </c>
      <c r="AY730" t="s">
        <v>74</v>
      </c>
      <c r="AZ730" t="s">
        <v>74</v>
      </c>
      <c r="BA730" t="s">
        <v>74</v>
      </c>
      <c r="BB730">
        <v>1009</v>
      </c>
      <c r="BC730">
        <v>1021</v>
      </c>
      <c r="BD730" t="s">
        <v>74</v>
      </c>
      <c r="BE730" t="s">
        <v>14435</v>
      </c>
      <c r="BF730" t="str">
        <f>HYPERLINK("http://dx.doi.org/10.1007/s10646-019-02098-y","http://dx.doi.org/10.1007/s10646-019-02098-y")</f>
        <v>http://dx.doi.org/10.1007/s10646-019-02098-y</v>
      </c>
      <c r="BG730" t="s">
        <v>74</v>
      </c>
      <c r="BH730" t="s">
        <v>74</v>
      </c>
      <c r="BI730">
        <v>13</v>
      </c>
      <c r="BJ730" t="s">
        <v>14436</v>
      </c>
      <c r="BK730" t="s">
        <v>294</v>
      </c>
      <c r="BL730" t="s">
        <v>14437</v>
      </c>
      <c r="BM730" t="s">
        <v>14438</v>
      </c>
      <c r="BN730">
        <v>31471822</v>
      </c>
      <c r="BO730" t="s">
        <v>74</v>
      </c>
      <c r="BP730" t="s">
        <v>74</v>
      </c>
      <c r="BQ730" t="s">
        <v>74</v>
      </c>
      <c r="BR730" t="s">
        <v>108</v>
      </c>
      <c r="BS730" t="s">
        <v>14439</v>
      </c>
      <c r="BT730" t="str">
        <f>HYPERLINK("https%3A%2F%2Fwww.webofscience.com%2Fwos%2Fwoscc%2Ffull-record%2FWOS:000492415700015","View Full Record in Web of Science")</f>
        <v>View Full Record in Web of Science</v>
      </c>
    </row>
    <row r="731" spans="1:72" x14ac:dyDescent="0.15">
      <c r="A731" t="s">
        <v>133</v>
      </c>
      <c r="B731" t="s">
        <v>14440</v>
      </c>
      <c r="C731" t="s">
        <v>74</v>
      </c>
      <c r="D731" t="s">
        <v>74</v>
      </c>
      <c r="E731" t="s">
        <v>74</v>
      </c>
      <c r="F731" t="s">
        <v>14441</v>
      </c>
      <c r="G731" t="s">
        <v>74</v>
      </c>
      <c r="H731" t="s">
        <v>74</v>
      </c>
      <c r="I731" t="s">
        <v>14442</v>
      </c>
      <c r="J731" t="s">
        <v>2162</v>
      </c>
      <c r="K731" t="s">
        <v>74</v>
      </c>
      <c r="L731" t="s">
        <v>74</v>
      </c>
      <c r="M731" t="s">
        <v>80</v>
      </c>
      <c r="N731" t="s">
        <v>138</v>
      </c>
      <c r="O731" t="s">
        <v>74</v>
      </c>
      <c r="P731" t="s">
        <v>74</v>
      </c>
      <c r="Q731" t="s">
        <v>74</v>
      </c>
      <c r="R731" t="s">
        <v>74</v>
      </c>
      <c r="S731" t="s">
        <v>74</v>
      </c>
      <c r="T731" t="s">
        <v>74</v>
      </c>
      <c r="U731" t="s">
        <v>74</v>
      </c>
      <c r="V731" t="s">
        <v>74</v>
      </c>
      <c r="W731" t="s">
        <v>14443</v>
      </c>
      <c r="X731" t="s">
        <v>14444</v>
      </c>
      <c r="Y731" t="s">
        <v>14445</v>
      </c>
      <c r="Z731" t="s">
        <v>14446</v>
      </c>
      <c r="AA731" t="s">
        <v>14447</v>
      </c>
      <c r="AB731" t="s">
        <v>74</v>
      </c>
      <c r="AC731" t="s">
        <v>74</v>
      </c>
      <c r="AD731" t="s">
        <v>74</v>
      </c>
      <c r="AE731" t="s">
        <v>74</v>
      </c>
      <c r="AF731" t="s">
        <v>74</v>
      </c>
      <c r="AG731">
        <v>11</v>
      </c>
      <c r="AH731">
        <v>3</v>
      </c>
      <c r="AI731">
        <v>3</v>
      </c>
      <c r="AJ731">
        <v>0</v>
      </c>
      <c r="AK731">
        <v>1</v>
      </c>
      <c r="AL731" t="s">
        <v>429</v>
      </c>
      <c r="AM731" t="s">
        <v>430</v>
      </c>
      <c r="AN731" t="s">
        <v>431</v>
      </c>
      <c r="AO731" t="s">
        <v>2175</v>
      </c>
      <c r="AP731" t="s">
        <v>2176</v>
      </c>
      <c r="AQ731" t="s">
        <v>74</v>
      </c>
      <c r="AR731" t="s">
        <v>2177</v>
      </c>
      <c r="AS731" t="s">
        <v>2178</v>
      </c>
      <c r="AT731" t="s">
        <v>6987</v>
      </c>
      <c r="AU731">
        <v>2019</v>
      </c>
      <c r="AV731">
        <v>35</v>
      </c>
      <c r="AW731">
        <v>4</v>
      </c>
      <c r="AX731" t="s">
        <v>74</v>
      </c>
      <c r="AY731" t="s">
        <v>74</v>
      </c>
      <c r="AZ731" t="s">
        <v>74</v>
      </c>
      <c r="BA731" t="s">
        <v>74</v>
      </c>
      <c r="BB731">
        <v>1653</v>
      </c>
      <c r="BC731">
        <v>1658</v>
      </c>
      <c r="BD731" t="s">
        <v>74</v>
      </c>
      <c r="BE731" t="s">
        <v>14448</v>
      </c>
      <c r="BF731" t="str">
        <f>HYPERLINK("http://dx.doi.org/10.1111/mms.12608","http://dx.doi.org/10.1111/mms.12608")</f>
        <v>http://dx.doi.org/10.1111/mms.12608</v>
      </c>
      <c r="BG731" t="s">
        <v>74</v>
      </c>
      <c r="BH731" t="s">
        <v>74</v>
      </c>
      <c r="BI731">
        <v>6</v>
      </c>
      <c r="BJ731" t="s">
        <v>2180</v>
      </c>
      <c r="BK731" t="s">
        <v>294</v>
      </c>
      <c r="BL731" t="s">
        <v>2180</v>
      </c>
      <c r="BM731" t="s">
        <v>14449</v>
      </c>
      <c r="BN731" t="s">
        <v>74</v>
      </c>
      <c r="BO731" t="s">
        <v>74</v>
      </c>
      <c r="BP731" t="s">
        <v>74</v>
      </c>
      <c r="BQ731" t="s">
        <v>74</v>
      </c>
      <c r="BR731" t="s">
        <v>108</v>
      </c>
      <c r="BS731" t="s">
        <v>14450</v>
      </c>
      <c r="BT731" t="str">
        <f>HYPERLINK("https%3A%2F%2Fwww.webofscience.com%2Fwos%2Fwoscc%2Ffull-record%2FWOS:000492484700025","View Full Record in Web of Science")</f>
        <v>View Full Record in Web of Science</v>
      </c>
    </row>
    <row r="732" spans="1:72" x14ac:dyDescent="0.15">
      <c r="A732" t="s">
        <v>133</v>
      </c>
      <c r="B732" t="s">
        <v>14451</v>
      </c>
      <c r="C732" t="s">
        <v>74</v>
      </c>
      <c r="D732" t="s">
        <v>74</v>
      </c>
      <c r="E732" t="s">
        <v>74</v>
      </c>
      <c r="F732" t="s">
        <v>14452</v>
      </c>
      <c r="G732" t="s">
        <v>74</v>
      </c>
      <c r="H732" t="s">
        <v>74</v>
      </c>
      <c r="I732" t="s">
        <v>14453</v>
      </c>
      <c r="J732" t="s">
        <v>5664</v>
      </c>
      <c r="K732" t="s">
        <v>74</v>
      </c>
      <c r="L732" t="s">
        <v>74</v>
      </c>
      <c r="M732" t="s">
        <v>80</v>
      </c>
      <c r="N732" t="s">
        <v>138</v>
      </c>
      <c r="O732" t="s">
        <v>74</v>
      </c>
      <c r="P732" t="s">
        <v>74</v>
      </c>
      <c r="Q732" t="s">
        <v>74</v>
      </c>
      <c r="R732" t="s">
        <v>74</v>
      </c>
      <c r="S732" t="s">
        <v>74</v>
      </c>
      <c r="T732" t="s">
        <v>74</v>
      </c>
      <c r="U732" t="s">
        <v>74</v>
      </c>
      <c r="V732" t="s">
        <v>14454</v>
      </c>
      <c r="W732" t="s">
        <v>14455</v>
      </c>
      <c r="X732" t="s">
        <v>14456</v>
      </c>
      <c r="Y732" t="s">
        <v>14457</v>
      </c>
      <c r="Z732" t="s">
        <v>14458</v>
      </c>
      <c r="AA732" t="s">
        <v>14459</v>
      </c>
      <c r="AB732" t="s">
        <v>14460</v>
      </c>
      <c r="AC732" t="s">
        <v>14461</v>
      </c>
      <c r="AD732" t="s">
        <v>14462</v>
      </c>
      <c r="AE732" t="s">
        <v>14463</v>
      </c>
      <c r="AF732" t="s">
        <v>74</v>
      </c>
      <c r="AG732">
        <v>6</v>
      </c>
      <c r="AH732">
        <v>4</v>
      </c>
      <c r="AI732">
        <v>4</v>
      </c>
      <c r="AJ732">
        <v>0</v>
      </c>
      <c r="AK732">
        <v>5</v>
      </c>
      <c r="AL732" t="s">
        <v>1016</v>
      </c>
      <c r="AM732" t="s">
        <v>1017</v>
      </c>
      <c r="AN732" t="s">
        <v>4703</v>
      </c>
      <c r="AO732" t="s">
        <v>5676</v>
      </c>
      <c r="AP732" t="s">
        <v>5677</v>
      </c>
      <c r="AQ732" t="s">
        <v>74</v>
      </c>
      <c r="AR732" t="s">
        <v>5678</v>
      </c>
      <c r="AS732" t="s">
        <v>5679</v>
      </c>
      <c r="AT732" t="s">
        <v>6987</v>
      </c>
      <c r="AU732">
        <v>2019</v>
      </c>
      <c r="AV732">
        <v>100</v>
      </c>
      <c r="AW732">
        <v>10</v>
      </c>
      <c r="AX732" t="s">
        <v>74</v>
      </c>
      <c r="AY732" t="s">
        <v>74</v>
      </c>
      <c r="AZ732" t="s">
        <v>74</v>
      </c>
      <c r="BA732" t="s">
        <v>74</v>
      </c>
      <c r="BB732">
        <v>1891</v>
      </c>
      <c r="BC732">
        <v>1895</v>
      </c>
      <c r="BD732" t="s">
        <v>74</v>
      </c>
      <c r="BE732" t="s">
        <v>14464</v>
      </c>
      <c r="BF732" t="str">
        <f>HYPERLINK("http://dx.doi.org/10.1175/BAMS-D-19-0110.1","http://dx.doi.org/10.1175/BAMS-D-19-0110.1")</f>
        <v>http://dx.doi.org/10.1175/BAMS-D-19-0110.1</v>
      </c>
      <c r="BG732" t="s">
        <v>74</v>
      </c>
      <c r="BH732" t="s">
        <v>74</v>
      </c>
      <c r="BI732">
        <v>5</v>
      </c>
      <c r="BJ732" t="s">
        <v>1024</v>
      </c>
      <c r="BK732" t="s">
        <v>294</v>
      </c>
      <c r="BL732" t="s">
        <v>1024</v>
      </c>
      <c r="BM732" t="s">
        <v>14465</v>
      </c>
      <c r="BN732" t="s">
        <v>74</v>
      </c>
      <c r="BO732" t="s">
        <v>4828</v>
      </c>
      <c r="BP732" t="s">
        <v>74</v>
      </c>
      <c r="BQ732" t="s">
        <v>74</v>
      </c>
      <c r="BR732" t="s">
        <v>108</v>
      </c>
      <c r="BS732" t="s">
        <v>14466</v>
      </c>
      <c r="BT732" t="str">
        <f>HYPERLINK("https%3A%2F%2Fwww.webofscience.com%2Fwos%2Fwoscc%2Ffull-record%2FWOS:000492386000004","View Full Record in Web of Science")</f>
        <v>View Full Record in Web of Science</v>
      </c>
    </row>
    <row r="733" spans="1:72" x14ac:dyDescent="0.15">
      <c r="A733" t="s">
        <v>133</v>
      </c>
      <c r="B733" t="s">
        <v>14467</v>
      </c>
      <c r="C733" t="s">
        <v>74</v>
      </c>
      <c r="D733" t="s">
        <v>74</v>
      </c>
      <c r="E733" t="s">
        <v>74</v>
      </c>
      <c r="F733" t="s">
        <v>14468</v>
      </c>
      <c r="G733" t="s">
        <v>74</v>
      </c>
      <c r="H733" t="s">
        <v>74</v>
      </c>
      <c r="I733" t="s">
        <v>14469</v>
      </c>
      <c r="J733" t="s">
        <v>14470</v>
      </c>
      <c r="K733" t="s">
        <v>74</v>
      </c>
      <c r="L733" t="s">
        <v>74</v>
      </c>
      <c r="M733" t="s">
        <v>80</v>
      </c>
      <c r="N733" t="s">
        <v>138</v>
      </c>
      <c r="O733" t="s">
        <v>74</v>
      </c>
      <c r="P733" t="s">
        <v>74</v>
      </c>
      <c r="Q733" t="s">
        <v>74</v>
      </c>
      <c r="R733" t="s">
        <v>74</v>
      </c>
      <c r="S733" t="s">
        <v>74</v>
      </c>
      <c r="T733" t="s">
        <v>74</v>
      </c>
      <c r="U733" t="s">
        <v>14471</v>
      </c>
      <c r="V733" t="s">
        <v>14472</v>
      </c>
      <c r="W733" t="s">
        <v>14473</v>
      </c>
      <c r="X733" t="s">
        <v>14474</v>
      </c>
      <c r="Y733" t="s">
        <v>14475</v>
      </c>
      <c r="Z733" t="s">
        <v>14476</v>
      </c>
      <c r="AA733" t="s">
        <v>14477</v>
      </c>
      <c r="AB733" t="s">
        <v>14478</v>
      </c>
      <c r="AC733" t="s">
        <v>14479</v>
      </c>
      <c r="AD733" t="s">
        <v>14480</v>
      </c>
      <c r="AE733" t="s">
        <v>14481</v>
      </c>
      <c r="AF733" t="s">
        <v>74</v>
      </c>
      <c r="AG733">
        <v>60</v>
      </c>
      <c r="AH733">
        <v>5</v>
      </c>
      <c r="AI733">
        <v>6</v>
      </c>
      <c r="AJ733">
        <v>0</v>
      </c>
      <c r="AK733">
        <v>4</v>
      </c>
      <c r="AL733" t="s">
        <v>14482</v>
      </c>
      <c r="AM733" t="s">
        <v>14483</v>
      </c>
      <c r="AN733" t="s">
        <v>14484</v>
      </c>
      <c r="AO733" t="s">
        <v>14485</v>
      </c>
      <c r="AP733" t="s">
        <v>74</v>
      </c>
      <c r="AQ733" t="s">
        <v>74</v>
      </c>
      <c r="AR733" t="s">
        <v>14486</v>
      </c>
      <c r="AS733" t="s">
        <v>14487</v>
      </c>
      <c r="AT733" t="s">
        <v>6987</v>
      </c>
      <c r="AU733">
        <v>2019</v>
      </c>
      <c r="AV733">
        <v>49</v>
      </c>
      <c r="AW733">
        <v>4</v>
      </c>
      <c r="AX733" t="s">
        <v>74</v>
      </c>
      <c r="AY733" t="s">
        <v>74</v>
      </c>
      <c r="AZ733" t="s">
        <v>74</v>
      </c>
      <c r="BA733" t="s">
        <v>74</v>
      </c>
      <c r="BB733">
        <v>405</v>
      </c>
      <c r="BC733">
        <v>422</v>
      </c>
      <c r="BD733" t="s">
        <v>74</v>
      </c>
      <c r="BE733" t="s">
        <v>14488</v>
      </c>
      <c r="BF733" t="str">
        <f>HYPERLINK("http://dx.doi.org/10.2113/gsjfr.49.4.405","http://dx.doi.org/10.2113/gsjfr.49.4.405")</f>
        <v>http://dx.doi.org/10.2113/gsjfr.49.4.405</v>
      </c>
      <c r="BG733" t="s">
        <v>74</v>
      </c>
      <c r="BH733" t="s">
        <v>74</v>
      </c>
      <c r="BI733">
        <v>18</v>
      </c>
      <c r="BJ733" t="s">
        <v>3501</v>
      </c>
      <c r="BK733" t="s">
        <v>294</v>
      </c>
      <c r="BL733" t="s">
        <v>3501</v>
      </c>
      <c r="BM733" t="s">
        <v>14489</v>
      </c>
      <c r="BN733" t="s">
        <v>74</v>
      </c>
      <c r="BO733" t="s">
        <v>74</v>
      </c>
      <c r="BP733" t="s">
        <v>74</v>
      </c>
      <c r="BQ733" t="s">
        <v>74</v>
      </c>
      <c r="BR733" t="s">
        <v>108</v>
      </c>
      <c r="BS733" t="s">
        <v>14490</v>
      </c>
      <c r="BT733" t="str">
        <f>HYPERLINK("https%3A%2F%2Fwww.webofscience.com%2Fwos%2Fwoscc%2Ffull-record%2FWOS:000492676900004","View Full Record in Web of Science")</f>
        <v>View Full Record in Web of Science</v>
      </c>
    </row>
    <row r="734" spans="1:72" x14ac:dyDescent="0.15">
      <c r="A734" t="s">
        <v>133</v>
      </c>
      <c r="B734" t="s">
        <v>14491</v>
      </c>
      <c r="C734" t="s">
        <v>74</v>
      </c>
      <c r="D734" t="s">
        <v>74</v>
      </c>
      <c r="E734" t="s">
        <v>74</v>
      </c>
      <c r="F734" t="s">
        <v>14492</v>
      </c>
      <c r="G734" t="s">
        <v>74</v>
      </c>
      <c r="H734" t="s">
        <v>74</v>
      </c>
      <c r="I734" t="s">
        <v>14493</v>
      </c>
      <c r="J734" t="s">
        <v>14494</v>
      </c>
      <c r="K734" t="s">
        <v>74</v>
      </c>
      <c r="L734" t="s">
        <v>74</v>
      </c>
      <c r="M734" t="s">
        <v>80</v>
      </c>
      <c r="N734" t="s">
        <v>138</v>
      </c>
      <c r="O734" t="s">
        <v>74</v>
      </c>
      <c r="P734" t="s">
        <v>74</v>
      </c>
      <c r="Q734" t="s">
        <v>74</v>
      </c>
      <c r="R734" t="s">
        <v>74</v>
      </c>
      <c r="S734" t="s">
        <v>74</v>
      </c>
      <c r="T734" t="s">
        <v>74</v>
      </c>
      <c r="U734" t="s">
        <v>14495</v>
      </c>
      <c r="V734" t="s">
        <v>14496</v>
      </c>
      <c r="W734" t="s">
        <v>14497</v>
      </c>
      <c r="X734" t="s">
        <v>14498</v>
      </c>
      <c r="Y734" t="s">
        <v>14499</v>
      </c>
      <c r="Z734" t="s">
        <v>14500</v>
      </c>
      <c r="AA734" t="s">
        <v>14501</v>
      </c>
      <c r="AB734" t="s">
        <v>14502</v>
      </c>
      <c r="AC734" t="s">
        <v>14503</v>
      </c>
      <c r="AD734" t="s">
        <v>14504</v>
      </c>
      <c r="AE734" t="s">
        <v>14505</v>
      </c>
      <c r="AF734" t="s">
        <v>74</v>
      </c>
      <c r="AG734">
        <v>13</v>
      </c>
      <c r="AH734">
        <v>1</v>
      </c>
      <c r="AI734">
        <v>1</v>
      </c>
      <c r="AJ734">
        <v>1</v>
      </c>
      <c r="AK734">
        <v>4</v>
      </c>
      <c r="AL734" t="s">
        <v>14506</v>
      </c>
      <c r="AM734" t="s">
        <v>1265</v>
      </c>
      <c r="AN734" t="s">
        <v>14507</v>
      </c>
      <c r="AO734" t="s">
        <v>14508</v>
      </c>
      <c r="AP734" t="s">
        <v>74</v>
      </c>
      <c r="AQ734" t="s">
        <v>74</v>
      </c>
      <c r="AR734" t="s">
        <v>14509</v>
      </c>
      <c r="AS734" t="s">
        <v>14510</v>
      </c>
      <c r="AT734" t="s">
        <v>6987</v>
      </c>
      <c r="AU734">
        <v>2019</v>
      </c>
      <c r="AV734">
        <v>8</v>
      </c>
      <c r="AW734">
        <v>42</v>
      </c>
      <c r="AX734" t="s">
        <v>74</v>
      </c>
      <c r="AY734" t="s">
        <v>74</v>
      </c>
      <c r="AZ734" t="s">
        <v>74</v>
      </c>
      <c r="BA734" t="s">
        <v>74</v>
      </c>
      <c r="BB734" t="s">
        <v>74</v>
      </c>
      <c r="BC734" t="s">
        <v>74</v>
      </c>
      <c r="BD734" t="s">
        <v>14511</v>
      </c>
      <c r="BE734" t="s">
        <v>14512</v>
      </c>
      <c r="BF734" t="str">
        <f>HYPERLINK("http://dx.doi.org/10.1128/MRA.00920-19","http://dx.doi.org/10.1128/MRA.00920-19")</f>
        <v>http://dx.doi.org/10.1128/MRA.00920-19</v>
      </c>
      <c r="BG734" t="s">
        <v>74</v>
      </c>
      <c r="BH734" t="s">
        <v>74</v>
      </c>
      <c r="BI734">
        <v>2</v>
      </c>
      <c r="BJ734" t="s">
        <v>1713</v>
      </c>
      <c r="BK734" t="s">
        <v>160</v>
      </c>
      <c r="BL734" t="s">
        <v>1713</v>
      </c>
      <c r="BM734" t="s">
        <v>14513</v>
      </c>
      <c r="BN734">
        <v>31624166</v>
      </c>
      <c r="BO734" t="s">
        <v>2934</v>
      </c>
      <c r="BP734" t="s">
        <v>74</v>
      </c>
      <c r="BQ734" t="s">
        <v>74</v>
      </c>
      <c r="BR734" t="s">
        <v>108</v>
      </c>
      <c r="BS734" t="s">
        <v>14514</v>
      </c>
      <c r="BT734" t="str">
        <f>HYPERLINK("https%3A%2F%2Fwww.webofscience.com%2Fwos%2Fwoscc%2Ffull-record%2FWOS:000490937700019","View Full Record in Web of Science")</f>
        <v>View Full Record in Web of Science</v>
      </c>
    </row>
    <row r="735" spans="1:72" x14ac:dyDescent="0.15">
      <c r="A735" t="s">
        <v>133</v>
      </c>
      <c r="B735" t="s">
        <v>14515</v>
      </c>
      <c r="C735" t="s">
        <v>74</v>
      </c>
      <c r="D735" t="s">
        <v>74</v>
      </c>
      <c r="E735" t="s">
        <v>74</v>
      </c>
      <c r="F735" t="s">
        <v>14516</v>
      </c>
      <c r="G735" t="s">
        <v>74</v>
      </c>
      <c r="H735" t="s">
        <v>74</v>
      </c>
      <c r="I735" t="s">
        <v>14517</v>
      </c>
      <c r="J735" t="s">
        <v>14518</v>
      </c>
      <c r="K735" t="s">
        <v>74</v>
      </c>
      <c r="L735" t="s">
        <v>74</v>
      </c>
      <c r="M735" t="s">
        <v>80</v>
      </c>
      <c r="N735" t="s">
        <v>138</v>
      </c>
      <c r="O735" t="s">
        <v>74</v>
      </c>
      <c r="P735" t="s">
        <v>74</v>
      </c>
      <c r="Q735" t="s">
        <v>74</v>
      </c>
      <c r="R735" t="s">
        <v>74</v>
      </c>
      <c r="S735" t="s">
        <v>74</v>
      </c>
      <c r="T735" t="s">
        <v>74</v>
      </c>
      <c r="U735" t="s">
        <v>14519</v>
      </c>
      <c r="V735" t="s">
        <v>74</v>
      </c>
      <c r="W735" t="s">
        <v>14520</v>
      </c>
      <c r="X735" t="s">
        <v>14521</v>
      </c>
      <c r="Y735" t="s">
        <v>14522</v>
      </c>
      <c r="Z735" t="s">
        <v>74</v>
      </c>
      <c r="AA735" t="s">
        <v>74</v>
      </c>
      <c r="AB735" t="s">
        <v>74</v>
      </c>
      <c r="AC735" t="s">
        <v>14523</v>
      </c>
      <c r="AD735" t="s">
        <v>14524</v>
      </c>
      <c r="AE735" t="s">
        <v>14525</v>
      </c>
      <c r="AF735" t="s">
        <v>74</v>
      </c>
      <c r="AG735">
        <v>7</v>
      </c>
      <c r="AH735">
        <v>1</v>
      </c>
      <c r="AI735">
        <v>1</v>
      </c>
      <c r="AJ735">
        <v>0</v>
      </c>
      <c r="AK735">
        <v>1</v>
      </c>
      <c r="AL735" t="s">
        <v>578</v>
      </c>
      <c r="AM735" t="s">
        <v>380</v>
      </c>
      <c r="AN735" t="s">
        <v>579</v>
      </c>
      <c r="AO735" t="s">
        <v>14526</v>
      </c>
      <c r="AP735" t="s">
        <v>14527</v>
      </c>
      <c r="AQ735" t="s">
        <v>74</v>
      </c>
      <c r="AR735" t="s">
        <v>14528</v>
      </c>
      <c r="AS735" t="s">
        <v>14529</v>
      </c>
      <c r="AT735" t="s">
        <v>6987</v>
      </c>
      <c r="AU735">
        <v>2019</v>
      </c>
      <c r="AV735">
        <v>60</v>
      </c>
      <c r="AW735">
        <v>5</v>
      </c>
      <c r="AX735" t="s">
        <v>74</v>
      </c>
      <c r="AY735" t="s">
        <v>74</v>
      </c>
      <c r="AZ735" t="s">
        <v>74</v>
      </c>
      <c r="BA735" t="s">
        <v>74</v>
      </c>
      <c r="BB735">
        <v>22</v>
      </c>
      <c r="BC735">
        <v>25</v>
      </c>
      <c r="BD735" t="s">
        <v>74</v>
      </c>
      <c r="BE735" t="s">
        <v>74</v>
      </c>
      <c r="BF735" t="s">
        <v>74</v>
      </c>
      <c r="BG735" t="s">
        <v>74</v>
      </c>
      <c r="BH735" t="s">
        <v>74</v>
      </c>
      <c r="BI735">
        <v>4</v>
      </c>
      <c r="BJ735" t="s">
        <v>14530</v>
      </c>
      <c r="BK735" t="s">
        <v>294</v>
      </c>
      <c r="BL735" t="s">
        <v>14530</v>
      </c>
      <c r="BM735" t="s">
        <v>14531</v>
      </c>
      <c r="BN735" t="s">
        <v>74</v>
      </c>
      <c r="BO735" t="s">
        <v>74</v>
      </c>
      <c r="BP735" t="s">
        <v>74</v>
      </c>
      <c r="BQ735" t="s">
        <v>74</v>
      </c>
      <c r="BR735" t="s">
        <v>108</v>
      </c>
      <c r="BS735" t="s">
        <v>14532</v>
      </c>
      <c r="BT735" t="str">
        <f>HYPERLINK("https%3A%2F%2Fwww.webofscience.com%2Fwos%2Fwoscc%2Ffull-record%2FWOS:000491238500037","View Full Record in Web of Science")</f>
        <v>View Full Record in Web of Science</v>
      </c>
    </row>
    <row r="736" spans="1:72" x14ac:dyDescent="0.15">
      <c r="A736" t="s">
        <v>133</v>
      </c>
      <c r="B736" t="s">
        <v>14533</v>
      </c>
      <c r="C736" t="s">
        <v>74</v>
      </c>
      <c r="D736" t="s">
        <v>74</v>
      </c>
      <c r="E736" t="s">
        <v>74</v>
      </c>
      <c r="F736" t="s">
        <v>14534</v>
      </c>
      <c r="G736" t="s">
        <v>74</v>
      </c>
      <c r="H736" t="s">
        <v>74</v>
      </c>
      <c r="I736" t="s">
        <v>14535</v>
      </c>
      <c r="J736" t="s">
        <v>1693</v>
      </c>
      <c r="K736" t="s">
        <v>74</v>
      </c>
      <c r="L736" t="s">
        <v>74</v>
      </c>
      <c r="M736" t="s">
        <v>80</v>
      </c>
      <c r="N736" t="s">
        <v>138</v>
      </c>
      <c r="O736" t="s">
        <v>74</v>
      </c>
      <c r="P736" t="s">
        <v>74</v>
      </c>
      <c r="Q736" t="s">
        <v>74</v>
      </c>
      <c r="R736" t="s">
        <v>74</v>
      </c>
      <c r="S736" t="s">
        <v>74</v>
      </c>
      <c r="T736" t="s">
        <v>14536</v>
      </c>
      <c r="U736" t="s">
        <v>14537</v>
      </c>
      <c r="V736" t="s">
        <v>14538</v>
      </c>
      <c r="W736" t="s">
        <v>14539</v>
      </c>
      <c r="X736" t="s">
        <v>14540</v>
      </c>
      <c r="Y736" t="s">
        <v>14541</v>
      </c>
      <c r="Z736" t="s">
        <v>14542</v>
      </c>
      <c r="AA736" t="s">
        <v>14543</v>
      </c>
      <c r="AB736" t="s">
        <v>14544</v>
      </c>
      <c r="AC736" t="s">
        <v>14545</v>
      </c>
      <c r="AD736" t="s">
        <v>14546</v>
      </c>
      <c r="AE736" t="s">
        <v>14547</v>
      </c>
      <c r="AF736" t="s">
        <v>74</v>
      </c>
      <c r="AG736">
        <v>59</v>
      </c>
      <c r="AH736">
        <v>16</v>
      </c>
      <c r="AI736">
        <v>16</v>
      </c>
      <c r="AJ736">
        <v>5</v>
      </c>
      <c r="AK736">
        <v>52</v>
      </c>
      <c r="AL736" t="s">
        <v>1705</v>
      </c>
      <c r="AM736" t="s">
        <v>1706</v>
      </c>
      <c r="AN736" t="s">
        <v>1707</v>
      </c>
      <c r="AO736" t="s">
        <v>1708</v>
      </c>
      <c r="AP736" t="s">
        <v>1709</v>
      </c>
      <c r="AQ736" t="s">
        <v>74</v>
      </c>
      <c r="AR736" t="s">
        <v>1710</v>
      </c>
      <c r="AS736" t="s">
        <v>1711</v>
      </c>
      <c r="AT736" t="s">
        <v>6987</v>
      </c>
      <c r="AU736">
        <v>2019</v>
      </c>
      <c r="AV736">
        <v>57</v>
      </c>
      <c r="AW736">
        <v>10</v>
      </c>
      <c r="AX736" t="s">
        <v>74</v>
      </c>
      <c r="AY736" t="s">
        <v>74</v>
      </c>
      <c r="AZ736" t="s">
        <v>74</v>
      </c>
      <c r="BA736" t="s">
        <v>74</v>
      </c>
      <c r="BB736">
        <v>865</v>
      </c>
      <c r="BC736">
        <v>873</v>
      </c>
      <c r="BD736" t="s">
        <v>74</v>
      </c>
      <c r="BE736" t="s">
        <v>14548</v>
      </c>
      <c r="BF736" t="str">
        <f>HYPERLINK("http://dx.doi.org/10.1007/s12275-019-9217-1","http://dx.doi.org/10.1007/s12275-019-9217-1")</f>
        <v>http://dx.doi.org/10.1007/s12275-019-9217-1</v>
      </c>
      <c r="BG736" t="s">
        <v>74</v>
      </c>
      <c r="BH736" t="s">
        <v>74</v>
      </c>
      <c r="BI736">
        <v>9</v>
      </c>
      <c r="BJ736" t="s">
        <v>1713</v>
      </c>
      <c r="BK736" t="s">
        <v>294</v>
      </c>
      <c r="BL736" t="s">
        <v>1713</v>
      </c>
      <c r="BM736" t="s">
        <v>14549</v>
      </c>
      <c r="BN736">
        <v>31571125</v>
      </c>
      <c r="BO736" t="s">
        <v>74</v>
      </c>
      <c r="BP736" t="s">
        <v>74</v>
      </c>
      <c r="BQ736" t="s">
        <v>74</v>
      </c>
      <c r="BR736" t="s">
        <v>108</v>
      </c>
      <c r="BS736" t="s">
        <v>14550</v>
      </c>
      <c r="BT736" t="str">
        <f>HYPERLINK("https%3A%2F%2Fwww.webofscience.com%2Fwos%2Fwoscc%2Ffull-record%2FWOS:000491073300005","View Full Record in Web of Science")</f>
        <v>View Full Record in Web of Science</v>
      </c>
    </row>
    <row r="737" spans="1:72" x14ac:dyDescent="0.15">
      <c r="A737" t="s">
        <v>133</v>
      </c>
      <c r="B737" t="s">
        <v>14551</v>
      </c>
      <c r="C737" t="s">
        <v>74</v>
      </c>
      <c r="D737" t="s">
        <v>74</v>
      </c>
      <c r="E737" t="s">
        <v>74</v>
      </c>
      <c r="F737" t="s">
        <v>14552</v>
      </c>
      <c r="G737" t="s">
        <v>74</v>
      </c>
      <c r="H737" t="s">
        <v>74</v>
      </c>
      <c r="I737" t="s">
        <v>14553</v>
      </c>
      <c r="J737" t="s">
        <v>14494</v>
      </c>
      <c r="K737" t="s">
        <v>74</v>
      </c>
      <c r="L737" t="s">
        <v>74</v>
      </c>
      <c r="M737" t="s">
        <v>80</v>
      </c>
      <c r="N737" t="s">
        <v>138</v>
      </c>
      <c r="O737" t="s">
        <v>74</v>
      </c>
      <c r="P737" t="s">
        <v>74</v>
      </c>
      <c r="Q737" t="s">
        <v>74</v>
      </c>
      <c r="R737" t="s">
        <v>74</v>
      </c>
      <c r="S737" t="s">
        <v>74</v>
      </c>
      <c r="T737" t="s">
        <v>74</v>
      </c>
      <c r="U737" t="s">
        <v>14554</v>
      </c>
      <c r="V737" t="s">
        <v>14555</v>
      </c>
      <c r="W737" t="s">
        <v>14556</v>
      </c>
      <c r="X737" t="s">
        <v>14557</v>
      </c>
      <c r="Y737" t="s">
        <v>14558</v>
      </c>
      <c r="Z737" t="s">
        <v>14559</v>
      </c>
      <c r="AA737" t="s">
        <v>14560</v>
      </c>
      <c r="AB737" t="s">
        <v>14561</v>
      </c>
      <c r="AC737" t="s">
        <v>14562</v>
      </c>
      <c r="AD737" t="s">
        <v>14563</v>
      </c>
      <c r="AE737" t="s">
        <v>14564</v>
      </c>
      <c r="AF737" t="s">
        <v>74</v>
      </c>
      <c r="AG737">
        <v>11</v>
      </c>
      <c r="AH737">
        <v>12</v>
      </c>
      <c r="AI737">
        <v>12</v>
      </c>
      <c r="AJ737">
        <v>0</v>
      </c>
      <c r="AK737">
        <v>0</v>
      </c>
      <c r="AL737" t="s">
        <v>14506</v>
      </c>
      <c r="AM737" t="s">
        <v>1265</v>
      </c>
      <c r="AN737" t="s">
        <v>14507</v>
      </c>
      <c r="AO737" t="s">
        <v>14508</v>
      </c>
      <c r="AP737" t="s">
        <v>74</v>
      </c>
      <c r="AQ737" t="s">
        <v>74</v>
      </c>
      <c r="AR737" t="s">
        <v>14509</v>
      </c>
      <c r="AS737" t="s">
        <v>14510</v>
      </c>
      <c r="AT737" t="s">
        <v>6987</v>
      </c>
      <c r="AU737">
        <v>2019</v>
      </c>
      <c r="AV737">
        <v>8</v>
      </c>
      <c r="AW737">
        <v>41</v>
      </c>
      <c r="AX737" t="s">
        <v>74</v>
      </c>
      <c r="AY737" t="s">
        <v>74</v>
      </c>
      <c r="AZ737" t="s">
        <v>74</v>
      </c>
      <c r="BA737" t="s">
        <v>74</v>
      </c>
      <c r="BB737" t="s">
        <v>74</v>
      </c>
      <c r="BC737" t="s">
        <v>74</v>
      </c>
      <c r="BD737" t="s">
        <v>14565</v>
      </c>
      <c r="BE737" t="s">
        <v>14566</v>
      </c>
      <c r="BF737" t="str">
        <f>HYPERLINK("http://dx.doi.org/10.1128/MRA.00867-19","http://dx.doi.org/10.1128/MRA.00867-19")</f>
        <v>http://dx.doi.org/10.1128/MRA.00867-19</v>
      </c>
      <c r="BG737" t="s">
        <v>74</v>
      </c>
      <c r="BH737" t="s">
        <v>74</v>
      </c>
      <c r="BI737">
        <v>2</v>
      </c>
      <c r="BJ737" t="s">
        <v>1713</v>
      </c>
      <c r="BK737" t="s">
        <v>160</v>
      </c>
      <c r="BL737" t="s">
        <v>1713</v>
      </c>
      <c r="BM737" t="s">
        <v>14567</v>
      </c>
      <c r="BN737">
        <v>31601665</v>
      </c>
      <c r="BO737" t="s">
        <v>693</v>
      </c>
      <c r="BP737" t="s">
        <v>74</v>
      </c>
      <c r="BQ737" t="s">
        <v>74</v>
      </c>
      <c r="BR737" t="s">
        <v>108</v>
      </c>
      <c r="BS737" t="s">
        <v>14568</v>
      </c>
      <c r="BT737" t="str">
        <f>HYPERLINK("https%3A%2F%2Fwww.webofscience.com%2Fwos%2Fwoscc%2Ffull-record%2FWOS:000490936400020","View Full Record in Web of Science")</f>
        <v>View Full Record in Web of Science</v>
      </c>
    </row>
    <row r="738" spans="1:72" x14ac:dyDescent="0.15">
      <c r="A738" t="s">
        <v>133</v>
      </c>
      <c r="B738" t="s">
        <v>14569</v>
      </c>
      <c r="C738" t="s">
        <v>74</v>
      </c>
      <c r="D738" t="s">
        <v>74</v>
      </c>
      <c r="E738" t="s">
        <v>74</v>
      </c>
      <c r="F738" t="s">
        <v>14570</v>
      </c>
      <c r="G738" t="s">
        <v>74</v>
      </c>
      <c r="H738" t="s">
        <v>74</v>
      </c>
      <c r="I738" t="s">
        <v>14571</v>
      </c>
      <c r="J738" t="s">
        <v>14572</v>
      </c>
      <c r="K738" t="s">
        <v>74</v>
      </c>
      <c r="L738" t="s">
        <v>74</v>
      </c>
      <c r="M738" t="s">
        <v>80</v>
      </c>
      <c r="N738" t="s">
        <v>138</v>
      </c>
      <c r="O738" t="s">
        <v>74</v>
      </c>
      <c r="P738" t="s">
        <v>74</v>
      </c>
      <c r="Q738" t="s">
        <v>74</v>
      </c>
      <c r="R738" t="s">
        <v>74</v>
      </c>
      <c r="S738" t="s">
        <v>74</v>
      </c>
      <c r="T738" t="s">
        <v>14573</v>
      </c>
      <c r="U738" t="s">
        <v>14574</v>
      </c>
      <c r="V738" t="s">
        <v>14575</v>
      </c>
      <c r="W738" t="s">
        <v>14576</v>
      </c>
      <c r="X738" t="s">
        <v>14577</v>
      </c>
      <c r="Y738" t="s">
        <v>14578</v>
      </c>
      <c r="Z738" t="s">
        <v>14579</v>
      </c>
      <c r="AA738" t="s">
        <v>14580</v>
      </c>
      <c r="AB738" t="s">
        <v>14581</v>
      </c>
      <c r="AC738" t="s">
        <v>14582</v>
      </c>
      <c r="AD738" t="s">
        <v>14583</v>
      </c>
      <c r="AE738" t="s">
        <v>14584</v>
      </c>
      <c r="AF738" t="s">
        <v>74</v>
      </c>
      <c r="AG738">
        <v>50</v>
      </c>
      <c r="AH738">
        <v>2</v>
      </c>
      <c r="AI738">
        <v>2</v>
      </c>
      <c r="AJ738">
        <v>2</v>
      </c>
      <c r="AK738">
        <v>14</v>
      </c>
      <c r="AL738" t="s">
        <v>1964</v>
      </c>
      <c r="AM738" t="s">
        <v>1965</v>
      </c>
      <c r="AN738" t="s">
        <v>3452</v>
      </c>
      <c r="AO738" t="s">
        <v>14585</v>
      </c>
      <c r="AP738" t="s">
        <v>14586</v>
      </c>
      <c r="AQ738" t="s">
        <v>74</v>
      </c>
      <c r="AR738" t="s">
        <v>14587</v>
      </c>
      <c r="AS738" t="s">
        <v>14588</v>
      </c>
      <c r="AT738" t="s">
        <v>6987</v>
      </c>
      <c r="AU738">
        <v>2019</v>
      </c>
      <c r="AV738">
        <v>38</v>
      </c>
      <c r="AW738">
        <v>10</v>
      </c>
      <c r="AX738" t="s">
        <v>74</v>
      </c>
      <c r="AY738" t="s">
        <v>74</v>
      </c>
      <c r="AZ738" t="s">
        <v>74</v>
      </c>
      <c r="BA738" t="s">
        <v>74</v>
      </c>
      <c r="BB738">
        <v>75</v>
      </c>
      <c r="BC738">
        <v>83</v>
      </c>
      <c r="BD738" t="s">
        <v>74</v>
      </c>
      <c r="BE738" t="s">
        <v>14589</v>
      </c>
      <c r="BF738" t="str">
        <f>HYPERLINK("http://dx.doi.org/10.1007/s13131-019-1392-8","http://dx.doi.org/10.1007/s13131-019-1392-8")</f>
        <v>http://dx.doi.org/10.1007/s13131-019-1392-8</v>
      </c>
      <c r="BG738" t="s">
        <v>74</v>
      </c>
      <c r="BH738" t="s">
        <v>74</v>
      </c>
      <c r="BI738">
        <v>9</v>
      </c>
      <c r="BJ738" t="s">
        <v>1945</v>
      </c>
      <c r="BK738" t="s">
        <v>294</v>
      </c>
      <c r="BL738" t="s">
        <v>1945</v>
      </c>
      <c r="BM738" t="s">
        <v>14590</v>
      </c>
      <c r="BN738" t="s">
        <v>74</v>
      </c>
      <c r="BO738" t="s">
        <v>74</v>
      </c>
      <c r="BP738" t="s">
        <v>74</v>
      </c>
      <c r="BQ738" t="s">
        <v>74</v>
      </c>
      <c r="BR738" t="s">
        <v>108</v>
      </c>
      <c r="BS738" t="s">
        <v>14591</v>
      </c>
      <c r="BT738" t="str">
        <f>HYPERLINK("https%3A%2F%2Fwww.webofscience.com%2Fwos%2Fwoscc%2Ffull-record%2FWOS:000490598500009","View Full Record in Web of Science")</f>
        <v>View Full Record in Web of Science</v>
      </c>
    </row>
    <row r="739" spans="1:72" x14ac:dyDescent="0.15">
      <c r="A739" t="s">
        <v>133</v>
      </c>
      <c r="B739" t="s">
        <v>14592</v>
      </c>
      <c r="C739" t="s">
        <v>74</v>
      </c>
      <c r="D739" t="s">
        <v>74</v>
      </c>
      <c r="E739" t="s">
        <v>74</v>
      </c>
      <c r="F739" t="s">
        <v>14593</v>
      </c>
      <c r="G739" t="s">
        <v>74</v>
      </c>
      <c r="H739" t="s">
        <v>74</v>
      </c>
      <c r="I739" t="s">
        <v>14594</v>
      </c>
      <c r="J739" t="s">
        <v>444</v>
      </c>
      <c r="K739" t="s">
        <v>74</v>
      </c>
      <c r="L739" t="s">
        <v>74</v>
      </c>
      <c r="M739" t="s">
        <v>80</v>
      </c>
      <c r="N739" t="s">
        <v>138</v>
      </c>
      <c r="O739" t="s">
        <v>74</v>
      </c>
      <c r="P739" t="s">
        <v>74</v>
      </c>
      <c r="Q739" t="s">
        <v>74</v>
      </c>
      <c r="R739" t="s">
        <v>74</v>
      </c>
      <c r="S739" t="s">
        <v>74</v>
      </c>
      <c r="T739" t="s">
        <v>14595</v>
      </c>
      <c r="U739" t="s">
        <v>14596</v>
      </c>
      <c r="V739" t="s">
        <v>14597</v>
      </c>
      <c r="W739" t="s">
        <v>14598</v>
      </c>
      <c r="X739" t="s">
        <v>14599</v>
      </c>
      <c r="Y739" t="s">
        <v>14600</v>
      </c>
      <c r="Z739" t="s">
        <v>14601</v>
      </c>
      <c r="AA739" t="s">
        <v>74</v>
      </c>
      <c r="AB739" t="s">
        <v>14602</v>
      </c>
      <c r="AC739" t="s">
        <v>14603</v>
      </c>
      <c r="AD739" t="s">
        <v>14604</v>
      </c>
      <c r="AE739" t="s">
        <v>14605</v>
      </c>
      <c r="AF739" t="s">
        <v>74</v>
      </c>
      <c r="AG739">
        <v>36</v>
      </c>
      <c r="AH739">
        <v>11</v>
      </c>
      <c r="AI739">
        <v>14</v>
      </c>
      <c r="AJ739">
        <v>2</v>
      </c>
      <c r="AK739">
        <v>34</v>
      </c>
      <c r="AL739" t="s">
        <v>284</v>
      </c>
      <c r="AM739" t="s">
        <v>285</v>
      </c>
      <c r="AN739" t="s">
        <v>286</v>
      </c>
      <c r="AO739" t="s">
        <v>457</v>
      </c>
      <c r="AP739" t="s">
        <v>458</v>
      </c>
      <c r="AQ739" t="s">
        <v>74</v>
      </c>
      <c r="AR739" t="s">
        <v>459</v>
      </c>
      <c r="AS739" t="s">
        <v>460</v>
      </c>
      <c r="AT739" t="s">
        <v>6987</v>
      </c>
      <c r="AU739">
        <v>2019</v>
      </c>
      <c r="AV739">
        <v>181</v>
      </c>
      <c r="AW739" t="s">
        <v>74</v>
      </c>
      <c r="AX739" t="s">
        <v>74</v>
      </c>
      <c r="AY739" t="s">
        <v>74</v>
      </c>
      <c r="AZ739" t="s">
        <v>74</v>
      </c>
      <c r="BA739" t="s">
        <v>74</v>
      </c>
      <c r="BB739" t="s">
        <v>74</v>
      </c>
      <c r="BC739" t="s">
        <v>74</v>
      </c>
      <c r="BD739">
        <v>102982</v>
      </c>
      <c r="BE739" t="s">
        <v>14606</v>
      </c>
      <c r="BF739" t="str">
        <f>HYPERLINK("http://dx.doi.org/10.1016/j.gloplacha.2019.102982","http://dx.doi.org/10.1016/j.gloplacha.2019.102982")</f>
        <v>http://dx.doi.org/10.1016/j.gloplacha.2019.102982</v>
      </c>
      <c r="BG739" t="s">
        <v>74</v>
      </c>
      <c r="BH739" t="s">
        <v>74</v>
      </c>
      <c r="BI739">
        <v>9</v>
      </c>
      <c r="BJ739" t="s">
        <v>462</v>
      </c>
      <c r="BK739" t="s">
        <v>294</v>
      </c>
      <c r="BL739" t="s">
        <v>463</v>
      </c>
      <c r="BM739" t="s">
        <v>14607</v>
      </c>
      <c r="BN739" t="s">
        <v>74</v>
      </c>
      <c r="BO739" t="s">
        <v>74</v>
      </c>
      <c r="BP739" t="s">
        <v>74</v>
      </c>
      <c r="BQ739" t="s">
        <v>74</v>
      </c>
      <c r="BR739" t="s">
        <v>108</v>
      </c>
      <c r="BS739" t="s">
        <v>14608</v>
      </c>
      <c r="BT739" t="str">
        <f>HYPERLINK("https%3A%2F%2Fwww.webofscience.com%2Fwos%2Fwoscc%2Ffull-record%2FWOS:000488666200005","View Full Record in Web of Science")</f>
        <v>View Full Record in Web of Science</v>
      </c>
    </row>
    <row r="740" spans="1:72" x14ac:dyDescent="0.15">
      <c r="A740" t="s">
        <v>133</v>
      </c>
      <c r="B740" t="s">
        <v>14609</v>
      </c>
      <c r="C740" t="s">
        <v>74</v>
      </c>
      <c r="D740" t="s">
        <v>74</v>
      </c>
      <c r="E740" t="s">
        <v>74</v>
      </c>
      <c r="F740" t="s">
        <v>14610</v>
      </c>
      <c r="G740" t="s">
        <v>74</v>
      </c>
      <c r="H740" t="s">
        <v>74</v>
      </c>
      <c r="I740" t="s">
        <v>14611</v>
      </c>
      <c r="J740" t="s">
        <v>14612</v>
      </c>
      <c r="K740" t="s">
        <v>74</v>
      </c>
      <c r="L740" t="s">
        <v>74</v>
      </c>
      <c r="M740" t="s">
        <v>80</v>
      </c>
      <c r="N740" t="s">
        <v>138</v>
      </c>
      <c r="O740" t="s">
        <v>74</v>
      </c>
      <c r="P740" t="s">
        <v>74</v>
      </c>
      <c r="Q740" t="s">
        <v>74</v>
      </c>
      <c r="R740" t="s">
        <v>74</v>
      </c>
      <c r="S740" t="s">
        <v>74</v>
      </c>
      <c r="T740" t="s">
        <v>74</v>
      </c>
      <c r="U740" t="s">
        <v>14613</v>
      </c>
      <c r="V740" t="s">
        <v>14614</v>
      </c>
      <c r="W740" t="s">
        <v>14615</v>
      </c>
      <c r="X740" t="s">
        <v>14616</v>
      </c>
      <c r="Y740" t="s">
        <v>14617</v>
      </c>
      <c r="Z740" t="s">
        <v>14618</v>
      </c>
      <c r="AA740" t="s">
        <v>14619</v>
      </c>
      <c r="AB740" t="s">
        <v>14620</v>
      </c>
      <c r="AC740" t="s">
        <v>14621</v>
      </c>
      <c r="AD740" t="s">
        <v>14622</v>
      </c>
      <c r="AE740" t="s">
        <v>14623</v>
      </c>
      <c r="AF740" t="s">
        <v>74</v>
      </c>
      <c r="AG740">
        <v>83</v>
      </c>
      <c r="AH740">
        <v>27</v>
      </c>
      <c r="AI740">
        <v>28</v>
      </c>
      <c r="AJ740">
        <v>2</v>
      </c>
      <c r="AK740">
        <v>44</v>
      </c>
      <c r="AL740" t="s">
        <v>11998</v>
      </c>
      <c r="AM740" t="s">
        <v>606</v>
      </c>
      <c r="AN740" t="s">
        <v>11999</v>
      </c>
      <c r="AO740" t="s">
        <v>14624</v>
      </c>
      <c r="AP740" t="s">
        <v>14625</v>
      </c>
      <c r="AQ740" t="s">
        <v>74</v>
      </c>
      <c r="AR740" t="s">
        <v>14626</v>
      </c>
      <c r="AS740" t="s">
        <v>14627</v>
      </c>
      <c r="AT740" t="s">
        <v>14412</v>
      </c>
      <c r="AU740">
        <v>2019</v>
      </c>
      <c r="AV740">
        <v>6</v>
      </c>
      <c r="AW740">
        <v>10</v>
      </c>
      <c r="AX740" t="s">
        <v>74</v>
      </c>
      <c r="AY740" t="s">
        <v>74</v>
      </c>
      <c r="AZ740" t="s">
        <v>74</v>
      </c>
      <c r="BA740" t="s">
        <v>74</v>
      </c>
      <c r="BB740">
        <v>2937</v>
      </c>
      <c r="BC740">
        <v>2947</v>
      </c>
      <c r="BD740" t="s">
        <v>74</v>
      </c>
      <c r="BE740" t="s">
        <v>14628</v>
      </c>
      <c r="BF740" t="str">
        <f>HYPERLINK("http://dx.doi.org/10.1039/c9en00824a","http://dx.doi.org/10.1039/c9en00824a")</f>
        <v>http://dx.doi.org/10.1039/c9en00824a</v>
      </c>
      <c r="BG740" t="s">
        <v>74</v>
      </c>
      <c r="BH740" t="s">
        <v>74</v>
      </c>
      <c r="BI740">
        <v>11</v>
      </c>
      <c r="BJ740" t="s">
        <v>14629</v>
      </c>
      <c r="BK740" t="s">
        <v>294</v>
      </c>
      <c r="BL740" t="s">
        <v>14630</v>
      </c>
      <c r="BM740" t="s">
        <v>14631</v>
      </c>
      <c r="BN740" t="s">
        <v>74</v>
      </c>
      <c r="BO740" t="s">
        <v>74</v>
      </c>
      <c r="BP740" t="s">
        <v>74</v>
      </c>
      <c r="BQ740" t="s">
        <v>74</v>
      </c>
      <c r="BR740" t="s">
        <v>108</v>
      </c>
      <c r="BS740" t="s">
        <v>14632</v>
      </c>
      <c r="BT740" t="str">
        <f>HYPERLINK("https%3A%2F%2Fwww.webofscience.com%2Fwos%2Fwoscc%2Ffull-record%2FWOS:000489724400002","View Full Record in Web of Science")</f>
        <v>View Full Record in Web of Science</v>
      </c>
    </row>
    <row r="741" spans="1:72" x14ac:dyDescent="0.15">
      <c r="A741" t="s">
        <v>133</v>
      </c>
      <c r="B741" t="s">
        <v>14633</v>
      </c>
      <c r="C741" t="s">
        <v>74</v>
      </c>
      <c r="D741" t="s">
        <v>74</v>
      </c>
      <c r="E741" t="s">
        <v>74</v>
      </c>
      <c r="F741" t="s">
        <v>14634</v>
      </c>
      <c r="G741" t="s">
        <v>74</v>
      </c>
      <c r="H741" t="s">
        <v>74</v>
      </c>
      <c r="I741" t="s">
        <v>14635</v>
      </c>
      <c r="J741" t="s">
        <v>14636</v>
      </c>
      <c r="K741" t="s">
        <v>74</v>
      </c>
      <c r="L741" t="s">
        <v>74</v>
      </c>
      <c r="M741" t="s">
        <v>80</v>
      </c>
      <c r="N741" t="s">
        <v>138</v>
      </c>
      <c r="O741" t="s">
        <v>74</v>
      </c>
      <c r="P741" t="s">
        <v>74</v>
      </c>
      <c r="Q741" t="s">
        <v>74</v>
      </c>
      <c r="R741" t="s">
        <v>74</v>
      </c>
      <c r="S741" t="s">
        <v>74</v>
      </c>
      <c r="T741" t="s">
        <v>14637</v>
      </c>
      <c r="U741" t="s">
        <v>14638</v>
      </c>
      <c r="V741" t="s">
        <v>14639</v>
      </c>
      <c r="W741" t="s">
        <v>14640</v>
      </c>
      <c r="X741" t="s">
        <v>14641</v>
      </c>
      <c r="Y741" t="s">
        <v>14642</v>
      </c>
      <c r="Z741" t="s">
        <v>14643</v>
      </c>
      <c r="AA741" t="s">
        <v>14644</v>
      </c>
      <c r="AB741" t="s">
        <v>14645</v>
      </c>
      <c r="AC741" t="s">
        <v>14646</v>
      </c>
      <c r="AD741" t="s">
        <v>14647</v>
      </c>
      <c r="AE741" t="s">
        <v>14648</v>
      </c>
      <c r="AF741" t="s">
        <v>74</v>
      </c>
      <c r="AG741">
        <v>45</v>
      </c>
      <c r="AH741">
        <v>8</v>
      </c>
      <c r="AI741">
        <v>9</v>
      </c>
      <c r="AJ741">
        <v>5</v>
      </c>
      <c r="AK741">
        <v>74</v>
      </c>
      <c r="AL741" t="s">
        <v>379</v>
      </c>
      <c r="AM741" t="s">
        <v>380</v>
      </c>
      <c r="AN741" t="s">
        <v>381</v>
      </c>
      <c r="AO741" t="s">
        <v>14649</v>
      </c>
      <c r="AP741" t="s">
        <v>14650</v>
      </c>
      <c r="AQ741" t="s">
        <v>74</v>
      </c>
      <c r="AR741" t="s">
        <v>14651</v>
      </c>
      <c r="AS741" t="s">
        <v>14652</v>
      </c>
      <c r="AT741" t="s">
        <v>6987</v>
      </c>
      <c r="AU741">
        <v>2019</v>
      </c>
      <c r="AV741">
        <v>119</v>
      </c>
      <c r="AW741" t="s">
        <v>74</v>
      </c>
      <c r="AX741" t="s">
        <v>74</v>
      </c>
      <c r="AY741" t="s">
        <v>74</v>
      </c>
      <c r="AZ741" t="s">
        <v>74</v>
      </c>
      <c r="BA741" t="s">
        <v>74</v>
      </c>
      <c r="BB741">
        <v>52</v>
      </c>
      <c r="BC741">
        <v>60</v>
      </c>
      <c r="BD741" t="s">
        <v>74</v>
      </c>
      <c r="BE741" t="s">
        <v>14653</v>
      </c>
      <c r="BF741" t="str">
        <f>HYPERLINK("http://dx.doi.org/10.1016/j.eurpolymj.2019.07.006","http://dx.doi.org/10.1016/j.eurpolymj.2019.07.006")</f>
        <v>http://dx.doi.org/10.1016/j.eurpolymj.2019.07.006</v>
      </c>
      <c r="BG741" t="s">
        <v>74</v>
      </c>
      <c r="BH741" t="s">
        <v>74</v>
      </c>
      <c r="BI741">
        <v>9</v>
      </c>
      <c r="BJ741" t="s">
        <v>14654</v>
      </c>
      <c r="BK741" t="s">
        <v>294</v>
      </c>
      <c r="BL741" t="s">
        <v>14654</v>
      </c>
      <c r="BM741" t="s">
        <v>14655</v>
      </c>
      <c r="BN741" t="s">
        <v>74</v>
      </c>
      <c r="BO741" t="s">
        <v>74</v>
      </c>
      <c r="BP741" t="s">
        <v>74</v>
      </c>
      <c r="BQ741" t="s">
        <v>74</v>
      </c>
      <c r="BR741" t="s">
        <v>108</v>
      </c>
      <c r="BS741" t="s">
        <v>14656</v>
      </c>
      <c r="BT741" t="str">
        <f>HYPERLINK("https%3A%2F%2Fwww.webofscience.com%2Fwos%2Fwoscc%2Ffull-record%2FWOS:000489191900008","View Full Record in Web of Science")</f>
        <v>View Full Record in Web of Science</v>
      </c>
    </row>
    <row r="742" spans="1:72" x14ac:dyDescent="0.15">
      <c r="A742" t="s">
        <v>133</v>
      </c>
      <c r="B742" t="s">
        <v>14657</v>
      </c>
      <c r="C742" t="s">
        <v>74</v>
      </c>
      <c r="D742" t="s">
        <v>74</v>
      </c>
      <c r="E742" t="s">
        <v>74</v>
      </c>
      <c r="F742" t="s">
        <v>14658</v>
      </c>
      <c r="G742" t="s">
        <v>74</v>
      </c>
      <c r="H742" t="s">
        <v>74</v>
      </c>
      <c r="I742" t="s">
        <v>14659</v>
      </c>
      <c r="J742" t="s">
        <v>14660</v>
      </c>
      <c r="K742" t="s">
        <v>74</v>
      </c>
      <c r="L742" t="s">
        <v>74</v>
      </c>
      <c r="M742" t="s">
        <v>80</v>
      </c>
      <c r="N742" t="s">
        <v>138</v>
      </c>
      <c r="O742" t="s">
        <v>74</v>
      </c>
      <c r="P742" t="s">
        <v>74</v>
      </c>
      <c r="Q742" t="s">
        <v>74</v>
      </c>
      <c r="R742" t="s">
        <v>74</v>
      </c>
      <c r="S742" t="s">
        <v>74</v>
      </c>
      <c r="T742" t="s">
        <v>14661</v>
      </c>
      <c r="U742" t="s">
        <v>14662</v>
      </c>
      <c r="V742" t="s">
        <v>14663</v>
      </c>
      <c r="W742" t="s">
        <v>14664</v>
      </c>
      <c r="X742" t="s">
        <v>14665</v>
      </c>
      <c r="Y742" t="s">
        <v>14666</v>
      </c>
      <c r="Z742" t="s">
        <v>14667</v>
      </c>
      <c r="AA742" t="s">
        <v>14668</v>
      </c>
      <c r="AB742" t="s">
        <v>14669</v>
      </c>
      <c r="AC742" t="s">
        <v>14670</v>
      </c>
      <c r="AD742" t="s">
        <v>14671</v>
      </c>
      <c r="AE742" t="s">
        <v>14672</v>
      </c>
      <c r="AF742" t="s">
        <v>74</v>
      </c>
      <c r="AG742">
        <v>78</v>
      </c>
      <c r="AH742">
        <v>19</v>
      </c>
      <c r="AI742">
        <v>19</v>
      </c>
      <c r="AJ742">
        <v>2</v>
      </c>
      <c r="AK742">
        <v>14</v>
      </c>
      <c r="AL742" t="s">
        <v>284</v>
      </c>
      <c r="AM742" t="s">
        <v>285</v>
      </c>
      <c r="AN742" t="s">
        <v>286</v>
      </c>
      <c r="AO742" t="s">
        <v>14673</v>
      </c>
      <c r="AP742" t="s">
        <v>14674</v>
      </c>
      <c r="AQ742" t="s">
        <v>74</v>
      </c>
      <c r="AR742" t="s">
        <v>14675</v>
      </c>
      <c r="AS742" t="s">
        <v>14676</v>
      </c>
      <c r="AT742" t="s">
        <v>6987</v>
      </c>
      <c r="AU742">
        <v>2019</v>
      </c>
      <c r="AV742">
        <v>444</v>
      </c>
      <c r="AW742" t="s">
        <v>74</v>
      </c>
      <c r="AX742" t="s">
        <v>74</v>
      </c>
      <c r="AY742" t="s">
        <v>74</v>
      </c>
      <c r="AZ742" t="s">
        <v>74</v>
      </c>
      <c r="BA742" t="s">
        <v>74</v>
      </c>
      <c r="BB742" t="s">
        <v>74</v>
      </c>
      <c r="BC742" t="s">
        <v>74</v>
      </c>
      <c r="BD742">
        <v>116175</v>
      </c>
      <c r="BE742" t="s">
        <v>14677</v>
      </c>
      <c r="BF742" t="str">
        <f>HYPERLINK("http://dx.doi.org/10.1016/j.ijms.2019.116175","http://dx.doi.org/10.1016/j.ijms.2019.116175")</f>
        <v>http://dx.doi.org/10.1016/j.ijms.2019.116175</v>
      </c>
      <c r="BG742" t="s">
        <v>74</v>
      </c>
      <c r="BH742" t="s">
        <v>74</v>
      </c>
      <c r="BI742">
        <v>11</v>
      </c>
      <c r="BJ742" t="s">
        <v>14678</v>
      </c>
      <c r="BK742" t="s">
        <v>294</v>
      </c>
      <c r="BL742" t="s">
        <v>14679</v>
      </c>
      <c r="BM742" t="s">
        <v>14680</v>
      </c>
      <c r="BN742" t="s">
        <v>74</v>
      </c>
      <c r="BO742" t="s">
        <v>74</v>
      </c>
      <c r="BP742" t="s">
        <v>74</v>
      </c>
      <c r="BQ742" t="s">
        <v>74</v>
      </c>
      <c r="BR742" t="s">
        <v>108</v>
      </c>
      <c r="BS742" t="s">
        <v>14681</v>
      </c>
      <c r="BT742" t="str">
        <f>HYPERLINK("https%3A%2F%2Fwww.webofscience.com%2Fwos%2Fwoscc%2Ffull-record%2FWOS:000489734500010","View Full Record in Web of Science")</f>
        <v>View Full Record in Web of Science</v>
      </c>
    </row>
    <row r="743" spans="1:72" x14ac:dyDescent="0.15">
      <c r="A743" t="s">
        <v>133</v>
      </c>
      <c r="B743" t="s">
        <v>14682</v>
      </c>
      <c r="C743" t="s">
        <v>74</v>
      </c>
      <c r="D743" t="s">
        <v>74</v>
      </c>
      <c r="E743" t="s">
        <v>74</v>
      </c>
      <c r="F743" t="s">
        <v>14683</v>
      </c>
      <c r="G743" t="s">
        <v>74</v>
      </c>
      <c r="H743" t="s">
        <v>74</v>
      </c>
      <c r="I743" t="s">
        <v>14684</v>
      </c>
      <c r="J743" t="s">
        <v>14685</v>
      </c>
      <c r="K743" t="s">
        <v>74</v>
      </c>
      <c r="L743" t="s">
        <v>74</v>
      </c>
      <c r="M743" t="s">
        <v>80</v>
      </c>
      <c r="N743" t="s">
        <v>138</v>
      </c>
      <c r="O743" t="s">
        <v>74</v>
      </c>
      <c r="P743" t="s">
        <v>74</v>
      </c>
      <c r="Q743" t="s">
        <v>74</v>
      </c>
      <c r="R743" t="s">
        <v>74</v>
      </c>
      <c r="S743" t="s">
        <v>74</v>
      </c>
      <c r="T743" t="s">
        <v>14686</v>
      </c>
      <c r="U743" t="s">
        <v>74</v>
      </c>
      <c r="V743" t="s">
        <v>14687</v>
      </c>
      <c r="W743" t="s">
        <v>14688</v>
      </c>
      <c r="X743" t="s">
        <v>74</v>
      </c>
      <c r="Y743" t="s">
        <v>14689</v>
      </c>
      <c r="Z743" t="s">
        <v>14690</v>
      </c>
      <c r="AA743" t="s">
        <v>74</v>
      </c>
      <c r="AB743" t="s">
        <v>74</v>
      </c>
      <c r="AC743" t="s">
        <v>74</v>
      </c>
      <c r="AD743" t="s">
        <v>74</v>
      </c>
      <c r="AE743" t="s">
        <v>74</v>
      </c>
      <c r="AF743" t="s">
        <v>74</v>
      </c>
      <c r="AG743">
        <v>21</v>
      </c>
      <c r="AH743">
        <v>1</v>
      </c>
      <c r="AI743">
        <v>2</v>
      </c>
      <c r="AJ743">
        <v>1</v>
      </c>
      <c r="AK743">
        <v>36</v>
      </c>
      <c r="AL743" t="s">
        <v>14691</v>
      </c>
      <c r="AM743" t="s">
        <v>14692</v>
      </c>
      <c r="AN743" t="s">
        <v>14693</v>
      </c>
      <c r="AO743" t="s">
        <v>14694</v>
      </c>
      <c r="AP743" t="s">
        <v>14695</v>
      </c>
      <c r="AQ743" t="s">
        <v>74</v>
      </c>
      <c r="AR743" t="s">
        <v>14696</v>
      </c>
      <c r="AS743" t="s">
        <v>14697</v>
      </c>
      <c r="AT743" t="s">
        <v>6987</v>
      </c>
      <c r="AU743">
        <v>2019</v>
      </c>
      <c r="AV743">
        <v>47</v>
      </c>
      <c r="AW743">
        <v>2</v>
      </c>
      <c r="AX743" t="s">
        <v>74</v>
      </c>
      <c r="AY743" t="s">
        <v>74</v>
      </c>
      <c r="AZ743" t="s">
        <v>74</v>
      </c>
      <c r="BA743" t="s">
        <v>74</v>
      </c>
      <c r="BB743">
        <v>189</v>
      </c>
      <c r="BC743">
        <v>192</v>
      </c>
      <c r="BD743" t="s">
        <v>74</v>
      </c>
      <c r="BE743" t="s">
        <v>74</v>
      </c>
      <c r="BF743" t="s">
        <v>74</v>
      </c>
      <c r="BG743" t="s">
        <v>74</v>
      </c>
      <c r="BH743" t="s">
        <v>74</v>
      </c>
      <c r="BI743">
        <v>4</v>
      </c>
      <c r="BJ743" t="s">
        <v>14698</v>
      </c>
      <c r="BK743" t="s">
        <v>294</v>
      </c>
      <c r="BL743" t="s">
        <v>2180</v>
      </c>
      <c r="BM743" t="s">
        <v>14699</v>
      </c>
      <c r="BN743" t="s">
        <v>74</v>
      </c>
      <c r="BO743" t="s">
        <v>74</v>
      </c>
      <c r="BP743" t="s">
        <v>74</v>
      </c>
      <c r="BQ743" t="s">
        <v>74</v>
      </c>
      <c r="BR743" t="s">
        <v>108</v>
      </c>
      <c r="BS743" t="s">
        <v>14700</v>
      </c>
      <c r="BT743" t="str">
        <f>HYPERLINK("https%3A%2F%2Fwww.webofscience.com%2Fwos%2Fwoscc%2Ffull-record%2FWOS:000489572600007","View Full Record in Web of Science")</f>
        <v>View Full Record in Web of Science</v>
      </c>
    </row>
    <row r="744" spans="1:72" x14ac:dyDescent="0.15">
      <c r="A744" t="s">
        <v>133</v>
      </c>
      <c r="B744" t="s">
        <v>14701</v>
      </c>
      <c r="C744" t="s">
        <v>74</v>
      </c>
      <c r="D744" t="s">
        <v>74</v>
      </c>
      <c r="E744" t="s">
        <v>74</v>
      </c>
      <c r="F744" t="s">
        <v>14702</v>
      </c>
      <c r="G744" t="s">
        <v>74</v>
      </c>
      <c r="H744" t="s">
        <v>74</v>
      </c>
      <c r="I744" t="s">
        <v>14703</v>
      </c>
      <c r="J744" t="s">
        <v>14685</v>
      </c>
      <c r="K744" t="s">
        <v>74</v>
      </c>
      <c r="L744" t="s">
        <v>74</v>
      </c>
      <c r="M744" t="s">
        <v>80</v>
      </c>
      <c r="N744" t="s">
        <v>138</v>
      </c>
      <c r="O744" t="s">
        <v>74</v>
      </c>
      <c r="P744" t="s">
        <v>74</v>
      </c>
      <c r="Q744" t="s">
        <v>74</v>
      </c>
      <c r="R744" t="s">
        <v>74</v>
      </c>
      <c r="S744" t="s">
        <v>74</v>
      </c>
      <c r="T744" t="s">
        <v>14704</v>
      </c>
      <c r="U744" t="s">
        <v>14705</v>
      </c>
      <c r="V744" t="s">
        <v>14706</v>
      </c>
      <c r="W744" t="s">
        <v>14707</v>
      </c>
      <c r="X744" t="s">
        <v>14708</v>
      </c>
      <c r="Y744" t="s">
        <v>14709</v>
      </c>
      <c r="Z744" t="s">
        <v>3559</v>
      </c>
      <c r="AA744" t="s">
        <v>74</v>
      </c>
      <c r="AB744" t="s">
        <v>74</v>
      </c>
      <c r="AC744" t="s">
        <v>74</v>
      </c>
      <c r="AD744" t="s">
        <v>74</v>
      </c>
      <c r="AE744" t="s">
        <v>74</v>
      </c>
      <c r="AF744" t="s">
        <v>74</v>
      </c>
      <c r="AG744">
        <v>38</v>
      </c>
      <c r="AH744">
        <v>8</v>
      </c>
      <c r="AI744">
        <v>8</v>
      </c>
      <c r="AJ744">
        <v>0</v>
      </c>
      <c r="AK744">
        <v>7</v>
      </c>
      <c r="AL744" t="s">
        <v>14691</v>
      </c>
      <c r="AM744" t="s">
        <v>14692</v>
      </c>
      <c r="AN744" t="s">
        <v>14693</v>
      </c>
      <c r="AO744" t="s">
        <v>14694</v>
      </c>
      <c r="AP744" t="s">
        <v>14695</v>
      </c>
      <c r="AQ744" t="s">
        <v>74</v>
      </c>
      <c r="AR744" t="s">
        <v>14696</v>
      </c>
      <c r="AS744" t="s">
        <v>14697</v>
      </c>
      <c r="AT744" t="s">
        <v>6987</v>
      </c>
      <c r="AU744">
        <v>2019</v>
      </c>
      <c r="AV744">
        <v>47</v>
      </c>
      <c r="AW744">
        <v>2</v>
      </c>
      <c r="AX744" t="s">
        <v>74</v>
      </c>
      <c r="AY744" t="s">
        <v>74</v>
      </c>
      <c r="AZ744" t="s">
        <v>74</v>
      </c>
      <c r="BA744" t="s">
        <v>74</v>
      </c>
      <c r="BB744">
        <v>257</v>
      </c>
      <c r="BC744">
        <v>265</v>
      </c>
      <c r="BD744" t="s">
        <v>74</v>
      </c>
      <c r="BE744" t="s">
        <v>74</v>
      </c>
      <c r="BF744" t="s">
        <v>74</v>
      </c>
      <c r="BG744" t="s">
        <v>74</v>
      </c>
      <c r="BH744" t="s">
        <v>74</v>
      </c>
      <c r="BI744">
        <v>9</v>
      </c>
      <c r="BJ744" t="s">
        <v>14698</v>
      </c>
      <c r="BK744" t="s">
        <v>294</v>
      </c>
      <c r="BL744" t="s">
        <v>2180</v>
      </c>
      <c r="BM744" t="s">
        <v>14699</v>
      </c>
      <c r="BN744" t="s">
        <v>74</v>
      </c>
      <c r="BO744" t="s">
        <v>74</v>
      </c>
      <c r="BP744" t="s">
        <v>74</v>
      </c>
      <c r="BQ744" t="s">
        <v>74</v>
      </c>
      <c r="BR744" t="s">
        <v>108</v>
      </c>
      <c r="BS744" t="s">
        <v>14710</v>
      </c>
      <c r="BT744" t="str">
        <f>HYPERLINK("https%3A%2F%2Fwww.webofscience.com%2Fwos%2Fwoscc%2Ffull-record%2FWOS:000489572600018","View Full Record in Web of Science")</f>
        <v>View Full Record in Web of Science</v>
      </c>
    </row>
    <row r="745" spans="1:72" x14ac:dyDescent="0.15">
      <c r="A745" t="s">
        <v>133</v>
      </c>
      <c r="B745" t="s">
        <v>14711</v>
      </c>
      <c r="C745" t="s">
        <v>74</v>
      </c>
      <c r="D745" t="s">
        <v>74</v>
      </c>
      <c r="E745" t="s">
        <v>74</v>
      </c>
      <c r="F745" t="s">
        <v>14712</v>
      </c>
      <c r="G745" t="s">
        <v>74</v>
      </c>
      <c r="H745" t="s">
        <v>74</v>
      </c>
      <c r="I745" t="s">
        <v>14713</v>
      </c>
      <c r="J745" t="s">
        <v>14685</v>
      </c>
      <c r="K745" t="s">
        <v>74</v>
      </c>
      <c r="L745" t="s">
        <v>74</v>
      </c>
      <c r="M745" t="s">
        <v>80</v>
      </c>
      <c r="N745" t="s">
        <v>138</v>
      </c>
      <c r="O745" t="s">
        <v>74</v>
      </c>
      <c r="P745" t="s">
        <v>74</v>
      </c>
      <c r="Q745" t="s">
        <v>74</v>
      </c>
      <c r="R745" t="s">
        <v>74</v>
      </c>
      <c r="S745" t="s">
        <v>74</v>
      </c>
      <c r="T745" t="s">
        <v>14714</v>
      </c>
      <c r="U745" t="s">
        <v>14715</v>
      </c>
      <c r="V745" t="s">
        <v>14716</v>
      </c>
      <c r="W745" t="s">
        <v>14717</v>
      </c>
      <c r="X745" t="s">
        <v>8254</v>
      </c>
      <c r="Y745" t="s">
        <v>13614</v>
      </c>
      <c r="Z745" t="s">
        <v>13615</v>
      </c>
      <c r="AA745" t="s">
        <v>74</v>
      </c>
      <c r="AB745" t="s">
        <v>74</v>
      </c>
      <c r="AC745" t="s">
        <v>14718</v>
      </c>
      <c r="AD745" t="s">
        <v>14719</v>
      </c>
      <c r="AE745" t="s">
        <v>14720</v>
      </c>
      <c r="AF745" t="s">
        <v>74</v>
      </c>
      <c r="AG745">
        <v>31</v>
      </c>
      <c r="AH745">
        <v>4</v>
      </c>
      <c r="AI745">
        <v>4</v>
      </c>
      <c r="AJ745">
        <v>0</v>
      </c>
      <c r="AK745">
        <v>9</v>
      </c>
      <c r="AL745" t="s">
        <v>14721</v>
      </c>
      <c r="AM745" t="s">
        <v>14722</v>
      </c>
      <c r="AN745" t="s">
        <v>14723</v>
      </c>
      <c r="AO745" t="s">
        <v>14694</v>
      </c>
      <c r="AP745" t="s">
        <v>14695</v>
      </c>
      <c r="AQ745" t="s">
        <v>74</v>
      </c>
      <c r="AR745" t="s">
        <v>14696</v>
      </c>
      <c r="AS745" t="s">
        <v>14697</v>
      </c>
      <c r="AT745" t="s">
        <v>6987</v>
      </c>
      <c r="AU745">
        <v>2019</v>
      </c>
      <c r="AV745">
        <v>47</v>
      </c>
      <c r="AW745">
        <v>2</v>
      </c>
      <c r="AX745" t="s">
        <v>74</v>
      </c>
      <c r="AY745" t="s">
        <v>74</v>
      </c>
      <c r="AZ745" t="s">
        <v>74</v>
      </c>
      <c r="BA745" t="s">
        <v>74</v>
      </c>
      <c r="BB745">
        <v>267</v>
      </c>
      <c r="BC745">
        <v>275</v>
      </c>
      <c r="BD745" t="s">
        <v>74</v>
      </c>
      <c r="BE745" t="s">
        <v>74</v>
      </c>
      <c r="BF745" t="s">
        <v>74</v>
      </c>
      <c r="BG745" t="s">
        <v>74</v>
      </c>
      <c r="BH745" t="s">
        <v>74</v>
      </c>
      <c r="BI745">
        <v>9</v>
      </c>
      <c r="BJ745" t="s">
        <v>14698</v>
      </c>
      <c r="BK745" t="s">
        <v>294</v>
      </c>
      <c r="BL745" t="s">
        <v>2180</v>
      </c>
      <c r="BM745" t="s">
        <v>14699</v>
      </c>
      <c r="BN745" t="s">
        <v>74</v>
      </c>
      <c r="BO745" t="s">
        <v>74</v>
      </c>
      <c r="BP745" t="s">
        <v>74</v>
      </c>
      <c r="BQ745" t="s">
        <v>74</v>
      </c>
      <c r="BR745" t="s">
        <v>108</v>
      </c>
      <c r="BS745" t="s">
        <v>14724</v>
      </c>
      <c r="BT745" t="str">
        <f>HYPERLINK("https%3A%2F%2Fwww.webofscience.com%2Fwos%2Fwoscc%2Ffull-record%2FWOS:000489572600019","View Full Record in Web of Science")</f>
        <v>View Full Record in Web of Science</v>
      </c>
    </row>
    <row r="746" spans="1:72" x14ac:dyDescent="0.15">
      <c r="A746" t="s">
        <v>133</v>
      </c>
      <c r="B746" t="s">
        <v>14725</v>
      </c>
      <c r="C746" t="s">
        <v>74</v>
      </c>
      <c r="D746" t="s">
        <v>74</v>
      </c>
      <c r="E746" t="s">
        <v>74</v>
      </c>
      <c r="F746" t="s">
        <v>14726</v>
      </c>
      <c r="G746" t="s">
        <v>74</v>
      </c>
      <c r="H746" t="s">
        <v>74</v>
      </c>
      <c r="I746" t="s">
        <v>14727</v>
      </c>
      <c r="J746" t="s">
        <v>2429</v>
      </c>
      <c r="K746" t="s">
        <v>74</v>
      </c>
      <c r="L746" t="s">
        <v>74</v>
      </c>
      <c r="M746" t="s">
        <v>80</v>
      </c>
      <c r="N746" t="s">
        <v>138</v>
      </c>
      <c r="O746" t="s">
        <v>74</v>
      </c>
      <c r="P746" t="s">
        <v>74</v>
      </c>
      <c r="Q746" t="s">
        <v>74</v>
      </c>
      <c r="R746" t="s">
        <v>74</v>
      </c>
      <c r="S746" t="s">
        <v>74</v>
      </c>
      <c r="T746" t="s">
        <v>74</v>
      </c>
      <c r="U746" t="s">
        <v>14728</v>
      </c>
      <c r="V746" t="s">
        <v>14729</v>
      </c>
      <c r="W746" t="s">
        <v>14730</v>
      </c>
      <c r="X746" t="s">
        <v>14731</v>
      </c>
      <c r="Y746" t="s">
        <v>14732</v>
      </c>
      <c r="Z746" t="s">
        <v>14733</v>
      </c>
      <c r="AA746" t="s">
        <v>14734</v>
      </c>
      <c r="AB746" t="s">
        <v>14735</v>
      </c>
      <c r="AC746" t="s">
        <v>14736</v>
      </c>
      <c r="AD746" t="s">
        <v>14737</v>
      </c>
      <c r="AE746" t="s">
        <v>14738</v>
      </c>
      <c r="AF746" t="s">
        <v>74</v>
      </c>
      <c r="AG746">
        <v>94</v>
      </c>
      <c r="AH746">
        <v>11</v>
      </c>
      <c r="AI746">
        <v>11</v>
      </c>
      <c r="AJ746">
        <v>0</v>
      </c>
      <c r="AK746">
        <v>9</v>
      </c>
      <c r="AL746" t="s">
        <v>379</v>
      </c>
      <c r="AM746" t="s">
        <v>380</v>
      </c>
      <c r="AN746" t="s">
        <v>381</v>
      </c>
      <c r="AO746" t="s">
        <v>2441</v>
      </c>
      <c r="AP746" t="s">
        <v>74</v>
      </c>
      <c r="AQ746" t="s">
        <v>74</v>
      </c>
      <c r="AR746" t="s">
        <v>2442</v>
      </c>
      <c r="AS746" t="s">
        <v>2443</v>
      </c>
      <c r="AT746" t="s">
        <v>14412</v>
      </c>
      <c r="AU746">
        <v>2019</v>
      </c>
      <c r="AV746">
        <v>221</v>
      </c>
      <c r="AW746" t="s">
        <v>74</v>
      </c>
      <c r="AX746" t="s">
        <v>74</v>
      </c>
      <c r="AY746" t="s">
        <v>74</v>
      </c>
      <c r="AZ746" t="s">
        <v>74</v>
      </c>
      <c r="BA746" t="s">
        <v>74</v>
      </c>
      <c r="BB746" t="s">
        <v>74</v>
      </c>
      <c r="BC746" t="s">
        <v>74</v>
      </c>
      <c r="BD746">
        <v>105881</v>
      </c>
      <c r="BE746" t="s">
        <v>14739</v>
      </c>
      <c r="BF746" t="str">
        <f>HYPERLINK("http://dx.doi.org/10.1016/j.quascirev.2019.105881","http://dx.doi.org/10.1016/j.quascirev.2019.105881")</f>
        <v>http://dx.doi.org/10.1016/j.quascirev.2019.105881</v>
      </c>
      <c r="BG746" t="s">
        <v>74</v>
      </c>
      <c r="BH746" t="s">
        <v>74</v>
      </c>
      <c r="BI746">
        <v>14</v>
      </c>
      <c r="BJ746" t="s">
        <v>462</v>
      </c>
      <c r="BK746" t="s">
        <v>294</v>
      </c>
      <c r="BL746" t="s">
        <v>463</v>
      </c>
      <c r="BM746" t="s">
        <v>14740</v>
      </c>
      <c r="BN746" t="s">
        <v>74</v>
      </c>
      <c r="BO746" t="s">
        <v>74</v>
      </c>
      <c r="BP746" t="s">
        <v>74</v>
      </c>
      <c r="BQ746" t="s">
        <v>74</v>
      </c>
      <c r="BR746" t="s">
        <v>108</v>
      </c>
      <c r="BS746" t="s">
        <v>14741</v>
      </c>
      <c r="BT746" t="str">
        <f>HYPERLINK("https%3A%2F%2Fwww.webofscience.com%2Fwos%2Fwoscc%2Ffull-record%2FWOS:000489354400023","View Full Record in Web of Science")</f>
        <v>View Full Record in Web of Science</v>
      </c>
    </row>
    <row r="747" spans="1:72" x14ac:dyDescent="0.15">
      <c r="A747" t="s">
        <v>133</v>
      </c>
      <c r="B747" t="s">
        <v>14742</v>
      </c>
      <c r="C747" t="s">
        <v>74</v>
      </c>
      <c r="D747" t="s">
        <v>74</v>
      </c>
      <c r="E747" t="s">
        <v>74</v>
      </c>
      <c r="F747" t="s">
        <v>14743</v>
      </c>
      <c r="G747" t="s">
        <v>74</v>
      </c>
      <c r="H747" t="s">
        <v>74</v>
      </c>
      <c r="I747" t="s">
        <v>14744</v>
      </c>
      <c r="J747" t="s">
        <v>10034</v>
      </c>
      <c r="K747" t="s">
        <v>74</v>
      </c>
      <c r="L747" t="s">
        <v>74</v>
      </c>
      <c r="M747" t="s">
        <v>80</v>
      </c>
      <c r="N747" t="s">
        <v>138</v>
      </c>
      <c r="O747" t="s">
        <v>74</v>
      </c>
      <c r="P747" t="s">
        <v>74</v>
      </c>
      <c r="Q747" t="s">
        <v>74</v>
      </c>
      <c r="R747" t="s">
        <v>74</v>
      </c>
      <c r="S747" t="s">
        <v>74</v>
      </c>
      <c r="T747" t="s">
        <v>14745</v>
      </c>
      <c r="U747" t="s">
        <v>14746</v>
      </c>
      <c r="V747" t="s">
        <v>14747</v>
      </c>
      <c r="W747" t="s">
        <v>14748</v>
      </c>
      <c r="X747" t="s">
        <v>2606</v>
      </c>
      <c r="Y747" t="s">
        <v>14749</v>
      </c>
      <c r="Z747" t="s">
        <v>14750</v>
      </c>
      <c r="AA747" t="s">
        <v>14751</v>
      </c>
      <c r="AB747" t="s">
        <v>14752</v>
      </c>
      <c r="AC747" t="s">
        <v>14753</v>
      </c>
      <c r="AD747" t="s">
        <v>14754</v>
      </c>
      <c r="AE747" t="s">
        <v>14755</v>
      </c>
      <c r="AF747" t="s">
        <v>74</v>
      </c>
      <c r="AG747">
        <v>79</v>
      </c>
      <c r="AH747">
        <v>18</v>
      </c>
      <c r="AI747">
        <v>20</v>
      </c>
      <c r="AJ747">
        <v>6</v>
      </c>
      <c r="AK747">
        <v>35</v>
      </c>
      <c r="AL747" t="s">
        <v>5898</v>
      </c>
      <c r="AM747" t="s">
        <v>1965</v>
      </c>
      <c r="AN747" t="s">
        <v>5899</v>
      </c>
      <c r="AO747" t="s">
        <v>10047</v>
      </c>
      <c r="AP747" t="s">
        <v>10048</v>
      </c>
      <c r="AQ747" t="s">
        <v>74</v>
      </c>
      <c r="AR747" t="s">
        <v>10049</v>
      </c>
      <c r="AS747" t="s">
        <v>10050</v>
      </c>
      <c r="AT747" t="s">
        <v>6987</v>
      </c>
      <c r="AU747">
        <v>2019</v>
      </c>
      <c r="AV747">
        <v>232</v>
      </c>
      <c r="AW747" t="s">
        <v>74</v>
      </c>
      <c r="AX747" t="s">
        <v>74</v>
      </c>
      <c r="AY747" t="s">
        <v>74</v>
      </c>
      <c r="AZ747" t="s">
        <v>74</v>
      </c>
      <c r="BA747" t="s">
        <v>74</v>
      </c>
      <c r="BB747" t="s">
        <v>74</v>
      </c>
      <c r="BC747" t="s">
        <v>74</v>
      </c>
      <c r="BD747">
        <v>111219</v>
      </c>
      <c r="BE747" t="s">
        <v>14756</v>
      </c>
      <c r="BF747" t="str">
        <f>HYPERLINK("http://dx.doi.org/10.1016/j.rse.2019.111219","http://dx.doi.org/10.1016/j.rse.2019.111219")</f>
        <v>http://dx.doi.org/10.1016/j.rse.2019.111219</v>
      </c>
      <c r="BG747" t="s">
        <v>74</v>
      </c>
      <c r="BH747" t="s">
        <v>74</v>
      </c>
      <c r="BI747">
        <v>13</v>
      </c>
      <c r="BJ747" t="s">
        <v>10052</v>
      </c>
      <c r="BK747" t="s">
        <v>294</v>
      </c>
      <c r="BL747" t="s">
        <v>10053</v>
      </c>
      <c r="BM747" t="s">
        <v>14757</v>
      </c>
      <c r="BN747" t="s">
        <v>74</v>
      </c>
      <c r="BO747" t="s">
        <v>74</v>
      </c>
      <c r="BP747" t="s">
        <v>74</v>
      </c>
      <c r="BQ747" t="s">
        <v>74</v>
      </c>
      <c r="BR747" t="s">
        <v>108</v>
      </c>
      <c r="BS747" t="s">
        <v>14758</v>
      </c>
      <c r="BT747" t="str">
        <f>HYPERLINK("https%3A%2F%2Fwww.webofscience.com%2Fwos%2Fwoscc%2Ffull-record%2FWOS:000486355300047","View Full Record in Web of Science")</f>
        <v>View Full Record in Web of Science</v>
      </c>
    </row>
    <row r="748" spans="1:72" x14ac:dyDescent="0.15">
      <c r="A748" t="s">
        <v>133</v>
      </c>
      <c r="B748" t="s">
        <v>14759</v>
      </c>
      <c r="C748" t="s">
        <v>74</v>
      </c>
      <c r="D748" t="s">
        <v>74</v>
      </c>
      <c r="E748" t="s">
        <v>74</v>
      </c>
      <c r="F748" t="s">
        <v>14760</v>
      </c>
      <c r="G748" t="s">
        <v>74</v>
      </c>
      <c r="H748" t="s">
        <v>74</v>
      </c>
      <c r="I748" t="s">
        <v>14761</v>
      </c>
      <c r="J748" t="s">
        <v>14762</v>
      </c>
      <c r="K748" t="s">
        <v>74</v>
      </c>
      <c r="L748" t="s">
        <v>74</v>
      </c>
      <c r="M748" t="s">
        <v>80</v>
      </c>
      <c r="N748" t="s">
        <v>138</v>
      </c>
      <c r="O748" t="s">
        <v>74</v>
      </c>
      <c r="P748" t="s">
        <v>74</v>
      </c>
      <c r="Q748" t="s">
        <v>74</v>
      </c>
      <c r="R748" t="s">
        <v>74</v>
      </c>
      <c r="S748" t="s">
        <v>74</v>
      </c>
      <c r="T748" t="s">
        <v>14763</v>
      </c>
      <c r="U748" t="s">
        <v>14764</v>
      </c>
      <c r="V748" t="s">
        <v>14765</v>
      </c>
      <c r="W748" t="s">
        <v>14766</v>
      </c>
      <c r="X748" t="s">
        <v>14767</v>
      </c>
      <c r="Y748" t="s">
        <v>14768</v>
      </c>
      <c r="Z748" t="s">
        <v>14769</v>
      </c>
      <c r="AA748" t="s">
        <v>74</v>
      </c>
      <c r="AB748" t="s">
        <v>14770</v>
      </c>
      <c r="AC748" t="s">
        <v>14771</v>
      </c>
      <c r="AD748" t="s">
        <v>14772</v>
      </c>
      <c r="AE748" t="s">
        <v>14773</v>
      </c>
      <c r="AF748" t="s">
        <v>74</v>
      </c>
      <c r="AG748">
        <v>51</v>
      </c>
      <c r="AH748">
        <v>5</v>
      </c>
      <c r="AI748">
        <v>5</v>
      </c>
      <c r="AJ748">
        <v>1</v>
      </c>
      <c r="AK748">
        <v>3</v>
      </c>
      <c r="AL748" t="s">
        <v>7611</v>
      </c>
      <c r="AM748" t="s">
        <v>1265</v>
      </c>
      <c r="AN748" t="s">
        <v>7612</v>
      </c>
      <c r="AO748" t="s">
        <v>14774</v>
      </c>
      <c r="AP748" t="s">
        <v>14775</v>
      </c>
      <c r="AQ748" t="s">
        <v>74</v>
      </c>
      <c r="AR748" t="s">
        <v>14776</v>
      </c>
      <c r="AS748" t="s">
        <v>14777</v>
      </c>
      <c r="AT748" t="s">
        <v>6987</v>
      </c>
      <c r="AU748">
        <v>2019</v>
      </c>
      <c r="AV748">
        <v>18</v>
      </c>
      <c r="AW748">
        <v>10</v>
      </c>
      <c r="AX748" t="s">
        <v>74</v>
      </c>
      <c r="AY748" t="s">
        <v>74</v>
      </c>
      <c r="AZ748" t="s">
        <v>74</v>
      </c>
      <c r="BA748" t="s">
        <v>74</v>
      </c>
      <c r="BB748">
        <v>3555</v>
      </c>
      <c r="BC748">
        <v>3566</v>
      </c>
      <c r="BD748" t="s">
        <v>74</v>
      </c>
      <c r="BE748" t="s">
        <v>14778</v>
      </c>
      <c r="BF748" t="str">
        <f>HYPERLINK("http://dx.doi.org/10.1021/acs.jproteome.9b00144","http://dx.doi.org/10.1021/acs.jproteome.9b00144")</f>
        <v>http://dx.doi.org/10.1021/acs.jproteome.9b00144</v>
      </c>
      <c r="BG748" t="s">
        <v>74</v>
      </c>
      <c r="BH748" t="s">
        <v>74</v>
      </c>
      <c r="BI748">
        <v>12</v>
      </c>
      <c r="BJ748" t="s">
        <v>14779</v>
      </c>
      <c r="BK748" t="s">
        <v>294</v>
      </c>
      <c r="BL748" t="s">
        <v>14780</v>
      </c>
      <c r="BM748" t="s">
        <v>14781</v>
      </c>
      <c r="BN748">
        <v>31483995</v>
      </c>
      <c r="BO748" t="s">
        <v>74</v>
      </c>
      <c r="BP748" t="s">
        <v>74</v>
      </c>
      <c r="BQ748" t="s">
        <v>74</v>
      </c>
      <c r="BR748" t="s">
        <v>108</v>
      </c>
      <c r="BS748" t="s">
        <v>14782</v>
      </c>
      <c r="BT748" t="str">
        <f>HYPERLINK("https%3A%2F%2Fwww.webofscience.com%2Fwos%2Fwoscc%2Ffull-record%2FWOS:000489200400002","View Full Record in Web of Science")</f>
        <v>View Full Record in Web of Science</v>
      </c>
    </row>
    <row r="749" spans="1:72" x14ac:dyDescent="0.15">
      <c r="A749" t="s">
        <v>133</v>
      </c>
      <c r="B749" t="s">
        <v>14783</v>
      </c>
      <c r="C749" t="s">
        <v>74</v>
      </c>
      <c r="D749" t="s">
        <v>74</v>
      </c>
      <c r="E749" t="s">
        <v>74</v>
      </c>
      <c r="F749" t="s">
        <v>14784</v>
      </c>
      <c r="G749" t="s">
        <v>74</v>
      </c>
      <c r="H749" t="s">
        <v>74</v>
      </c>
      <c r="I749" t="s">
        <v>14785</v>
      </c>
      <c r="J749" t="s">
        <v>1332</v>
      </c>
      <c r="K749" t="s">
        <v>74</v>
      </c>
      <c r="L749" t="s">
        <v>74</v>
      </c>
      <c r="M749" t="s">
        <v>80</v>
      </c>
      <c r="N749" t="s">
        <v>138</v>
      </c>
      <c r="O749" t="s">
        <v>74</v>
      </c>
      <c r="P749" t="s">
        <v>74</v>
      </c>
      <c r="Q749" t="s">
        <v>74</v>
      </c>
      <c r="R749" t="s">
        <v>74</v>
      </c>
      <c r="S749" t="s">
        <v>74</v>
      </c>
      <c r="T749" t="s">
        <v>14786</v>
      </c>
      <c r="U749" t="s">
        <v>14787</v>
      </c>
      <c r="V749" t="s">
        <v>14788</v>
      </c>
      <c r="W749" t="s">
        <v>14789</v>
      </c>
      <c r="X749" t="s">
        <v>14790</v>
      </c>
      <c r="Y749" t="s">
        <v>14791</v>
      </c>
      <c r="Z749" t="s">
        <v>14792</v>
      </c>
      <c r="AA749" t="s">
        <v>14793</v>
      </c>
      <c r="AB749" t="s">
        <v>14794</v>
      </c>
      <c r="AC749" t="s">
        <v>14795</v>
      </c>
      <c r="AD749" t="s">
        <v>14796</v>
      </c>
      <c r="AE749" t="s">
        <v>14797</v>
      </c>
      <c r="AF749" t="s">
        <v>74</v>
      </c>
      <c r="AG749">
        <v>104</v>
      </c>
      <c r="AH749">
        <v>10</v>
      </c>
      <c r="AI749">
        <v>11</v>
      </c>
      <c r="AJ749">
        <v>0</v>
      </c>
      <c r="AK749">
        <v>12</v>
      </c>
      <c r="AL749" t="s">
        <v>1346</v>
      </c>
      <c r="AM749" t="s">
        <v>1347</v>
      </c>
      <c r="AN749" t="s">
        <v>1348</v>
      </c>
      <c r="AO749" t="s">
        <v>1349</v>
      </c>
      <c r="AP749" t="s">
        <v>74</v>
      </c>
      <c r="AQ749" t="s">
        <v>74</v>
      </c>
      <c r="AR749" t="s">
        <v>1350</v>
      </c>
      <c r="AS749" t="s">
        <v>1351</v>
      </c>
      <c r="AT749" t="s">
        <v>14412</v>
      </c>
      <c r="AU749">
        <v>2019</v>
      </c>
      <c r="AV749">
        <v>7</v>
      </c>
      <c r="AW749" t="s">
        <v>74</v>
      </c>
      <c r="AX749" t="s">
        <v>74</v>
      </c>
      <c r="AY749" t="s">
        <v>74</v>
      </c>
      <c r="AZ749" t="s">
        <v>74</v>
      </c>
      <c r="BA749" t="s">
        <v>74</v>
      </c>
      <c r="BB749" t="s">
        <v>74</v>
      </c>
      <c r="BC749" t="s">
        <v>74</v>
      </c>
      <c r="BD749">
        <v>38</v>
      </c>
      <c r="BE749" t="s">
        <v>14798</v>
      </c>
      <c r="BF749" t="str">
        <f>HYPERLINK("http://dx.doi.org/10.1525/elementa.377","http://dx.doi.org/10.1525/elementa.377")</f>
        <v>http://dx.doi.org/10.1525/elementa.377</v>
      </c>
      <c r="BG749" t="s">
        <v>74</v>
      </c>
      <c r="BH749" t="s">
        <v>74</v>
      </c>
      <c r="BI749">
        <v>23</v>
      </c>
      <c r="BJ749" t="s">
        <v>103</v>
      </c>
      <c r="BK749" t="s">
        <v>294</v>
      </c>
      <c r="BL749" t="s">
        <v>105</v>
      </c>
      <c r="BM749" t="s">
        <v>14799</v>
      </c>
      <c r="BN749" t="s">
        <v>74</v>
      </c>
      <c r="BO749" t="s">
        <v>693</v>
      </c>
      <c r="BP749" t="s">
        <v>74</v>
      </c>
      <c r="BQ749" t="s">
        <v>74</v>
      </c>
      <c r="BR749" t="s">
        <v>108</v>
      </c>
      <c r="BS749" t="s">
        <v>14800</v>
      </c>
      <c r="BT749" t="str">
        <f>HYPERLINK("https%3A%2F%2Fwww.webofscience.com%2Fwos%2Fwoscc%2Ffull-record%2FWOS:000489078900001","View Full Record in Web of Science")</f>
        <v>View Full Record in Web of Science</v>
      </c>
    </row>
    <row r="750" spans="1:72" x14ac:dyDescent="0.15">
      <c r="A750" t="s">
        <v>133</v>
      </c>
      <c r="B750" t="s">
        <v>14801</v>
      </c>
      <c r="C750" t="s">
        <v>74</v>
      </c>
      <c r="D750" t="s">
        <v>74</v>
      </c>
      <c r="E750" t="s">
        <v>74</v>
      </c>
      <c r="F750" t="s">
        <v>14802</v>
      </c>
      <c r="G750" t="s">
        <v>74</v>
      </c>
      <c r="H750" t="s">
        <v>74</v>
      </c>
      <c r="I750" t="s">
        <v>14803</v>
      </c>
      <c r="J750" t="s">
        <v>14804</v>
      </c>
      <c r="K750" t="s">
        <v>74</v>
      </c>
      <c r="L750" t="s">
        <v>74</v>
      </c>
      <c r="M750" t="s">
        <v>80</v>
      </c>
      <c r="N750" t="s">
        <v>138</v>
      </c>
      <c r="O750" t="s">
        <v>74</v>
      </c>
      <c r="P750" t="s">
        <v>74</v>
      </c>
      <c r="Q750" t="s">
        <v>74</v>
      </c>
      <c r="R750" t="s">
        <v>74</v>
      </c>
      <c r="S750" t="s">
        <v>74</v>
      </c>
      <c r="T750" t="s">
        <v>14805</v>
      </c>
      <c r="U750" t="s">
        <v>14806</v>
      </c>
      <c r="V750" t="s">
        <v>14807</v>
      </c>
      <c r="W750" t="s">
        <v>14808</v>
      </c>
      <c r="X750" t="s">
        <v>14809</v>
      </c>
      <c r="Y750" t="s">
        <v>14810</v>
      </c>
      <c r="Z750" t="s">
        <v>14811</v>
      </c>
      <c r="AA750" t="s">
        <v>14812</v>
      </c>
      <c r="AB750" t="s">
        <v>14813</v>
      </c>
      <c r="AC750" t="s">
        <v>14814</v>
      </c>
      <c r="AD750" t="s">
        <v>14815</v>
      </c>
      <c r="AE750" t="s">
        <v>14816</v>
      </c>
      <c r="AF750" t="s">
        <v>74</v>
      </c>
      <c r="AG750">
        <v>56</v>
      </c>
      <c r="AH750">
        <v>2</v>
      </c>
      <c r="AI750">
        <v>3</v>
      </c>
      <c r="AJ750">
        <v>1</v>
      </c>
      <c r="AK750">
        <v>25</v>
      </c>
      <c r="AL750" t="s">
        <v>3493</v>
      </c>
      <c r="AM750" t="s">
        <v>3494</v>
      </c>
      <c r="AN750" t="s">
        <v>3495</v>
      </c>
      <c r="AO750" t="s">
        <v>14817</v>
      </c>
      <c r="AP750" t="s">
        <v>14818</v>
      </c>
      <c r="AQ750" t="s">
        <v>74</v>
      </c>
      <c r="AR750" t="s">
        <v>14819</v>
      </c>
      <c r="AS750" t="s">
        <v>14820</v>
      </c>
      <c r="AT750" t="s">
        <v>6987</v>
      </c>
      <c r="AU750">
        <v>2019</v>
      </c>
      <c r="AV750">
        <v>64</v>
      </c>
      <c r="AW750">
        <v>4</v>
      </c>
      <c r="AX750" t="s">
        <v>74</v>
      </c>
      <c r="AY750" t="s">
        <v>74</v>
      </c>
      <c r="AZ750" t="s">
        <v>74</v>
      </c>
      <c r="BA750" t="s">
        <v>74</v>
      </c>
      <c r="BB750">
        <v>535</v>
      </c>
      <c r="BC750">
        <v>542</v>
      </c>
      <c r="BD750" t="s">
        <v>74</v>
      </c>
      <c r="BE750" t="s">
        <v>14821</v>
      </c>
      <c r="BF750" t="str">
        <f>HYPERLINK("http://dx.doi.org/10.1007/s13364-019-00439-0","http://dx.doi.org/10.1007/s13364-019-00439-0")</f>
        <v>http://dx.doi.org/10.1007/s13364-019-00439-0</v>
      </c>
      <c r="BG750" t="s">
        <v>74</v>
      </c>
      <c r="BH750" t="s">
        <v>74</v>
      </c>
      <c r="BI750">
        <v>8</v>
      </c>
      <c r="BJ750" t="s">
        <v>1219</v>
      </c>
      <c r="BK750" t="s">
        <v>294</v>
      </c>
      <c r="BL750" t="s">
        <v>1219</v>
      </c>
      <c r="BM750" t="s">
        <v>14822</v>
      </c>
      <c r="BN750" t="s">
        <v>74</v>
      </c>
      <c r="BO750" t="s">
        <v>74</v>
      </c>
      <c r="BP750" t="s">
        <v>74</v>
      </c>
      <c r="BQ750" t="s">
        <v>74</v>
      </c>
      <c r="BR750" t="s">
        <v>108</v>
      </c>
      <c r="BS750" t="s">
        <v>14823</v>
      </c>
      <c r="BT750" t="str">
        <f>HYPERLINK("https%3A%2F%2Fwww.webofscience.com%2Fwos%2Fwoscc%2Ffull-record%2FWOS:000489020300009","View Full Record in Web of Science")</f>
        <v>View Full Record in Web of Science</v>
      </c>
    </row>
    <row r="751" spans="1:72" x14ac:dyDescent="0.15">
      <c r="A751" t="s">
        <v>133</v>
      </c>
      <c r="B751" t="s">
        <v>14491</v>
      </c>
      <c r="C751" t="s">
        <v>74</v>
      </c>
      <c r="D751" t="s">
        <v>74</v>
      </c>
      <c r="E751" t="s">
        <v>74</v>
      </c>
      <c r="F751" t="s">
        <v>14492</v>
      </c>
      <c r="G751" t="s">
        <v>74</v>
      </c>
      <c r="H751" t="s">
        <v>74</v>
      </c>
      <c r="I751" t="s">
        <v>14824</v>
      </c>
      <c r="J751" t="s">
        <v>14494</v>
      </c>
      <c r="K751" t="s">
        <v>74</v>
      </c>
      <c r="L751" t="s">
        <v>74</v>
      </c>
      <c r="M751" t="s">
        <v>80</v>
      </c>
      <c r="N751" t="s">
        <v>138</v>
      </c>
      <c r="O751" t="s">
        <v>74</v>
      </c>
      <c r="P751" t="s">
        <v>74</v>
      </c>
      <c r="Q751" t="s">
        <v>74</v>
      </c>
      <c r="R751" t="s">
        <v>74</v>
      </c>
      <c r="S751" t="s">
        <v>74</v>
      </c>
      <c r="T751" t="s">
        <v>74</v>
      </c>
      <c r="U751" t="s">
        <v>14825</v>
      </c>
      <c r="V751" t="s">
        <v>14826</v>
      </c>
      <c r="W751" t="s">
        <v>14497</v>
      </c>
      <c r="X751" t="s">
        <v>14498</v>
      </c>
      <c r="Y751" t="s">
        <v>14499</v>
      </c>
      <c r="Z751" t="s">
        <v>14500</v>
      </c>
      <c r="AA751" t="s">
        <v>14827</v>
      </c>
      <c r="AB751" t="s">
        <v>14828</v>
      </c>
      <c r="AC751" t="s">
        <v>14503</v>
      </c>
      <c r="AD751" t="s">
        <v>14504</v>
      </c>
      <c r="AE751" t="s">
        <v>14829</v>
      </c>
      <c r="AF751" t="s">
        <v>74</v>
      </c>
      <c r="AG751">
        <v>12</v>
      </c>
      <c r="AH751">
        <v>0</v>
      </c>
      <c r="AI751">
        <v>0</v>
      </c>
      <c r="AJ751">
        <v>0</v>
      </c>
      <c r="AK751">
        <v>2</v>
      </c>
      <c r="AL751" t="s">
        <v>14506</v>
      </c>
      <c r="AM751" t="s">
        <v>1265</v>
      </c>
      <c r="AN751" t="s">
        <v>14507</v>
      </c>
      <c r="AO751" t="s">
        <v>14508</v>
      </c>
      <c r="AP751" t="s">
        <v>74</v>
      </c>
      <c r="AQ751" t="s">
        <v>74</v>
      </c>
      <c r="AR751" t="s">
        <v>14509</v>
      </c>
      <c r="AS751" t="s">
        <v>14510</v>
      </c>
      <c r="AT751" t="s">
        <v>6987</v>
      </c>
      <c r="AU751">
        <v>2019</v>
      </c>
      <c r="AV751">
        <v>8</v>
      </c>
      <c r="AW751">
        <v>40</v>
      </c>
      <c r="AX751" t="s">
        <v>74</v>
      </c>
      <c r="AY751" t="s">
        <v>74</v>
      </c>
      <c r="AZ751" t="s">
        <v>74</v>
      </c>
      <c r="BA751" t="s">
        <v>74</v>
      </c>
      <c r="BB751" t="s">
        <v>74</v>
      </c>
      <c r="BC751" t="s">
        <v>74</v>
      </c>
      <c r="BD751" t="s">
        <v>14830</v>
      </c>
      <c r="BE751" t="s">
        <v>14831</v>
      </c>
      <c r="BF751" t="str">
        <f>HYPERLINK("http://dx.doi.org/10.1128/MRA.00921-19","http://dx.doi.org/10.1128/MRA.00921-19")</f>
        <v>http://dx.doi.org/10.1128/MRA.00921-19</v>
      </c>
      <c r="BG751" t="s">
        <v>74</v>
      </c>
      <c r="BH751" t="s">
        <v>74</v>
      </c>
      <c r="BI751">
        <v>2</v>
      </c>
      <c r="BJ751" t="s">
        <v>1713</v>
      </c>
      <c r="BK751" t="s">
        <v>160</v>
      </c>
      <c r="BL751" t="s">
        <v>1713</v>
      </c>
      <c r="BM751" t="s">
        <v>14832</v>
      </c>
      <c r="BN751">
        <v>31582458</v>
      </c>
      <c r="BO751" t="s">
        <v>693</v>
      </c>
      <c r="BP751" t="s">
        <v>74</v>
      </c>
      <c r="BQ751" t="s">
        <v>74</v>
      </c>
      <c r="BR751" t="s">
        <v>108</v>
      </c>
      <c r="BS751" t="s">
        <v>14833</v>
      </c>
      <c r="BT751" t="str">
        <f>HYPERLINK("https%3A%2F%2Fwww.webofscience.com%2Fwos%2Fwoscc%2Ffull-record%2FWOS:000489010100018","View Full Record in Web of Science")</f>
        <v>View Full Record in Web of Science</v>
      </c>
    </row>
    <row r="752" spans="1:72" x14ac:dyDescent="0.15">
      <c r="A752" t="s">
        <v>133</v>
      </c>
      <c r="B752" t="s">
        <v>14834</v>
      </c>
      <c r="C752" t="s">
        <v>74</v>
      </c>
      <c r="D752" t="s">
        <v>74</v>
      </c>
      <c r="E752" t="s">
        <v>74</v>
      </c>
      <c r="F752" t="s">
        <v>14835</v>
      </c>
      <c r="G752" t="s">
        <v>74</v>
      </c>
      <c r="H752" t="s">
        <v>74</v>
      </c>
      <c r="I752" t="s">
        <v>14836</v>
      </c>
      <c r="J752" t="s">
        <v>14837</v>
      </c>
      <c r="K752" t="s">
        <v>74</v>
      </c>
      <c r="L752" t="s">
        <v>74</v>
      </c>
      <c r="M752" t="s">
        <v>80</v>
      </c>
      <c r="N752" t="s">
        <v>138</v>
      </c>
      <c r="O752" t="s">
        <v>74</v>
      </c>
      <c r="P752" t="s">
        <v>74</v>
      </c>
      <c r="Q752" t="s">
        <v>74</v>
      </c>
      <c r="R752" t="s">
        <v>74</v>
      </c>
      <c r="S752" t="s">
        <v>74</v>
      </c>
      <c r="T752" t="s">
        <v>14838</v>
      </c>
      <c r="U752" t="s">
        <v>14839</v>
      </c>
      <c r="V752" t="s">
        <v>14840</v>
      </c>
      <c r="W752" t="s">
        <v>14841</v>
      </c>
      <c r="X752" t="s">
        <v>14842</v>
      </c>
      <c r="Y752" t="s">
        <v>14843</v>
      </c>
      <c r="Z752" t="s">
        <v>14844</v>
      </c>
      <c r="AA752" t="s">
        <v>74</v>
      </c>
      <c r="AB752" t="s">
        <v>14845</v>
      </c>
      <c r="AC752" t="s">
        <v>14846</v>
      </c>
      <c r="AD752" t="s">
        <v>14847</v>
      </c>
      <c r="AE752" t="s">
        <v>14848</v>
      </c>
      <c r="AF752" t="s">
        <v>74</v>
      </c>
      <c r="AG752">
        <v>109</v>
      </c>
      <c r="AH752">
        <v>2</v>
      </c>
      <c r="AI752">
        <v>2</v>
      </c>
      <c r="AJ752">
        <v>0</v>
      </c>
      <c r="AK752">
        <v>8</v>
      </c>
      <c r="AL752" t="s">
        <v>1964</v>
      </c>
      <c r="AM752" t="s">
        <v>4096</v>
      </c>
      <c r="AN752" t="s">
        <v>4097</v>
      </c>
      <c r="AO752" t="s">
        <v>14849</v>
      </c>
      <c r="AP752" t="s">
        <v>14850</v>
      </c>
      <c r="AQ752" t="s">
        <v>74</v>
      </c>
      <c r="AR752" t="s">
        <v>14851</v>
      </c>
      <c r="AS752" t="s">
        <v>14852</v>
      </c>
      <c r="AT752" t="s">
        <v>6987</v>
      </c>
      <c r="AU752">
        <v>2019</v>
      </c>
      <c r="AV752">
        <v>123</v>
      </c>
      <c r="AW752" t="s">
        <v>13285</v>
      </c>
      <c r="AX752" t="s">
        <v>74</v>
      </c>
      <c r="AY752" t="s">
        <v>74</v>
      </c>
      <c r="AZ752" t="s">
        <v>74</v>
      </c>
      <c r="BA752" t="s">
        <v>74</v>
      </c>
      <c r="BB752">
        <v>15</v>
      </c>
      <c r="BC752">
        <v>43</v>
      </c>
      <c r="BD752" t="s">
        <v>74</v>
      </c>
      <c r="BE752" t="s">
        <v>14853</v>
      </c>
      <c r="BF752" t="str">
        <f>HYPERLINK("http://dx.doi.org/10.1007/s11038-019-09529-0","http://dx.doi.org/10.1007/s11038-019-09529-0")</f>
        <v>http://dx.doi.org/10.1007/s11038-019-09529-0</v>
      </c>
      <c r="BG752" t="s">
        <v>74</v>
      </c>
      <c r="BH752" t="s">
        <v>74</v>
      </c>
      <c r="BI752">
        <v>29</v>
      </c>
      <c r="BJ752" t="s">
        <v>1273</v>
      </c>
      <c r="BK752" t="s">
        <v>294</v>
      </c>
      <c r="BL752" t="s">
        <v>1274</v>
      </c>
      <c r="BM752" t="s">
        <v>14854</v>
      </c>
      <c r="BN752" t="s">
        <v>74</v>
      </c>
      <c r="BO752" t="s">
        <v>559</v>
      </c>
      <c r="BP752" t="s">
        <v>74</v>
      </c>
      <c r="BQ752" t="s">
        <v>74</v>
      </c>
      <c r="BR752" t="s">
        <v>108</v>
      </c>
      <c r="BS752" t="s">
        <v>14855</v>
      </c>
      <c r="BT752" t="str">
        <f>HYPERLINK("https%3A%2F%2Fwww.webofscience.com%2Fwos%2Fwoscc%2Ffull-record%2FWOS:000488926800003","View Full Record in Web of Science")</f>
        <v>View Full Record in Web of Science</v>
      </c>
    </row>
    <row r="753" spans="1:72" x14ac:dyDescent="0.15">
      <c r="A753" t="s">
        <v>133</v>
      </c>
      <c r="B753" t="s">
        <v>14856</v>
      </c>
      <c r="C753" t="s">
        <v>74</v>
      </c>
      <c r="D753" t="s">
        <v>74</v>
      </c>
      <c r="E753" t="s">
        <v>74</v>
      </c>
      <c r="F753" t="s">
        <v>14857</v>
      </c>
      <c r="G753" t="s">
        <v>74</v>
      </c>
      <c r="H753" t="s">
        <v>74</v>
      </c>
      <c r="I753" t="s">
        <v>14858</v>
      </c>
      <c r="J753" t="s">
        <v>5928</v>
      </c>
      <c r="K753" t="s">
        <v>74</v>
      </c>
      <c r="L753" t="s">
        <v>74</v>
      </c>
      <c r="M753" t="s">
        <v>80</v>
      </c>
      <c r="N753" t="s">
        <v>138</v>
      </c>
      <c r="O753" t="s">
        <v>74</v>
      </c>
      <c r="P753" t="s">
        <v>74</v>
      </c>
      <c r="Q753" t="s">
        <v>74</v>
      </c>
      <c r="R753" t="s">
        <v>74</v>
      </c>
      <c r="S753" t="s">
        <v>74</v>
      </c>
      <c r="T753" t="s">
        <v>74</v>
      </c>
      <c r="U753" t="s">
        <v>14859</v>
      </c>
      <c r="V753" t="s">
        <v>14860</v>
      </c>
      <c r="W753" t="s">
        <v>14861</v>
      </c>
      <c r="X753" t="s">
        <v>14862</v>
      </c>
      <c r="Y753" t="s">
        <v>14863</v>
      </c>
      <c r="Z753" t="s">
        <v>14864</v>
      </c>
      <c r="AA753" t="s">
        <v>74</v>
      </c>
      <c r="AB753" t="s">
        <v>14865</v>
      </c>
      <c r="AC753" t="s">
        <v>14866</v>
      </c>
      <c r="AD753" t="s">
        <v>14867</v>
      </c>
      <c r="AE753" t="s">
        <v>14868</v>
      </c>
      <c r="AF753" t="s">
        <v>74</v>
      </c>
      <c r="AG753">
        <v>63</v>
      </c>
      <c r="AH753">
        <v>17</v>
      </c>
      <c r="AI753">
        <v>19</v>
      </c>
      <c r="AJ753">
        <v>5</v>
      </c>
      <c r="AK753">
        <v>41</v>
      </c>
      <c r="AL753" t="s">
        <v>3493</v>
      </c>
      <c r="AM753" t="s">
        <v>3494</v>
      </c>
      <c r="AN753" t="s">
        <v>3495</v>
      </c>
      <c r="AO753" t="s">
        <v>5939</v>
      </c>
      <c r="AP753" t="s">
        <v>5940</v>
      </c>
      <c r="AQ753" t="s">
        <v>74</v>
      </c>
      <c r="AR753" t="s">
        <v>5941</v>
      </c>
      <c r="AS753" t="s">
        <v>5942</v>
      </c>
      <c r="AT753" t="s">
        <v>6987</v>
      </c>
      <c r="AU753">
        <v>2019</v>
      </c>
      <c r="AV753">
        <v>166</v>
      </c>
      <c r="AW753">
        <v>10</v>
      </c>
      <c r="AX753" t="s">
        <v>74</v>
      </c>
      <c r="AY753" t="s">
        <v>74</v>
      </c>
      <c r="AZ753" t="s">
        <v>74</v>
      </c>
      <c r="BA753" t="s">
        <v>74</v>
      </c>
      <c r="BB753" t="s">
        <v>74</v>
      </c>
      <c r="BC753" t="s">
        <v>74</v>
      </c>
      <c r="BD753">
        <v>134</v>
      </c>
      <c r="BE753" t="s">
        <v>14869</v>
      </c>
      <c r="BF753" t="str">
        <f>HYPERLINK("http://dx.doi.org/10.1007/s00227-019-3583-4","http://dx.doi.org/10.1007/s00227-019-3583-4")</f>
        <v>http://dx.doi.org/10.1007/s00227-019-3583-4</v>
      </c>
      <c r="BG753" t="s">
        <v>74</v>
      </c>
      <c r="BH753" t="s">
        <v>74</v>
      </c>
      <c r="BI753">
        <v>19</v>
      </c>
      <c r="BJ753" t="s">
        <v>557</v>
      </c>
      <c r="BK753" t="s">
        <v>294</v>
      </c>
      <c r="BL753" t="s">
        <v>557</v>
      </c>
      <c r="BM753" t="s">
        <v>14870</v>
      </c>
      <c r="BN753" t="s">
        <v>74</v>
      </c>
      <c r="BO753" t="s">
        <v>74</v>
      </c>
      <c r="BP753" t="s">
        <v>74</v>
      </c>
      <c r="BQ753" t="s">
        <v>74</v>
      </c>
      <c r="BR753" t="s">
        <v>108</v>
      </c>
      <c r="BS753" t="s">
        <v>14871</v>
      </c>
      <c r="BT753" t="str">
        <f>HYPERLINK("https%3A%2F%2Fwww.webofscience.com%2Fwos%2Fwoscc%2Ffull-record%2FWOS:000488455700002","View Full Record in Web of Science")</f>
        <v>View Full Record in Web of Science</v>
      </c>
    </row>
    <row r="754" spans="1:72" x14ac:dyDescent="0.15">
      <c r="A754" t="s">
        <v>133</v>
      </c>
      <c r="B754" t="s">
        <v>14872</v>
      </c>
      <c r="C754" t="s">
        <v>74</v>
      </c>
      <c r="D754" t="s">
        <v>74</v>
      </c>
      <c r="E754" t="s">
        <v>74</v>
      </c>
      <c r="F754" t="s">
        <v>14873</v>
      </c>
      <c r="G754" t="s">
        <v>74</v>
      </c>
      <c r="H754" t="s">
        <v>74</v>
      </c>
      <c r="I754" t="s">
        <v>14874</v>
      </c>
      <c r="J754" t="s">
        <v>4693</v>
      </c>
      <c r="K754" t="s">
        <v>74</v>
      </c>
      <c r="L754" t="s">
        <v>74</v>
      </c>
      <c r="M754" t="s">
        <v>80</v>
      </c>
      <c r="N754" t="s">
        <v>138</v>
      </c>
      <c r="O754" t="s">
        <v>74</v>
      </c>
      <c r="P754" t="s">
        <v>74</v>
      </c>
      <c r="Q754" t="s">
        <v>74</v>
      </c>
      <c r="R754" t="s">
        <v>74</v>
      </c>
      <c r="S754" t="s">
        <v>74</v>
      </c>
      <c r="T754" t="s">
        <v>14875</v>
      </c>
      <c r="U754" t="s">
        <v>14876</v>
      </c>
      <c r="V754" t="s">
        <v>14877</v>
      </c>
      <c r="W754" t="s">
        <v>14878</v>
      </c>
      <c r="X754" t="s">
        <v>14879</v>
      </c>
      <c r="Y754" t="s">
        <v>14880</v>
      </c>
      <c r="Z754" t="s">
        <v>14881</v>
      </c>
      <c r="AA754" t="s">
        <v>14882</v>
      </c>
      <c r="AB754" t="s">
        <v>14883</v>
      </c>
      <c r="AC754" t="s">
        <v>14884</v>
      </c>
      <c r="AD754" t="s">
        <v>14885</v>
      </c>
      <c r="AE754" t="s">
        <v>14886</v>
      </c>
      <c r="AF754" t="s">
        <v>74</v>
      </c>
      <c r="AG754">
        <v>66</v>
      </c>
      <c r="AH754">
        <v>11</v>
      </c>
      <c r="AI754">
        <v>11</v>
      </c>
      <c r="AJ754">
        <v>0</v>
      </c>
      <c r="AK754">
        <v>2</v>
      </c>
      <c r="AL754" t="s">
        <v>1016</v>
      </c>
      <c r="AM754" t="s">
        <v>1017</v>
      </c>
      <c r="AN754" t="s">
        <v>4703</v>
      </c>
      <c r="AO754" t="s">
        <v>4704</v>
      </c>
      <c r="AP754" t="s">
        <v>4705</v>
      </c>
      <c r="AQ754" t="s">
        <v>74</v>
      </c>
      <c r="AR754" t="s">
        <v>4706</v>
      </c>
      <c r="AS754" t="s">
        <v>4707</v>
      </c>
      <c r="AT754" t="s">
        <v>6987</v>
      </c>
      <c r="AU754">
        <v>2019</v>
      </c>
      <c r="AV754">
        <v>49</v>
      </c>
      <c r="AW754">
        <v>10</v>
      </c>
      <c r="AX754" t="s">
        <v>74</v>
      </c>
      <c r="AY754" t="s">
        <v>74</v>
      </c>
      <c r="AZ754" t="s">
        <v>74</v>
      </c>
      <c r="BA754" t="s">
        <v>74</v>
      </c>
      <c r="BB754">
        <v>2553</v>
      </c>
      <c r="BC754">
        <v>2570</v>
      </c>
      <c r="BD754" t="s">
        <v>74</v>
      </c>
      <c r="BE754" t="s">
        <v>14887</v>
      </c>
      <c r="BF754" t="str">
        <f>HYPERLINK("http://dx.doi.org/10.1175/JPO-D-18-0220.1","http://dx.doi.org/10.1175/JPO-D-18-0220.1")</f>
        <v>http://dx.doi.org/10.1175/JPO-D-18-0220.1</v>
      </c>
      <c r="BG754" t="s">
        <v>74</v>
      </c>
      <c r="BH754" t="s">
        <v>74</v>
      </c>
      <c r="BI754">
        <v>18</v>
      </c>
      <c r="BJ754" t="s">
        <v>1945</v>
      </c>
      <c r="BK754" t="s">
        <v>294</v>
      </c>
      <c r="BL754" t="s">
        <v>1945</v>
      </c>
      <c r="BM754" t="s">
        <v>14888</v>
      </c>
      <c r="BN754" t="s">
        <v>74</v>
      </c>
      <c r="BO754" t="s">
        <v>1506</v>
      </c>
      <c r="BP754" t="s">
        <v>74</v>
      </c>
      <c r="BQ754" t="s">
        <v>74</v>
      </c>
      <c r="BR754" t="s">
        <v>108</v>
      </c>
      <c r="BS754" t="s">
        <v>14889</v>
      </c>
      <c r="BT754" t="str">
        <f>HYPERLINK("https%3A%2F%2Fwww.webofscience.com%2Fwos%2Fwoscc%2Ffull-record%2FWOS:000487945100001","View Full Record in Web of Science")</f>
        <v>View Full Record in Web of Science</v>
      </c>
    </row>
    <row r="755" spans="1:72" x14ac:dyDescent="0.15">
      <c r="A755" t="s">
        <v>133</v>
      </c>
      <c r="B755" t="s">
        <v>14890</v>
      </c>
      <c r="C755" t="s">
        <v>74</v>
      </c>
      <c r="D755" t="s">
        <v>74</v>
      </c>
      <c r="E755" t="s">
        <v>74</v>
      </c>
      <c r="F755" t="s">
        <v>14891</v>
      </c>
      <c r="G755" t="s">
        <v>74</v>
      </c>
      <c r="H755" t="s">
        <v>74</v>
      </c>
      <c r="I755" t="s">
        <v>14892</v>
      </c>
      <c r="J755" t="s">
        <v>5765</v>
      </c>
      <c r="K755" t="s">
        <v>74</v>
      </c>
      <c r="L755" t="s">
        <v>74</v>
      </c>
      <c r="M755" t="s">
        <v>80</v>
      </c>
      <c r="N755" t="s">
        <v>138</v>
      </c>
      <c r="O755" t="s">
        <v>74</v>
      </c>
      <c r="P755" t="s">
        <v>74</v>
      </c>
      <c r="Q755" t="s">
        <v>74</v>
      </c>
      <c r="R755" t="s">
        <v>74</v>
      </c>
      <c r="S755" t="s">
        <v>74</v>
      </c>
      <c r="T755" t="s">
        <v>74</v>
      </c>
      <c r="U755" t="s">
        <v>14893</v>
      </c>
      <c r="V755" t="s">
        <v>14894</v>
      </c>
      <c r="W755" t="s">
        <v>14895</v>
      </c>
      <c r="X755" t="s">
        <v>14896</v>
      </c>
      <c r="Y755" t="s">
        <v>14897</v>
      </c>
      <c r="Z755" t="s">
        <v>14898</v>
      </c>
      <c r="AA755" t="s">
        <v>14899</v>
      </c>
      <c r="AB755" t="s">
        <v>14900</v>
      </c>
      <c r="AC755" t="s">
        <v>14901</v>
      </c>
      <c r="AD755" t="s">
        <v>14902</v>
      </c>
      <c r="AE755" t="s">
        <v>14903</v>
      </c>
      <c r="AF755" t="s">
        <v>74</v>
      </c>
      <c r="AG755">
        <v>45</v>
      </c>
      <c r="AH755">
        <v>37</v>
      </c>
      <c r="AI755">
        <v>38</v>
      </c>
      <c r="AJ755">
        <v>1</v>
      </c>
      <c r="AK755">
        <v>29</v>
      </c>
      <c r="AL755" t="s">
        <v>2038</v>
      </c>
      <c r="AM755" t="s">
        <v>1730</v>
      </c>
      <c r="AN755" t="s">
        <v>2039</v>
      </c>
      <c r="AO755" t="s">
        <v>5777</v>
      </c>
      <c r="AP755" t="s">
        <v>5778</v>
      </c>
      <c r="AQ755" t="s">
        <v>74</v>
      </c>
      <c r="AR755" t="s">
        <v>5779</v>
      </c>
      <c r="AS755" t="s">
        <v>5780</v>
      </c>
      <c r="AT755" t="s">
        <v>6987</v>
      </c>
      <c r="AU755">
        <v>2019</v>
      </c>
      <c r="AV755">
        <v>9</v>
      </c>
      <c r="AW755">
        <v>10</v>
      </c>
      <c r="AX755" t="s">
        <v>74</v>
      </c>
      <c r="AY755" t="s">
        <v>74</v>
      </c>
      <c r="AZ755" t="s">
        <v>74</v>
      </c>
      <c r="BA755" t="s">
        <v>74</v>
      </c>
      <c r="BB755">
        <v>742</v>
      </c>
      <c r="BC755" t="s">
        <v>847</v>
      </c>
      <c r="BD755" t="s">
        <v>74</v>
      </c>
      <c r="BE755" t="s">
        <v>14904</v>
      </c>
      <c r="BF755" t="str">
        <f>HYPERLINK("http://dx.doi.org/10.1038/s41558-019-0561-2","http://dx.doi.org/10.1038/s41558-019-0561-2")</f>
        <v>http://dx.doi.org/10.1038/s41558-019-0561-2</v>
      </c>
      <c r="BG755" t="s">
        <v>74</v>
      </c>
      <c r="BH755" t="s">
        <v>74</v>
      </c>
      <c r="BI755">
        <v>7</v>
      </c>
      <c r="BJ755" t="s">
        <v>5782</v>
      </c>
      <c r="BK755" t="s">
        <v>360</v>
      </c>
      <c r="BL755" t="s">
        <v>105</v>
      </c>
      <c r="BM755" t="s">
        <v>14905</v>
      </c>
      <c r="BN755" t="s">
        <v>74</v>
      </c>
      <c r="BO755" t="s">
        <v>789</v>
      </c>
      <c r="BP755" t="s">
        <v>74</v>
      </c>
      <c r="BQ755" t="s">
        <v>74</v>
      </c>
      <c r="BR755" t="s">
        <v>108</v>
      </c>
      <c r="BS755" t="s">
        <v>14906</v>
      </c>
      <c r="BT755" t="str">
        <f>HYPERLINK("https%3A%2F%2Fwww.webofscience.com%2Fwos%2Fwoscc%2Ffull-record%2FWOS:000487830200013","View Full Record in Web of Science")</f>
        <v>View Full Record in Web of Science</v>
      </c>
    </row>
    <row r="756" spans="1:72" x14ac:dyDescent="0.15">
      <c r="A756" t="s">
        <v>133</v>
      </c>
      <c r="B756" t="s">
        <v>14907</v>
      </c>
      <c r="C756" t="s">
        <v>74</v>
      </c>
      <c r="D756" t="s">
        <v>74</v>
      </c>
      <c r="E756" t="s">
        <v>74</v>
      </c>
      <c r="F756" t="s">
        <v>14908</v>
      </c>
      <c r="G756" t="s">
        <v>74</v>
      </c>
      <c r="H756" t="s">
        <v>74</v>
      </c>
      <c r="I756" t="s">
        <v>14909</v>
      </c>
      <c r="J756" t="s">
        <v>5765</v>
      </c>
      <c r="K756" t="s">
        <v>74</v>
      </c>
      <c r="L756" t="s">
        <v>74</v>
      </c>
      <c r="M756" t="s">
        <v>80</v>
      </c>
      <c r="N756" t="s">
        <v>138</v>
      </c>
      <c r="O756" t="s">
        <v>74</v>
      </c>
      <c r="P756" t="s">
        <v>74</v>
      </c>
      <c r="Q756" t="s">
        <v>74</v>
      </c>
      <c r="R756" t="s">
        <v>74</v>
      </c>
      <c r="S756" t="s">
        <v>74</v>
      </c>
      <c r="T756" t="s">
        <v>74</v>
      </c>
      <c r="U756" t="s">
        <v>14910</v>
      </c>
      <c r="V756" t="s">
        <v>14911</v>
      </c>
      <c r="W756" t="s">
        <v>14912</v>
      </c>
      <c r="X756" t="s">
        <v>14913</v>
      </c>
      <c r="Y756" t="s">
        <v>14914</v>
      </c>
      <c r="Z756" t="s">
        <v>14915</v>
      </c>
      <c r="AA756" t="s">
        <v>14916</v>
      </c>
      <c r="AB756" t="s">
        <v>14917</v>
      </c>
      <c r="AC756" t="s">
        <v>14918</v>
      </c>
      <c r="AD756" t="s">
        <v>14919</v>
      </c>
      <c r="AE756" t="s">
        <v>14920</v>
      </c>
      <c r="AF756" t="s">
        <v>74</v>
      </c>
      <c r="AG756">
        <v>69</v>
      </c>
      <c r="AH756">
        <v>58</v>
      </c>
      <c r="AI756">
        <v>61</v>
      </c>
      <c r="AJ756">
        <v>8</v>
      </c>
      <c r="AK756">
        <v>104</v>
      </c>
      <c r="AL756" t="s">
        <v>2038</v>
      </c>
      <c r="AM756" t="s">
        <v>1730</v>
      </c>
      <c r="AN756" t="s">
        <v>2039</v>
      </c>
      <c r="AO756" t="s">
        <v>5777</v>
      </c>
      <c r="AP756" t="s">
        <v>5778</v>
      </c>
      <c r="AQ756" t="s">
        <v>74</v>
      </c>
      <c r="AR756" t="s">
        <v>5779</v>
      </c>
      <c r="AS756" t="s">
        <v>5780</v>
      </c>
      <c r="AT756" t="s">
        <v>6987</v>
      </c>
      <c r="AU756">
        <v>2019</v>
      </c>
      <c r="AV756">
        <v>9</v>
      </c>
      <c r="AW756">
        <v>10</v>
      </c>
      <c r="AX756" t="s">
        <v>74</v>
      </c>
      <c r="AY756" t="s">
        <v>74</v>
      </c>
      <c r="AZ756" t="s">
        <v>74</v>
      </c>
      <c r="BA756" t="s">
        <v>74</v>
      </c>
      <c r="BB756">
        <v>781</v>
      </c>
      <c r="BC756" t="s">
        <v>847</v>
      </c>
      <c r="BD756" t="s">
        <v>74</v>
      </c>
      <c r="BE756" t="s">
        <v>14921</v>
      </c>
      <c r="BF756" t="str">
        <f>HYPERLINK("http://dx.doi.org/10.1038/s41558-019-0557-y","http://dx.doi.org/10.1038/s41558-019-0557-y")</f>
        <v>http://dx.doi.org/10.1038/s41558-019-0557-y</v>
      </c>
      <c r="BG756" t="s">
        <v>74</v>
      </c>
      <c r="BH756" t="s">
        <v>74</v>
      </c>
      <c r="BI756">
        <v>8</v>
      </c>
      <c r="BJ756" t="s">
        <v>5782</v>
      </c>
      <c r="BK756" t="s">
        <v>360</v>
      </c>
      <c r="BL756" t="s">
        <v>105</v>
      </c>
      <c r="BM756" t="s">
        <v>14905</v>
      </c>
      <c r="BN756" t="s">
        <v>74</v>
      </c>
      <c r="BO756" t="s">
        <v>666</v>
      </c>
      <c r="BP756" t="s">
        <v>74</v>
      </c>
      <c r="BQ756" t="s">
        <v>74</v>
      </c>
      <c r="BR756" t="s">
        <v>108</v>
      </c>
      <c r="BS756" t="s">
        <v>14922</v>
      </c>
      <c r="BT756" t="str">
        <f>HYPERLINK("https%3A%2F%2Fwww.webofscience.com%2Fwos%2Fwoscc%2Ffull-record%2FWOS:000487830200020","View Full Record in Web of Science")</f>
        <v>View Full Record in Web of Science</v>
      </c>
    </row>
    <row r="757" spans="1:72" x14ac:dyDescent="0.15">
      <c r="A757" t="s">
        <v>133</v>
      </c>
      <c r="B757" t="s">
        <v>14923</v>
      </c>
      <c r="C757" t="s">
        <v>74</v>
      </c>
      <c r="D757" t="s">
        <v>74</v>
      </c>
      <c r="E757" t="s">
        <v>74</v>
      </c>
      <c r="F757" t="s">
        <v>14924</v>
      </c>
      <c r="G757" t="s">
        <v>74</v>
      </c>
      <c r="H757" t="s">
        <v>74</v>
      </c>
      <c r="I757" t="s">
        <v>14925</v>
      </c>
      <c r="J757" t="s">
        <v>14926</v>
      </c>
      <c r="K757" t="s">
        <v>74</v>
      </c>
      <c r="L757" t="s">
        <v>74</v>
      </c>
      <c r="M757" t="s">
        <v>80</v>
      </c>
      <c r="N757" t="s">
        <v>138</v>
      </c>
      <c r="O757" t="s">
        <v>74</v>
      </c>
      <c r="P757" t="s">
        <v>74</v>
      </c>
      <c r="Q757" t="s">
        <v>74</v>
      </c>
      <c r="R757" t="s">
        <v>74</v>
      </c>
      <c r="S757" t="s">
        <v>74</v>
      </c>
      <c r="T757" t="s">
        <v>14927</v>
      </c>
      <c r="U757" t="s">
        <v>14928</v>
      </c>
      <c r="V757" t="s">
        <v>14929</v>
      </c>
      <c r="W757" t="s">
        <v>14930</v>
      </c>
      <c r="X757" t="s">
        <v>14931</v>
      </c>
      <c r="Y757" t="s">
        <v>14932</v>
      </c>
      <c r="Z757" t="s">
        <v>14933</v>
      </c>
      <c r="AA757" t="s">
        <v>14934</v>
      </c>
      <c r="AB757" t="s">
        <v>14935</v>
      </c>
      <c r="AC757" t="s">
        <v>14936</v>
      </c>
      <c r="AD757" t="s">
        <v>14937</v>
      </c>
      <c r="AE757" t="s">
        <v>14938</v>
      </c>
      <c r="AF757" t="s">
        <v>74</v>
      </c>
      <c r="AG757">
        <v>33</v>
      </c>
      <c r="AH757">
        <v>9</v>
      </c>
      <c r="AI757">
        <v>9</v>
      </c>
      <c r="AJ757">
        <v>0</v>
      </c>
      <c r="AK757">
        <v>4</v>
      </c>
      <c r="AL757" t="s">
        <v>1964</v>
      </c>
      <c r="AM757" t="s">
        <v>1965</v>
      </c>
      <c r="AN757" t="s">
        <v>3452</v>
      </c>
      <c r="AO757" t="s">
        <v>14939</v>
      </c>
      <c r="AP757" t="s">
        <v>14940</v>
      </c>
      <c r="AQ757" t="s">
        <v>74</v>
      </c>
      <c r="AR757" t="s">
        <v>14941</v>
      </c>
      <c r="AS757" t="s">
        <v>14942</v>
      </c>
      <c r="AT757" t="s">
        <v>6987</v>
      </c>
      <c r="AU757">
        <v>2019</v>
      </c>
      <c r="AV757">
        <v>118</v>
      </c>
      <c r="AW757">
        <v>10</v>
      </c>
      <c r="AX757" t="s">
        <v>74</v>
      </c>
      <c r="AY757" t="s">
        <v>74</v>
      </c>
      <c r="AZ757" t="s">
        <v>74</v>
      </c>
      <c r="BA757" t="s">
        <v>74</v>
      </c>
      <c r="BB757">
        <v>2811</v>
      </c>
      <c r="BC757">
        <v>2817</v>
      </c>
      <c r="BD757" t="s">
        <v>74</v>
      </c>
      <c r="BE757" t="s">
        <v>14943</v>
      </c>
      <c r="BF757" t="str">
        <f>HYPERLINK("http://dx.doi.org/10.1007/s00436-019-06441-4","http://dx.doi.org/10.1007/s00436-019-06441-4")</f>
        <v>http://dx.doi.org/10.1007/s00436-019-06441-4</v>
      </c>
      <c r="BG757" t="s">
        <v>74</v>
      </c>
      <c r="BH757" t="s">
        <v>74</v>
      </c>
      <c r="BI757">
        <v>7</v>
      </c>
      <c r="BJ757" t="s">
        <v>14944</v>
      </c>
      <c r="BK757" t="s">
        <v>294</v>
      </c>
      <c r="BL757" t="s">
        <v>14944</v>
      </c>
      <c r="BM757" t="s">
        <v>14945</v>
      </c>
      <c r="BN757">
        <v>31493065</v>
      </c>
      <c r="BO757" t="s">
        <v>2403</v>
      </c>
      <c r="BP757" t="s">
        <v>74</v>
      </c>
      <c r="BQ757" t="s">
        <v>74</v>
      </c>
      <c r="BR757" t="s">
        <v>108</v>
      </c>
      <c r="BS757" t="s">
        <v>14946</v>
      </c>
      <c r="BT757" t="str">
        <f>HYPERLINK("https%3A%2F%2Fwww.webofscience.com%2Fwos%2Fwoscc%2Ffull-record%2FWOS:000487313500008","View Full Record in Web of Science")</f>
        <v>View Full Record in Web of Science</v>
      </c>
    </row>
    <row r="758" spans="1:72" x14ac:dyDescent="0.15">
      <c r="A758" t="s">
        <v>133</v>
      </c>
      <c r="B758" t="s">
        <v>14947</v>
      </c>
      <c r="C758" t="s">
        <v>74</v>
      </c>
      <c r="D758" t="s">
        <v>74</v>
      </c>
      <c r="E758" t="s">
        <v>74</v>
      </c>
      <c r="F758" t="s">
        <v>14948</v>
      </c>
      <c r="G758" t="s">
        <v>74</v>
      </c>
      <c r="H758" t="s">
        <v>74</v>
      </c>
      <c r="I758" t="s">
        <v>14949</v>
      </c>
      <c r="J758" t="s">
        <v>6037</v>
      </c>
      <c r="K758" t="s">
        <v>74</v>
      </c>
      <c r="L758" t="s">
        <v>74</v>
      </c>
      <c r="M758" t="s">
        <v>80</v>
      </c>
      <c r="N758" t="s">
        <v>138</v>
      </c>
      <c r="O758" t="s">
        <v>74</v>
      </c>
      <c r="P758" t="s">
        <v>74</v>
      </c>
      <c r="Q758" t="s">
        <v>74</v>
      </c>
      <c r="R758" t="s">
        <v>74</v>
      </c>
      <c r="S758" t="s">
        <v>74</v>
      </c>
      <c r="T758" t="s">
        <v>14950</v>
      </c>
      <c r="U758" t="s">
        <v>14951</v>
      </c>
      <c r="V758" t="s">
        <v>14952</v>
      </c>
      <c r="W758" t="s">
        <v>14953</v>
      </c>
      <c r="X758" t="s">
        <v>14954</v>
      </c>
      <c r="Y758" t="s">
        <v>14955</v>
      </c>
      <c r="Z758" t="s">
        <v>14956</v>
      </c>
      <c r="AA758" t="s">
        <v>14957</v>
      </c>
      <c r="AB758" t="s">
        <v>14958</v>
      </c>
      <c r="AC758" t="s">
        <v>14959</v>
      </c>
      <c r="AD758" t="s">
        <v>14960</v>
      </c>
      <c r="AE758" t="s">
        <v>14961</v>
      </c>
      <c r="AF758" t="s">
        <v>74</v>
      </c>
      <c r="AG758">
        <v>55</v>
      </c>
      <c r="AH758">
        <v>6</v>
      </c>
      <c r="AI758">
        <v>6</v>
      </c>
      <c r="AJ758">
        <v>0</v>
      </c>
      <c r="AK758">
        <v>9</v>
      </c>
      <c r="AL758" t="s">
        <v>1964</v>
      </c>
      <c r="AM758" t="s">
        <v>4096</v>
      </c>
      <c r="AN758" t="s">
        <v>4097</v>
      </c>
      <c r="AO758" t="s">
        <v>6050</v>
      </c>
      <c r="AP758" t="s">
        <v>6051</v>
      </c>
      <c r="AQ758" t="s">
        <v>74</v>
      </c>
      <c r="AR758" t="s">
        <v>6052</v>
      </c>
      <c r="AS758" t="s">
        <v>6053</v>
      </c>
      <c r="AT758" t="s">
        <v>6987</v>
      </c>
      <c r="AU758">
        <v>2019</v>
      </c>
      <c r="AV758">
        <v>112</v>
      </c>
      <c r="AW758">
        <v>10</v>
      </c>
      <c r="AX758" t="s">
        <v>74</v>
      </c>
      <c r="AY758" t="s">
        <v>74</v>
      </c>
      <c r="AZ758" t="s">
        <v>74</v>
      </c>
      <c r="BA758" t="s">
        <v>74</v>
      </c>
      <c r="BB758">
        <v>1465</v>
      </c>
      <c r="BC758">
        <v>1475</v>
      </c>
      <c r="BD758" t="s">
        <v>74</v>
      </c>
      <c r="BE758" t="s">
        <v>14962</v>
      </c>
      <c r="BF758" t="str">
        <f>HYPERLINK("http://dx.doi.org/10.1007/s10482-019-01275-7","http://dx.doi.org/10.1007/s10482-019-01275-7")</f>
        <v>http://dx.doi.org/10.1007/s10482-019-01275-7</v>
      </c>
      <c r="BG758" t="s">
        <v>74</v>
      </c>
      <c r="BH758" t="s">
        <v>74</v>
      </c>
      <c r="BI758">
        <v>11</v>
      </c>
      <c r="BJ758" t="s">
        <v>1713</v>
      </c>
      <c r="BK758" t="s">
        <v>294</v>
      </c>
      <c r="BL758" t="s">
        <v>1713</v>
      </c>
      <c r="BM758" t="s">
        <v>14963</v>
      </c>
      <c r="BN758">
        <v>31119412</v>
      </c>
      <c r="BO758" t="s">
        <v>74</v>
      </c>
      <c r="BP758" t="s">
        <v>74</v>
      </c>
      <c r="BQ758" t="s">
        <v>74</v>
      </c>
      <c r="BR758" t="s">
        <v>108</v>
      </c>
      <c r="BS758" t="s">
        <v>14964</v>
      </c>
      <c r="BT758" t="str">
        <f>HYPERLINK("https%3A%2F%2Fwww.webofscience.com%2Fwos%2Fwoscc%2Ffull-record%2FWOS:000487039400005","View Full Record in Web of Science")</f>
        <v>View Full Record in Web of Science</v>
      </c>
    </row>
    <row r="759" spans="1:72" x14ac:dyDescent="0.15">
      <c r="A759" t="s">
        <v>133</v>
      </c>
      <c r="B759" t="s">
        <v>14965</v>
      </c>
      <c r="C759" t="s">
        <v>74</v>
      </c>
      <c r="D759" t="s">
        <v>74</v>
      </c>
      <c r="E759" t="s">
        <v>74</v>
      </c>
      <c r="F759" t="s">
        <v>14966</v>
      </c>
      <c r="G759" t="s">
        <v>74</v>
      </c>
      <c r="H759" t="s">
        <v>74</v>
      </c>
      <c r="I759" t="s">
        <v>14967</v>
      </c>
      <c r="J759" t="s">
        <v>14968</v>
      </c>
      <c r="K759" t="s">
        <v>74</v>
      </c>
      <c r="L759" t="s">
        <v>74</v>
      </c>
      <c r="M759" t="s">
        <v>80</v>
      </c>
      <c r="N759" t="s">
        <v>138</v>
      </c>
      <c r="O759" t="s">
        <v>74</v>
      </c>
      <c r="P759" t="s">
        <v>74</v>
      </c>
      <c r="Q759" t="s">
        <v>74</v>
      </c>
      <c r="R759" t="s">
        <v>74</v>
      </c>
      <c r="S759" t="s">
        <v>74</v>
      </c>
      <c r="T759" t="s">
        <v>14969</v>
      </c>
      <c r="U759" t="s">
        <v>14970</v>
      </c>
      <c r="V759" t="s">
        <v>14971</v>
      </c>
      <c r="W759" t="s">
        <v>14972</v>
      </c>
      <c r="X759" t="s">
        <v>14973</v>
      </c>
      <c r="Y759" t="s">
        <v>14974</v>
      </c>
      <c r="Z759" t="s">
        <v>14975</v>
      </c>
      <c r="AA759" t="s">
        <v>14976</v>
      </c>
      <c r="AB759" t="s">
        <v>14977</v>
      </c>
      <c r="AC759" t="s">
        <v>14978</v>
      </c>
      <c r="AD759" t="s">
        <v>14979</v>
      </c>
      <c r="AE759" t="s">
        <v>14980</v>
      </c>
      <c r="AF759" t="s">
        <v>74</v>
      </c>
      <c r="AG759">
        <v>66</v>
      </c>
      <c r="AH759">
        <v>4</v>
      </c>
      <c r="AI759">
        <v>4</v>
      </c>
      <c r="AJ759">
        <v>0</v>
      </c>
      <c r="AK759">
        <v>2</v>
      </c>
      <c r="AL759" t="s">
        <v>3965</v>
      </c>
      <c r="AM759" t="s">
        <v>3966</v>
      </c>
      <c r="AN759" t="s">
        <v>3967</v>
      </c>
      <c r="AO759" t="s">
        <v>14981</v>
      </c>
      <c r="AP759" t="s">
        <v>14982</v>
      </c>
      <c r="AQ759" t="s">
        <v>74</v>
      </c>
      <c r="AR759" t="s">
        <v>14983</v>
      </c>
      <c r="AS759" t="s">
        <v>14984</v>
      </c>
      <c r="AT759" t="s">
        <v>14412</v>
      </c>
      <c r="AU759">
        <v>2019</v>
      </c>
      <c r="AV759">
        <v>180</v>
      </c>
      <c r="AW759">
        <v>8</v>
      </c>
      <c r="AX759" t="s">
        <v>74</v>
      </c>
      <c r="AY759" t="s">
        <v>74</v>
      </c>
      <c r="AZ759" t="s">
        <v>74</v>
      </c>
      <c r="BA759" t="s">
        <v>74</v>
      </c>
      <c r="BB759">
        <v>882</v>
      </c>
      <c r="BC759">
        <v>891</v>
      </c>
      <c r="BD759" t="s">
        <v>74</v>
      </c>
      <c r="BE759" t="s">
        <v>14985</v>
      </c>
      <c r="BF759" t="str">
        <f>HYPERLINK("http://dx.doi.org/10.1086/704832","http://dx.doi.org/10.1086/704832")</f>
        <v>http://dx.doi.org/10.1086/704832</v>
      </c>
      <c r="BG759" t="s">
        <v>74</v>
      </c>
      <c r="BH759" t="s">
        <v>74</v>
      </c>
      <c r="BI759">
        <v>10</v>
      </c>
      <c r="BJ759" t="s">
        <v>6734</v>
      </c>
      <c r="BK759" t="s">
        <v>294</v>
      </c>
      <c r="BL759" t="s">
        <v>6734</v>
      </c>
      <c r="BM759" t="s">
        <v>14986</v>
      </c>
      <c r="BN759" t="s">
        <v>74</v>
      </c>
      <c r="BO759" t="s">
        <v>74</v>
      </c>
      <c r="BP759" t="s">
        <v>74</v>
      </c>
      <c r="BQ759" t="s">
        <v>74</v>
      </c>
      <c r="BR759" t="s">
        <v>108</v>
      </c>
      <c r="BS759" t="s">
        <v>14987</v>
      </c>
      <c r="BT759" t="str">
        <f>HYPERLINK("https%3A%2F%2Fwww.webofscience.com%2Fwos%2Fwoscc%2Ffull-record%2FWOS:000487116000006","View Full Record in Web of Science")</f>
        <v>View Full Record in Web of Science</v>
      </c>
    </row>
    <row r="760" spans="1:72" x14ac:dyDescent="0.15">
      <c r="A760" t="s">
        <v>133</v>
      </c>
      <c r="B760" t="s">
        <v>14988</v>
      </c>
      <c r="C760" t="s">
        <v>74</v>
      </c>
      <c r="D760" t="s">
        <v>74</v>
      </c>
      <c r="E760" t="s">
        <v>74</v>
      </c>
      <c r="F760" t="s">
        <v>14989</v>
      </c>
      <c r="G760" t="s">
        <v>74</v>
      </c>
      <c r="H760" t="s">
        <v>74</v>
      </c>
      <c r="I760" t="s">
        <v>14990</v>
      </c>
      <c r="J760" t="s">
        <v>1003</v>
      </c>
      <c r="K760" t="s">
        <v>74</v>
      </c>
      <c r="L760" t="s">
        <v>74</v>
      </c>
      <c r="M760" t="s">
        <v>80</v>
      </c>
      <c r="N760" t="s">
        <v>138</v>
      </c>
      <c r="O760" t="s">
        <v>74</v>
      </c>
      <c r="P760" t="s">
        <v>74</v>
      </c>
      <c r="Q760" t="s">
        <v>74</v>
      </c>
      <c r="R760" t="s">
        <v>74</v>
      </c>
      <c r="S760" t="s">
        <v>74</v>
      </c>
      <c r="T760" t="s">
        <v>14991</v>
      </c>
      <c r="U760" t="s">
        <v>14992</v>
      </c>
      <c r="V760" t="s">
        <v>14993</v>
      </c>
      <c r="W760" t="s">
        <v>14994</v>
      </c>
      <c r="X760" t="s">
        <v>14995</v>
      </c>
      <c r="Y760" t="s">
        <v>14996</v>
      </c>
      <c r="Z760" t="s">
        <v>14997</v>
      </c>
      <c r="AA760" t="s">
        <v>14998</v>
      </c>
      <c r="AB760" t="s">
        <v>14999</v>
      </c>
      <c r="AC760" t="s">
        <v>15000</v>
      </c>
      <c r="AD760" t="s">
        <v>15001</v>
      </c>
      <c r="AE760" t="s">
        <v>15002</v>
      </c>
      <c r="AF760" t="s">
        <v>74</v>
      </c>
      <c r="AG760">
        <v>82</v>
      </c>
      <c r="AH760">
        <v>51</v>
      </c>
      <c r="AI760">
        <v>54</v>
      </c>
      <c r="AJ760">
        <v>3</v>
      </c>
      <c r="AK760">
        <v>47</v>
      </c>
      <c r="AL760" t="s">
        <v>1016</v>
      </c>
      <c r="AM760" t="s">
        <v>1017</v>
      </c>
      <c r="AN760" t="s">
        <v>4703</v>
      </c>
      <c r="AO760" t="s">
        <v>1019</v>
      </c>
      <c r="AP760" t="s">
        <v>1020</v>
      </c>
      <c r="AQ760" t="s">
        <v>74</v>
      </c>
      <c r="AR760" t="s">
        <v>1021</v>
      </c>
      <c r="AS760" t="s">
        <v>1022</v>
      </c>
      <c r="AT760" t="s">
        <v>6987</v>
      </c>
      <c r="AU760">
        <v>2019</v>
      </c>
      <c r="AV760">
        <v>32</v>
      </c>
      <c r="AW760">
        <v>20</v>
      </c>
      <c r="AX760" t="s">
        <v>74</v>
      </c>
      <c r="AY760" t="s">
        <v>74</v>
      </c>
      <c r="AZ760" t="s">
        <v>74</v>
      </c>
      <c r="BA760" t="s">
        <v>74</v>
      </c>
      <c r="BB760">
        <v>6875</v>
      </c>
      <c r="BC760">
        <v>6898</v>
      </c>
      <c r="BD760" t="s">
        <v>74</v>
      </c>
      <c r="BE760" t="s">
        <v>15003</v>
      </c>
      <c r="BF760" t="str">
        <f>HYPERLINK("http://dx.doi.org/10.1175/JCLI-D-18-0565.1","http://dx.doi.org/10.1175/JCLI-D-18-0565.1")</f>
        <v>http://dx.doi.org/10.1175/JCLI-D-18-0565.1</v>
      </c>
      <c r="BG760" t="s">
        <v>74</v>
      </c>
      <c r="BH760" t="s">
        <v>74</v>
      </c>
      <c r="BI760">
        <v>24</v>
      </c>
      <c r="BJ760" t="s">
        <v>1024</v>
      </c>
      <c r="BK760" t="s">
        <v>294</v>
      </c>
      <c r="BL760" t="s">
        <v>1024</v>
      </c>
      <c r="BM760" t="s">
        <v>15004</v>
      </c>
      <c r="BN760" t="s">
        <v>74</v>
      </c>
      <c r="BO760" t="s">
        <v>588</v>
      </c>
      <c r="BP760" t="s">
        <v>74</v>
      </c>
      <c r="BQ760" t="s">
        <v>74</v>
      </c>
      <c r="BR760" t="s">
        <v>108</v>
      </c>
      <c r="BS760" t="s">
        <v>15005</v>
      </c>
      <c r="BT760" t="str">
        <f>HYPERLINK("https%3A%2F%2Fwww.webofscience.com%2Fwos%2Fwoscc%2Ffull-record%2FWOS:000486261000001","View Full Record in Web of Science")</f>
        <v>View Full Record in Web of Science</v>
      </c>
    </row>
    <row r="761" spans="1:72" x14ac:dyDescent="0.15">
      <c r="A761" t="s">
        <v>133</v>
      </c>
      <c r="B761" t="s">
        <v>15006</v>
      </c>
      <c r="C761" t="s">
        <v>74</v>
      </c>
      <c r="D761" t="s">
        <v>74</v>
      </c>
      <c r="E761" t="s">
        <v>74</v>
      </c>
      <c r="F761" t="s">
        <v>15007</v>
      </c>
      <c r="G761" t="s">
        <v>74</v>
      </c>
      <c r="H761" t="s">
        <v>74</v>
      </c>
      <c r="I761" t="s">
        <v>15008</v>
      </c>
      <c r="J761" t="s">
        <v>1003</v>
      </c>
      <c r="K761" t="s">
        <v>74</v>
      </c>
      <c r="L761" t="s">
        <v>74</v>
      </c>
      <c r="M761" t="s">
        <v>80</v>
      </c>
      <c r="N761" t="s">
        <v>138</v>
      </c>
      <c r="O761" t="s">
        <v>74</v>
      </c>
      <c r="P761" t="s">
        <v>74</v>
      </c>
      <c r="Q761" t="s">
        <v>74</v>
      </c>
      <c r="R761" t="s">
        <v>74</v>
      </c>
      <c r="S761" t="s">
        <v>74</v>
      </c>
      <c r="T761" t="s">
        <v>15009</v>
      </c>
      <c r="U761" t="s">
        <v>15010</v>
      </c>
      <c r="V761" t="s">
        <v>15011</v>
      </c>
      <c r="W761" t="s">
        <v>15012</v>
      </c>
      <c r="X761" t="s">
        <v>15013</v>
      </c>
      <c r="Y761" t="s">
        <v>15014</v>
      </c>
      <c r="Z761" t="s">
        <v>15015</v>
      </c>
      <c r="AA761" t="s">
        <v>15016</v>
      </c>
      <c r="AB761" t="s">
        <v>15017</v>
      </c>
      <c r="AC761" t="s">
        <v>15018</v>
      </c>
      <c r="AD761" t="s">
        <v>15019</v>
      </c>
      <c r="AE761" t="s">
        <v>15020</v>
      </c>
      <c r="AF761" t="s">
        <v>74</v>
      </c>
      <c r="AG761">
        <v>43</v>
      </c>
      <c r="AH761">
        <v>78</v>
      </c>
      <c r="AI761">
        <v>85</v>
      </c>
      <c r="AJ761">
        <v>3</v>
      </c>
      <c r="AK761">
        <v>27</v>
      </c>
      <c r="AL761" t="s">
        <v>1016</v>
      </c>
      <c r="AM761" t="s">
        <v>1017</v>
      </c>
      <c r="AN761" t="s">
        <v>4703</v>
      </c>
      <c r="AO761" t="s">
        <v>1019</v>
      </c>
      <c r="AP761" t="s">
        <v>1020</v>
      </c>
      <c r="AQ761" t="s">
        <v>74</v>
      </c>
      <c r="AR761" t="s">
        <v>1021</v>
      </c>
      <c r="AS761" t="s">
        <v>1022</v>
      </c>
      <c r="AT761" t="s">
        <v>6987</v>
      </c>
      <c r="AU761">
        <v>2019</v>
      </c>
      <c r="AV761">
        <v>32</v>
      </c>
      <c r="AW761">
        <v>20</v>
      </c>
      <c r="AX761" t="s">
        <v>74</v>
      </c>
      <c r="AY761" t="s">
        <v>74</v>
      </c>
      <c r="AZ761" t="s">
        <v>74</v>
      </c>
      <c r="BA761" t="s">
        <v>74</v>
      </c>
      <c r="BB761">
        <v>6899</v>
      </c>
      <c r="BC761">
        <v>6915</v>
      </c>
      <c r="BD761" t="s">
        <v>74</v>
      </c>
      <c r="BE761" t="s">
        <v>15021</v>
      </c>
      <c r="BF761" t="str">
        <f>HYPERLINK("http://dx.doi.org/10.1175/JCLI-D-19-0030.1","http://dx.doi.org/10.1175/JCLI-D-19-0030.1")</f>
        <v>http://dx.doi.org/10.1175/JCLI-D-19-0030.1</v>
      </c>
      <c r="BG761" t="s">
        <v>74</v>
      </c>
      <c r="BH761" t="s">
        <v>74</v>
      </c>
      <c r="BI761">
        <v>17</v>
      </c>
      <c r="BJ761" t="s">
        <v>1024</v>
      </c>
      <c r="BK761" t="s">
        <v>294</v>
      </c>
      <c r="BL761" t="s">
        <v>1024</v>
      </c>
      <c r="BM761" t="s">
        <v>15004</v>
      </c>
      <c r="BN761" t="s">
        <v>74</v>
      </c>
      <c r="BO761" t="s">
        <v>439</v>
      </c>
      <c r="BP761" t="s">
        <v>74</v>
      </c>
      <c r="BQ761" t="s">
        <v>74</v>
      </c>
      <c r="BR761" t="s">
        <v>108</v>
      </c>
      <c r="BS761" t="s">
        <v>15022</v>
      </c>
      <c r="BT761" t="str">
        <f>HYPERLINK("https%3A%2F%2Fwww.webofscience.com%2Fwos%2Fwoscc%2Ffull-record%2FWOS:000486261000002","View Full Record in Web of Science")</f>
        <v>View Full Record in Web of Science</v>
      </c>
    </row>
    <row r="762" spans="1:72" x14ac:dyDescent="0.15">
      <c r="A762" t="s">
        <v>133</v>
      </c>
      <c r="B762" t="s">
        <v>15023</v>
      </c>
      <c r="C762" t="s">
        <v>74</v>
      </c>
      <c r="D762" t="s">
        <v>74</v>
      </c>
      <c r="E762" t="s">
        <v>74</v>
      </c>
      <c r="F762" t="s">
        <v>15024</v>
      </c>
      <c r="G762" t="s">
        <v>74</v>
      </c>
      <c r="H762" t="s">
        <v>74</v>
      </c>
      <c r="I762" t="s">
        <v>15025</v>
      </c>
      <c r="J762" t="s">
        <v>15026</v>
      </c>
      <c r="K762" t="s">
        <v>74</v>
      </c>
      <c r="L762" t="s">
        <v>74</v>
      </c>
      <c r="M762" t="s">
        <v>80</v>
      </c>
      <c r="N762" t="s">
        <v>138</v>
      </c>
      <c r="O762" t="s">
        <v>74</v>
      </c>
      <c r="P762" t="s">
        <v>74</v>
      </c>
      <c r="Q762" t="s">
        <v>74</v>
      </c>
      <c r="R762" t="s">
        <v>74</v>
      </c>
      <c r="S762" t="s">
        <v>74</v>
      </c>
      <c r="T762" t="s">
        <v>15027</v>
      </c>
      <c r="U762" t="s">
        <v>15028</v>
      </c>
      <c r="V762" t="s">
        <v>15029</v>
      </c>
      <c r="W762" t="s">
        <v>15030</v>
      </c>
      <c r="X762" t="s">
        <v>15031</v>
      </c>
      <c r="Y762" t="s">
        <v>15032</v>
      </c>
      <c r="Z762" t="s">
        <v>15033</v>
      </c>
      <c r="AA762" t="s">
        <v>15034</v>
      </c>
      <c r="AB762" t="s">
        <v>15035</v>
      </c>
      <c r="AC762" t="s">
        <v>15036</v>
      </c>
      <c r="AD762" t="s">
        <v>15036</v>
      </c>
      <c r="AE762" t="s">
        <v>15037</v>
      </c>
      <c r="AF762" t="s">
        <v>74</v>
      </c>
      <c r="AG762">
        <v>37</v>
      </c>
      <c r="AH762">
        <v>3</v>
      </c>
      <c r="AI762">
        <v>4</v>
      </c>
      <c r="AJ762">
        <v>0</v>
      </c>
      <c r="AK762">
        <v>12</v>
      </c>
      <c r="AL762" t="s">
        <v>284</v>
      </c>
      <c r="AM762" t="s">
        <v>285</v>
      </c>
      <c r="AN762" t="s">
        <v>286</v>
      </c>
      <c r="AO762" t="s">
        <v>15038</v>
      </c>
      <c r="AP762" t="s">
        <v>15039</v>
      </c>
      <c r="AQ762" t="s">
        <v>74</v>
      </c>
      <c r="AR762" t="s">
        <v>15040</v>
      </c>
      <c r="AS762" t="s">
        <v>15041</v>
      </c>
      <c r="AT762" t="s">
        <v>6987</v>
      </c>
      <c r="AU762">
        <v>2019</v>
      </c>
      <c r="AV762">
        <v>152</v>
      </c>
      <c r="AW762" t="s">
        <v>74</v>
      </c>
      <c r="AX762" t="s">
        <v>74</v>
      </c>
      <c r="AY762" t="s">
        <v>74</v>
      </c>
      <c r="AZ762" t="s">
        <v>74</v>
      </c>
      <c r="BA762" t="s">
        <v>74</v>
      </c>
      <c r="BB762" t="s">
        <v>74</v>
      </c>
      <c r="BC762" t="s">
        <v>74</v>
      </c>
      <c r="BD762">
        <v>101762</v>
      </c>
      <c r="BE762" t="s">
        <v>15042</v>
      </c>
      <c r="BF762" t="str">
        <f>HYPERLINK("http://dx.doi.org/10.1016/j.seares.2019.05.004","http://dx.doi.org/10.1016/j.seares.2019.05.004")</f>
        <v>http://dx.doi.org/10.1016/j.seares.2019.05.004</v>
      </c>
      <c r="BG762" t="s">
        <v>74</v>
      </c>
      <c r="BH762" t="s">
        <v>74</v>
      </c>
      <c r="BI762">
        <v>9</v>
      </c>
      <c r="BJ762" t="s">
        <v>1814</v>
      </c>
      <c r="BK762" t="s">
        <v>294</v>
      </c>
      <c r="BL762" t="s">
        <v>1814</v>
      </c>
      <c r="BM762" t="s">
        <v>15043</v>
      </c>
      <c r="BN762" t="s">
        <v>74</v>
      </c>
      <c r="BO762" t="s">
        <v>74</v>
      </c>
      <c r="BP762" t="s">
        <v>74</v>
      </c>
      <c r="BQ762" t="s">
        <v>74</v>
      </c>
      <c r="BR762" t="s">
        <v>108</v>
      </c>
      <c r="BS762" t="s">
        <v>15044</v>
      </c>
      <c r="BT762" t="str">
        <f>HYPERLINK("https%3A%2F%2Fwww.webofscience.com%2Fwos%2Fwoscc%2Ffull-record%2FWOS:000486358800001","View Full Record in Web of Science")</f>
        <v>View Full Record in Web of Science</v>
      </c>
    </row>
    <row r="763" spans="1:72" x14ac:dyDescent="0.15">
      <c r="A763" t="s">
        <v>133</v>
      </c>
      <c r="B763" t="s">
        <v>15045</v>
      </c>
      <c r="C763" t="s">
        <v>74</v>
      </c>
      <c r="D763" t="s">
        <v>74</v>
      </c>
      <c r="E763" t="s">
        <v>74</v>
      </c>
      <c r="F763" t="s">
        <v>15046</v>
      </c>
      <c r="G763" t="s">
        <v>74</v>
      </c>
      <c r="H763" t="s">
        <v>74</v>
      </c>
      <c r="I763" t="s">
        <v>15047</v>
      </c>
      <c r="J763" t="s">
        <v>15048</v>
      </c>
      <c r="K763" t="s">
        <v>74</v>
      </c>
      <c r="L763" t="s">
        <v>74</v>
      </c>
      <c r="M763" t="s">
        <v>80</v>
      </c>
      <c r="N763" t="s">
        <v>138</v>
      </c>
      <c r="O763" t="s">
        <v>74</v>
      </c>
      <c r="P763" t="s">
        <v>74</v>
      </c>
      <c r="Q763" t="s">
        <v>74</v>
      </c>
      <c r="R763" t="s">
        <v>74</v>
      </c>
      <c r="S763" t="s">
        <v>74</v>
      </c>
      <c r="T763" t="s">
        <v>74</v>
      </c>
      <c r="U763" t="s">
        <v>15049</v>
      </c>
      <c r="V763" t="s">
        <v>15050</v>
      </c>
      <c r="W763" t="s">
        <v>15051</v>
      </c>
      <c r="X763" t="s">
        <v>15052</v>
      </c>
      <c r="Y763" t="s">
        <v>15053</v>
      </c>
      <c r="Z763" t="s">
        <v>15054</v>
      </c>
      <c r="AA763" t="s">
        <v>15055</v>
      </c>
      <c r="AB763" t="s">
        <v>15056</v>
      </c>
      <c r="AC763" t="s">
        <v>15057</v>
      </c>
      <c r="AD763" t="s">
        <v>15058</v>
      </c>
      <c r="AE763" t="s">
        <v>15059</v>
      </c>
      <c r="AF763" t="s">
        <v>74</v>
      </c>
      <c r="AG763">
        <v>55</v>
      </c>
      <c r="AH763">
        <v>9</v>
      </c>
      <c r="AI763">
        <v>10</v>
      </c>
      <c r="AJ763">
        <v>4</v>
      </c>
      <c r="AK763">
        <v>59</v>
      </c>
      <c r="AL763" t="s">
        <v>429</v>
      </c>
      <c r="AM763" t="s">
        <v>430</v>
      </c>
      <c r="AN763" t="s">
        <v>431</v>
      </c>
      <c r="AO763" t="s">
        <v>15060</v>
      </c>
      <c r="AP763" t="s">
        <v>15061</v>
      </c>
      <c r="AQ763" t="s">
        <v>74</v>
      </c>
      <c r="AR763" t="s">
        <v>15062</v>
      </c>
      <c r="AS763" t="s">
        <v>15063</v>
      </c>
      <c r="AT763" t="s">
        <v>6987</v>
      </c>
      <c r="AU763">
        <v>2019</v>
      </c>
      <c r="AV763">
        <v>167</v>
      </c>
      <c r="AW763">
        <v>2</v>
      </c>
      <c r="AX763" t="s">
        <v>74</v>
      </c>
      <c r="AY763" t="s">
        <v>74</v>
      </c>
      <c r="AZ763" t="s">
        <v>74</v>
      </c>
      <c r="BA763" t="s">
        <v>74</v>
      </c>
      <c r="BB763">
        <v>205</v>
      </c>
      <c r="BC763">
        <v>216</v>
      </c>
      <c r="BD763" t="s">
        <v>74</v>
      </c>
      <c r="BE763" t="s">
        <v>15064</v>
      </c>
      <c r="BF763" t="str">
        <f>HYPERLINK("http://dx.doi.org/10.1111/ppl.12881","http://dx.doi.org/10.1111/ppl.12881")</f>
        <v>http://dx.doi.org/10.1111/ppl.12881</v>
      </c>
      <c r="BG763" t="s">
        <v>74</v>
      </c>
      <c r="BH763" t="s">
        <v>74</v>
      </c>
      <c r="BI763">
        <v>12</v>
      </c>
      <c r="BJ763" t="s">
        <v>6734</v>
      </c>
      <c r="BK763" t="s">
        <v>294</v>
      </c>
      <c r="BL763" t="s">
        <v>6734</v>
      </c>
      <c r="BM763" t="s">
        <v>15065</v>
      </c>
      <c r="BN763">
        <v>30467866</v>
      </c>
      <c r="BO763" t="s">
        <v>74</v>
      </c>
      <c r="BP763" t="s">
        <v>74</v>
      </c>
      <c r="BQ763" t="s">
        <v>74</v>
      </c>
      <c r="BR763" t="s">
        <v>108</v>
      </c>
      <c r="BS763" t="s">
        <v>15066</v>
      </c>
      <c r="BT763" t="str">
        <f>HYPERLINK("https%3A%2F%2Fwww.webofscience.com%2Fwos%2Fwoscc%2Ffull-record%2FWOS:000486199300005","View Full Record in Web of Science")</f>
        <v>View Full Record in Web of Science</v>
      </c>
    </row>
    <row r="764" spans="1:72" x14ac:dyDescent="0.15">
      <c r="A764" t="s">
        <v>133</v>
      </c>
      <c r="B764" t="s">
        <v>15067</v>
      </c>
      <c r="C764" t="s">
        <v>74</v>
      </c>
      <c r="D764" t="s">
        <v>74</v>
      </c>
      <c r="E764" t="s">
        <v>74</v>
      </c>
      <c r="F764" t="s">
        <v>15068</v>
      </c>
      <c r="G764" t="s">
        <v>74</v>
      </c>
      <c r="H764" t="s">
        <v>74</v>
      </c>
      <c r="I764" t="s">
        <v>15069</v>
      </c>
      <c r="J764" t="s">
        <v>4566</v>
      </c>
      <c r="K764" t="s">
        <v>74</v>
      </c>
      <c r="L764" t="s">
        <v>74</v>
      </c>
      <c r="M764" t="s">
        <v>80</v>
      </c>
      <c r="N764" t="s">
        <v>1333</v>
      </c>
      <c r="O764" t="s">
        <v>74</v>
      </c>
      <c r="P764" t="s">
        <v>74</v>
      </c>
      <c r="Q764" t="s">
        <v>74</v>
      </c>
      <c r="R764" t="s">
        <v>74</v>
      </c>
      <c r="S764" t="s">
        <v>74</v>
      </c>
      <c r="T764" t="s">
        <v>74</v>
      </c>
      <c r="U764" t="s">
        <v>74</v>
      </c>
      <c r="V764" t="s">
        <v>74</v>
      </c>
      <c r="W764" t="s">
        <v>74</v>
      </c>
      <c r="X764" t="s">
        <v>74</v>
      </c>
      <c r="Y764" t="s">
        <v>74</v>
      </c>
      <c r="Z764" t="s">
        <v>74</v>
      </c>
      <c r="AA764" t="s">
        <v>15070</v>
      </c>
      <c r="AB764" t="s">
        <v>15071</v>
      </c>
      <c r="AC764" t="s">
        <v>15072</v>
      </c>
      <c r="AD764" t="s">
        <v>3210</v>
      </c>
      <c r="AE764" t="s">
        <v>74</v>
      </c>
      <c r="AF764" t="s">
        <v>74</v>
      </c>
      <c r="AG764">
        <v>5</v>
      </c>
      <c r="AH764">
        <v>4</v>
      </c>
      <c r="AI764">
        <v>4</v>
      </c>
      <c r="AJ764">
        <v>0</v>
      </c>
      <c r="AK764">
        <v>5</v>
      </c>
      <c r="AL764" t="s">
        <v>605</v>
      </c>
      <c r="AM764" t="s">
        <v>1965</v>
      </c>
      <c r="AN764" t="s">
        <v>4578</v>
      </c>
      <c r="AO764" t="s">
        <v>4579</v>
      </c>
      <c r="AP764" t="s">
        <v>4580</v>
      </c>
      <c r="AQ764" t="s">
        <v>74</v>
      </c>
      <c r="AR764" t="s">
        <v>4581</v>
      </c>
      <c r="AS764" t="s">
        <v>4582</v>
      </c>
      <c r="AT764" t="s">
        <v>6987</v>
      </c>
      <c r="AU764">
        <v>2019</v>
      </c>
      <c r="AV764">
        <v>31</v>
      </c>
      <c r="AW764">
        <v>5</v>
      </c>
      <c r="AX764" t="s">
        <v>74</v>
      </c>
      <c r="AY764" t="s">
        <v>74</v>
      </c>
      <c r="AZ764" t="s">
        <v>74</v>
      </c>
      <c r="BA764" t="s">
        <v>74</v>
      </c>
      <c r="BB764">
        <v>229</v>
      </c>
      <c r="BC764">
        <v>230</v>
      </c>
      <c r="BD764" t="s">
        <v>74</v>
      </c>
      <c r="BE764" t="s">
        <v>15073</v>
      </c>
      <c r="BF764" t="str">
        <f>HYPERLINK("http://dx.doi.org/10.1017/S0954102019000312","http://dx.doi.org/10.1017/S0954102019000312")</f>
        <v>http://dx.doi.org/10.1017/S0954102019000312</v>
      </c>
      <c r="BG764" t="s">
        <v>74</v>
      </c>
      <c r="BH764" t="s">
        <v>74</v>
      </c>
      <c r="BI764">
        <v>2</v>
      </c>
      <c r="BJ764" t="s">
        <v>4584</v>
      </c>
      <c r="BK764" t="s">
        <v>294</v>
      </c>
      <c r="BL764" t="s">
        <v>4585</v>
      </c>
      <c r="BM764" t="s">
        <v>13621</v>
      </c>
      <c r="BN764" t="s">
        <v>74</v>
      </c>
      <c r="BO764" t="s">
        <v>1573</v>
      </c>
      <c r="BP764" t="s">
        <v>74</v>
      </c>
      <c r="BQ764" t="s">
        <v>74</v>
      </c>
      <c r="BR764" t="s">
        <v>108</v>
      </c>
      <c r="BS764" t="s">
        <v>15074</v>
      </c>
      <c r="BT764" t="str">
        <f>HYPERLINK("https%3A%2F%2Fwww.webofscience.com%2Fwos%2Fwoscc%2Ffull-record%2FWOS:000508355900001","View Full Record in Web of Science")</f>
        <v>View Full Record in Web of Science</v>
      </c>
    </row>
    <row r="765" spans="1:72" x14ac:dyDescent="0.15">
      <c r="A765" t="s">
        <v>133</v>
      </c>
      <c r="B765" t="s">
        <v>15075</v>
      </c>
      <c r="C765" t="s">
        <v>74</v>
      </c>
      <c r="D765" t="s">
        <v>74</v>
      </c>
      <c r="E765" t="s">
        <v>74</v>
      </c>
      <c r="F765" t="s">
        <v>15076</v>
      </c>
      <c r="G765" t="s">
        <v>74</v>
      </c>
      <c r="H765" t="s">
        <v>74</v>
      </c>
      <c r="I765" t="s">
        <v>15077</v>
      </c>
      <c r="J765" t="s">
        <v>6952</v>
      </c>
      <c r="K765" t="s">
        <v>74</v>
      </c>
      <c r="L765" t="s">
        <v>74</v>
      </c>
      <c r="M765" t="s">
        <v>80</v>
      </c>
      <c r="N765" t="s">
        <v>930</v>
      </c>
      <c r="O765" t="s">
        <v>74</v>
      </c>
      <c r="P765" t="s">
        <v>74</v>
      </c>
      <c r="Q765" t="s">
        <v>74</v>
      </c>
      <c r="R765" t="s">
        <v>74</v>
      </c>
      <c r="S765" t="s">
        <v>74</v>
      </c>
      <c r="T765" t="s">
        <v>15078</v>
      </c>
      <c r="U765" t="s">
        <v>15079</v>
      </c>
      <c r="V765" t="s">
        <v>15080</v>
      </c>
      <c r="W765" t="s">
        <v>15081</v>
      </c>
      <c r="X765" t="s">
        <v>15082</v>
      </c>
      <c r="Y765" t="s">
        <v>15083</v>
      </c>
      <c r="Z765" t="s">
        <v>15084</v>
      </c>
      <c r="AA765" t="s">
        <v>15085</v>
      </c>
      <c r="AB765" t="s">
        <v>15086</v>
      </c>
      <c r="AC765" t="s">
        <v>15087</v>
      </c>
      <c r="AD765" t="s">
        <v>15088</v>
      </c>
      <c r="AE765" t="s">
        <v>15089</v>
      </c>
      <c r="AF765" t="s">
        <v>74</v>
      </c>
      <c r="AG765">
        <v>101</v>
      </c>
      <c r="AH765">
        <v>9</v>
      </c>
      <c r="AI765">
        <v>9</v>
      </c>
      <c r="AJ765">
        <v>2</v>
      </c>
      <c r="AK765">
        <v>51</v>
      </c>
      <c r="AL765" t="s">
        <v>1964</v>
      </c>
      <c r="AM765" t="s">
        <v>4096</v>
      </c>
      <c r="AN765" t="s">
        <v>4097</v>
      </c>
      <c r="AO765" t="s">
        <v>6964</v>
      </c>
      <c r="AP765" t="s">
        <v>6965</v>
      </c>
      <c r="AQ765" t="s">
        <v>74</v>
      </c>
      <c r="AR765" t="s">
        <v>6966</v>
      </c>
      <c r="AS765" t="s">
        <v>6967</v>
      </c>
      <c r="AT765" t="s">
        <v>6987</v>
      </c>
      <c r="AU765">
        <v>2019</v>
      </c>
      <c r="AV765">
        <v>21</v>
      </c>
      <c r="AW765">
        <v>10</v>
      </c>
      <c r="AX765" t="s">
        <v>74</v>
      </c>
      <c r="AY765" t="s">
        <v>74</v>
      </c>
      <c r="AZ765" t="s">
        <v>74</v>
      </c>
      <c r="BA765" t="s">
        <v>74</v>
      </c>
      <c r="BB765">
        <v>3043</v>
      </c>
      <c r="BC765">
        <v>3061</v>
      </c>
      <c r="BD765" t="s">
        <v>74</v>
      </c>
      <c r="BE765" t="s">
        <v>15090</v>
      </c>
      <c r="BF765" t="str">
        <f>HYPERLINK("http://dx.doi.org/10.1007/s10530-019-02062-1","http://dx.doi.org/10.1007/s10530-019-02062-1")</f>
        <v>http://dx.doi.org/10.1007/s10530-019-02062-1</v>
      </c>
      <c r="BG765" t="s">
        <v>74</v>
      </c>
      <c r="BH765" t="s">
        <v>74</v>
      </c>
      <c r="BI765">
        <v>19</v>
      </c>
      <c r="BJ765" t="s">
        <v>3524</v>
      </c>
      <c r="BK765" t="s">
        <v>294</v>
      </c>
      <c r="BL765" t="s">
        <v>295</v>
      </c>
      <c r="BM765" t="s">
        <v>15091</v>
      </c>
      <c r="BN765" t="s">
        <v>74</v>
      </c>
      <c r="BO765" t="s">
        <v>741</v>
      </c>
      <c r="BP765" t="s">
        <v>74</v>
      </c>
      <c r="BQ765" t="s">
        <v>74</v>
      </c>
      <c r="BR765" t="s">
        <v>108</v>
      </c>
      <c r="BS765" t="s">
        <v>15092</v>
      </c>
      <c r="BT765" t="str">
        <f>HYPERLINK("https%3A%2F%2Fwww.webofscience.com%2Fwos%2Fwoscc%2Ffull-record%2FWOS:000483692300004","View Full Record in Web of Science")</f>
        <v>View Full Record in Web of Science</v>
      </c>
    </row>
    <row r="766" spans="1:72" x14ac:dyDescent="0.15">
      <c r="A766" t="s">
        <v>133</v>
      </c>
      <c r="B766" t="s">
        <v>15093</v>
      </c>
      <c r="C766" t="s">
        <v>74</v>
      </c>
      <c r="D766" t="s">
        <v>74</v>
      </c>
      <c r="E766" t="s">
        <v>74</v>
      </c>
      <c r="F766" t="s">
        <v>15094</v>
      </c>
      <c r="G766" t="s">
        <v>74</v>
      </c>
      <c r="H766" t="s">
        <v>74</v>
      </c>
      <c r="I766" t="s">
        <v>15095</v>
      </c>
      <c r="J766" t="s">
        <v>15096</v>
      </c>
      <c r="K766" t="s">
        <v>74</v>
      </c>
      <c r="L766" t="s">
        <v>74</v>
      </c>
      <c r="M766" t="s">
        <v>80</v>
      </c>
      <c r="N766" t="s">
        <v>138</v>
      </c>
      <c r="O766" t="s">
        <v>74</v>
      </c>
      <c r="P766" t="s">
        <v>74</v>
      </c>
      <c r="Q766" t="s">
        <v>74</v>
      </c>
      <c r="R766" t="s">
        <v>74</v>
      </c>
      <c r="S766" t="s">
        <v>74</v>
      </c>
      <c r="T766" t="s">
        <v>74</v>
      </c>
      <c r="U766" t="s">
        <v>15097</v>
      </c>
      <c r="V766" t="s">
        <v>15098</v>
      </c>
      <c r="W766" t="s">
        <v>15099</v>
      </c>
      <c r="X766" t="s">
        <v>15100</v>
      </c>
      <c r="Y766" t="s">
        <v>15101</v>
      </c>
      <c r="Z766" t="s">
        <v>15102</v>
      </c>
      <c r="AA766" t="s">
        <v>15103</v>
      </c>
      <c r="AB766" t="s">
        <v>15104</v>
      </c>
      <c r="AC766" t="s">
        <v>15105</v>
      </c>
      <c r="AD766" t="s">
        <v>15106</v>
      </c>
      <c r="AE766" t="s">
        <v>74</v>
      </c>
      <c r="AF766" t="s">
        <v>74</v>
      </c>
      <c r="AG766">
        <v>75</v>
      </c>
      <c r="AH766">
        <v>12</v>
      </c>
      <c r="AI766">
        <v>13</v>
      </c>
      <c r="AJ766">
        <v>0</v>
      </c>
      <c r="AK766">
        <v>3</v>
      </c>
      <c r="AL766" t="s">
        <v>429</v>
      </c>
      <c r="AM766" t="s">
        <v>430</v>
      </c>
      <c r="AN766" t="s">
        <v>431</v>
      </c>
      <c r="AO766" t="s">
        <v>15107</v>
      </c>
      <c r="AP766" t="s">
        <v>15108</v>
      </c>
      <c r="AQ766" t="s">
        <v>74</v>
      </c>
      <c r="AR766" t="s">
        <v>15096</v>
      </c>
      <c r="AS766" t="s">
        <v>15109</v>
      </c>
      <c r="AT766" t="s">
        <v>6987</v>
      </c>
      <c r="AU766">
        <v>2019</v>
      </c>
      <c r="AV766">
        <v>35</v>
      </c>
      <c r="AW766">
        <v>5</v>
      </c>
      <c r="AX766" t="s">
        <v>74</v>
      </c>
      <c r="AY766" t="s">
        <v>74</v>
      </c>
      <c r="AZ766" t="s">
        <v>74</v>
      </c>
      <c r="BA766" t="s">
        <v>74</v>
      </c>
      <c r="BB766">
        <v>487</v>
      </c>
      <c r="BC766">
        <v>513</v>
      </c>
      <c r="BD766" t="s">
        <v>74</v>
      </c>
      <c r="BE766" t="s">
        <v>15110</v>
      </c>
      <c r="BF766" t="str">
        <f>HYPERLINK("http://dx.doi.org/10.1111/cla.12364","http://dx.doi.org/10.1111/cla.12364")</f>
        <v>http://dx.doi.org/10.1111/cla.12364</v>
      </c>
      <c r="BG766" t="s">
        <v>74</v>
      </c>
      <c r="BH766" t="s">
        <v>74</v>
      </c>
      <c r="BI766">
        <v>27</v>
      </c>
      <c r="BJ766" t="s">
        <v>15111</v>
      </c>
      <c r="BK766" t="s">
        <v>294</v>
      </c>
      <c r="BL766" t="s">
        <v>15111</v>
      </c>
      <c r="BM766" t="s">
        <v>15112</v>
      </c>
      <c r="BN766">
        <v>34618935</v>
      </c>
      <c r="BO766" t="s">
        <v>588</v>
      </c>
      <c r="BP766" t="s">
        <v>74</v>
      </c>
      <c r="BQ766" t="s">
        <v>74</v>
      </c>
      <c r="BR766" t="s">
        <v>108</v>
      </c>
      <c r="BS766" t="s">
        <v>15113</v>
      </c>
      <c r="BT766" t="str">
        <f>HYPERLINK("https%3A%2F%2Fwww.webofscience.com%2Fwos%2Fwoscc%2Ffull-record%2FWOS:000487670000003","View Full Record in Web of Science")</f>
        <v>View Full Record in Web of Science</v>
      </c>
    </row>
    <row r="767" spans="1:72" x14ac:dyDescent="0.15">
      <c r="A767" t="s">
        <v>133</v>
      </c>
      <c r="B767" t="s">
        <v>15114</v>
      </c>
      <c r="C767" t="s">
        <v>74</v>
      </c>
      <c r="D767" t="s">
        <v>74</v>
      </c>
      <c r="E767" t="s">
        <v>74</v>
      </c>
      <c r="F767" t="s">
        <v>15115</v>
      </c>
      <c r="G767" t="s">
        <v>74</v>
      </c>
      <c r="H767" t="s">
        <v>74</v>
      </c>
      <c r="I767" t="s">
        <v>15116</v>
      </c>
      <c r="J767" t="s">
        <v>444</v>
      </c>
      <c r="K767" t="s">
        <v>74</v>
      </c>
      <c r="L767" t="s">
        <v>74</v>
      </c>
      <c r="M767" t="s">
        <v>80</v>
      </c>
      <c r="N767" t="s">
        <v>138</v>
      </c>
      <c r="O767" t="s">
        <v>74</v>
      </c>
      <c r="P767" t="s">
        <v>74</v>
      </c>
      <c r="Q767" t="s">
        <v>74</v>
      </c>
      <c r="R767" t="s">
        <v>74</v>
      </c>
      <c r="S767" t="s">
        <v>74</v>
      </c>
      <c r="T767" t="s">
        <v>15117</v>
      </c>
      <c r="U767" t="s">
        <v>15118</v>
      </c>
      <c r="V767" t="s">
        <v>15119</v>
      </c>
      <c r="W767" t="s">
        <v>15120</v>
      </c>
      <c r="X767" t="s">
        <v>15121</v>
      </c>
      <c r="Y767" t="s">
        <v>15122</v>
      </c>
      <c r="Z767" t="s">
        <v>15123</v>
      </c>
      <c r="AA767" t="s">
        <v>15124</v>
      </c>
      <c r="AB767" t="s">
        <v>15125</v>
      </c>
      <c r="AC767" t="s">
        <v>15126</v>
      </c>
      <c r="AD767" t="s">
        <v>15127</v>
      </c>
      <c r="AE767" t="s">
        <v>15128</v>
      </c>
      <c r="AF767" t="s">
        <v>74</v>
      </c>
      <c r="AG767">
        <v>177</v>
      </c>
      <c r="AH767">
        <v>7</v>
      </c>
      <c r="AI767">
        <v>7</v>
      </c>
      <c r="AJ767">
        <v>1</v>
      </c>
      <c r="AK767">
        <v>9</v>
      </c>
      <c r="AL767" t="s">
        <v>284</v>
      </c>
      <c r="AM767" t="s">
        <v>285</v>
      </c>
      <c r="AN767" t="s">
        <v>286</v>
      </c>
      <c r="AO767" t="s">
        <v>457</v>
      </c>
      <c r="AP767" t="s">
        <v>458</v>
      </c>
      <c r="AQ767" t="s">
        <v>74</v>
      </c>
      <c r="AR767" t="s">
        <v>459</v>
      </c>
      <c r="AS767" t="s">
        <v>460</v>
      </c>
      <c r="AT767" t="s">
        <v>6987</v>
      </c>
      <c r="AU767">
        <v>2019</v>
      </c>
      <c r="AV767">
        <v>181</v>
      </c>
      <c r="AW767" t="s">
        <v>74</v>
      </c>
      <c r="AX767" t="s">
        <v>74</v>
      </c>
      <c r="AY767" t="s">
        <v>74</v>
      </c>
      <c r="AZ767" t="s">
        <v>74</v>
      </c>
      <c r="BA767" t="s">
        <v>74</v>
      </c>
      <c r="BB767" t="s">
        <v>74</v>
      </c>
      <c r="BC767" t="s">
        <v>74</v>
      </c>
      <c r="BD767">
        <v>102990</v>
      </c>
      <c r="BE767" t="s">
        <v>15129</v>
      </c>
      <c r="BF767" t="str">
        <f>HYPERLINK("http://dx.doi.org/10.1016/j.gloplacha.2019.102990","http://dx.doi.org/10.1016/j.gloplacha.2019.102990")</f>
        <v>http://dx.doi.org/10.1016/j.gloplacha.2019.102990</v>
      </c>
      <c r="BG767" t="s">
        <v>74</v>
      </c>
      <c r="BH767" t="s">
        <v>74</v>
      </c>
      <c r="BI767">
        <v>22</v>
      </c>
      <c r="BJ767" t="s">
        <v>462</v>
      </c>
      <c r="BK767" t="s">
        <v>294</v>
      </c>
      <c r="BL767" t="s">
        <v>463</v>
      </c>
      <c r="BM767" t="s">
        <v>14607</v>
      </c>
      <c r="BN767" t="s">
        <v>74</v>
      </c>
      <c r="BO767" t="s">
        <v>1482</v>
      </c>
      <c r="BP767" t="s">
        <v>74</v>
      </c>
      <c r="BQ767" t="s">
        <v>74</v>
      </c>
      <c r="BR767" t="s">
        <v>108</v>
      </c>
      <c r="BS767" t="s">
        <v>15130</v>
      </c>
      <c r="BT767" t="str">
        <f>HYPERLINK("https%3A%2F%2Fwww.webofscience.com%2Fwos%2Fwoscc%2Ffull-record%2FWOS:000488666200008","View Full Record in Web of Science")</f>
        <v>View Full Record in Web of Science</v>
      </c>
    </row>
    <row r="768" spans="1:72" x14ac:dyDescent="0.15">
      <c r="A768" t="s">
        <v>133</v>
      </c>
      <c r="B768" t="s">
        <v>15131</v>
      </c>
      <c r="C768" t="s">
        <v>74</v>
      </c>
      <c r="D768" t="s">
        <v>74</v>
      </c>
      <c r="E768" t="s">
        <v>74</v>
      </c>
      <c r="F768" t="s">
        <v>15132</v>
      </c>
      <c r="G768" t="s">
        <v>74</v>
      </c>
      <c r="H768" t="s">
        <v>74</v>
      </c>
      <c r="I768" t="s">
        <v>15133</v>
      </c>
      <c r="J768" t="s">
        <v>15134</v>
      </c>
      <c r="K768" t="s">
        <v>74</v>
      </c>
      <c r="L768" t="s">
        <v>74</v>
      </c>
      <c r="M768" t="s">
        <v>80</v>
      </c>
      <c r="N768" t="s">
        <v>138</v>
      </c>
      <c r="O768" t="s">
        <v>74</v>
      </c>
      <c r="P768" t="s">
        <v>74</v>
      </c>
      <c r="Q768" t="s">
        <v>74</v>
      </c>
      <c r="R768" t="s">
        <v>74</v>
      </c>
      <c r="S768" t="s">
        <v>74</v>
      </c>
      <c r="T768" t="s">
        <v>15135</v>
      </c>
      <c r="U768" t="s">
        <v>15136</v>
      </c>
      <c r="V768" t="s">
        <v>15137</v>
      </c>
      <c r="W768" t="s">
        <v>15138</v>
      </c>
      <c r="X768" t="s">
        <v>15139</v>
      </c>
      <c r="Y768" t="s">
        <v>15140</v>
      </c>
      <c r="Z768" t="s">
        <v>15141</v>
      </c>
      <c r="AA768" t="s">
        <v>15142</v>
      </c>
      <c r="AB768" t="s">
        <v>15143</v>
      </c>
      <c r="AC768" t="s">
        <v>15144</v>
      </c>
      <c r="AD768" t="s">
        <v>15145</v>
      </c>
      <c r="AE768" t="s">
        <v>15146</v>
      </c>
      <c r="AF768" t="s">
        <v>74</v>
      </c>
      <c r="AG768">
        <v>63</v>
      </c>
      <c r="AH768">
        <v>26</v>
      </c>
      <c r="AI768">
        <v>26</v>
      </c>
      <c r="AJ768">
        <v>5</v>
      </c>
      <c r="AK768">
        <v>36</v>
      </c>
      <c r="AL768" t="s">
        <v>284</v>
      </c>
      <c r="AM768" t="s">
        <v>285</v>
      </c>
      <c r="AN768" t="s">
        <v>286</v>
      </c>
      <c r="AO768" t="s">
        <v>15147</v>
      </c>
      <c r="AP768" t="s">
        <v>15148</v>
      </c>
      <c r="AQ768" t="s">
        <v>74</v>
      </c>
      <c r="AR768" t="s">
        <v>15149</v>
      </c>
      <c r="AS768" t="s">
        <v>15150</v>
      </c>
      <c r="AT768" t="s">
        <v>6987</v>
      </c>
      <c r="AU768">
        <v>2019</v>
      </c>
      <c r="AV768">
        <v>156</v>
      </c>
      <c r="AW768" t="s">
        <v>74</v>
      </c>
      <c r="AX768" t="s">
        <v>74</v>
      </c>
      <c r="AY768" t="s">
        <v>74</v>
      </c>
      <c r="AZ768" t="s">
        <v>74</v>
      </c>
      <c r="BA768" t="s">
        <v>74</v>
      </c>
      <c r="BB768">
        <v>247</v>
      </c>
      <c r="BC768">
        <v>259</v>
      </c>
      <c r="BD768" t="s">
        <v>74</v>
      </c>
      <c r="BE768" t="s">
        <v>15151</v>
      </c>
      <c r="BF768" t="str">
        <f>HYPERLINK("http://dx.doi.org/10.1016/j.isprsjprs.2019.08.015","http://dx.doi.org/10.1016/j.isprsjprs.2019.08.015")</f>
        <v>http://dx.doi.org/10.1016/j.isprsjprs.2019.08.015</v>
      </c>
      <c r="BG768" t="s">
        <v>74</v>
      </c>
      <c r="BH768" t="s">
        <v>74</v>
      </c>
      <c r="BI768">
        <v>13</v>
      </c>
      <c r="BJ768" t="s">
        <v>4009</v>
      </c>
      <c r="BK768" t="s">
        <v>294</v>
      </c>
      <c r="BL768" t="s">
        <v>4010</v>
      </c>
      <c r="BM768" t="s">
        <v>15152</v>
      </c>
      <c r="BN768" t="s">
        <v>74</v>
      </c>
      <c r="BO768" t="s">
        <v>74</v>
      </c>
      <c r="BP768" t="s">
        <v>74</v>
      </c>
      <c r="BQ768" t="s">
        <v>74</v>
      </c>
      <c r="BR768" t="s">
        <v>108</v>
      </c>
      <c r="BS768" t="s">
        <v>15153</v>
      </c>
      <c r="BT768" t="str">
        <f>HYPERLINK("https%3A%2F%2Fwww.webofscience.com%2Fwos%2Fwoscc%2Ffull-record%2FWOS:000487765800018","View Full Record in Web of Science")</f>
        <v>View Full Record in Web of Science</v>
      </c>
    </row>
    <row r="769" spans="1:72" x14ac:dyDescent="0.15">
      <c r="A769" t="s">
        <v>133</v>
      </c>
      <c r="B769" t="s">
        <v>15154</v>
      </c>
      <c r="C769" t="s">
        <v>74</v>
      </c>
      <c r="D769" t="s">
        <v>74</v>
      </c>
      <c r="E769" t="s">
        <v>74</v>
      </c>
      <c r="F769" t="s">
        <v>15155</v>
      </c>
      <c r="G769" t="s">
        <v>74</v>
      </c>
      <c r="H769" t="s">
        <v>74</v>
      </c>
      <c r="I769" t="s">
        <v>15156</v>
      </c>
      <c r="J769" t="s">
        <v>1774</v>
      </c>
      <c r="K769" t="s">
        <v>74</v>
      </c>
      <c r="L769" t="s">
        <v>74</v>
      </c>
      <c r="M769" t="s">
        <v>80</v>
      </c>
      <c r="N769" t="s">
        <v>138</v>
      </c>
      <c r="O769" t="s">
        <v>74</v>
      </c>
      <c r="P769" t="s">
        <v>74</v>
      </c>
      <c r="Q769" t="s">
        <v>74</v>
      </c>
      <c r="R769" t="s">
        <v>74</v>
      </c>
      <c r="S769" t="s">
        <v>74</v>
      </c>
      <c r="T769" t="s">
        <v>15157</v>
      </c>
      <c r="U769" t="s">
        <v>15158</v>
      </c>
      <c r="V769" t="s">
        <v>15159</v>
      </c>
      <c r="W769" t="s">
        <v>15160</v>
      </c>
      <c r="X769" t="s">
        <v>7759</v>
      </c>
      <c r="Y769" t="s">
        <v>15161</v>
      </c>
      <c r="Z769" t="s">
        <v>15162</v>
      </c>
      <c r="AA769" t="s">
        <v>15163</v>
      </c>
      <c r="AB769" t="s">
        <v>15164</v>
      </c>
      <c r="AC769" t="s">
        <v>15165</v>
      </c>
      <c r="AD769" t="s">
        <v>15166</v>
      </c>
      <c r="AE769" t="s">
        <v>15167</v>
      </c>
      <c r="AF769" t="s">
        <v>74</v>
      </c>
      <c r="AG769">
        <v>60</v>
      </c>
      <c r="AH769">
        <v>22</v>
      </c>
      <c r="AI769">
        <v>25</v>
      </c>
      <c r="AJ769">
        <v>2</v>
      </c>
      <c r="AK769">
        <v>18</v>
      </c>
      <c r="AL769" t="s">
        <v>1264</v>
      </c>
      <c r="AM769" t="s">
        <v>1265</v>
      </c>
      <c r="AN769" t="s">
        <v>1266</v>
      </c>
      <c r="AO769" t="s">
        <v>74</v>
      </c>
      <c r="AP769" t="s">
        <v>1786</v>
      </c>
      <c r="AQ769" t="s">
        <v>74</v>
      </c>
      <c r="AR769" t="s">
        <v>1787</v>
      </c>
      <c r="AS769" t="s">
        <v>1788</v>
      </c>
      <c r="AT769" t="s">
        <v>6987</v>
      </c>
      <c r="AU769">
        <v>2019</v>
      </c>
      <c r="AV769">
        <v>11</v>
      </c>
      <c r="AW769">
        <v>10</v>
      </c>
      <c r="AX769" t="s">
        <v>74</v>
      </c>
      <c r="AY769" t="s">
        <v>74</v>
      </c>
      <c r="AZ769" t="s">
        <v>74</v>
      </c>
      <c r="BA769" t="s">
        <v>74</v>
      </c>
      <c r="BB769">
        <v>3090</v>
      </c>
      <c r="BC769">
        <v>3105</v>
      </c>
      <c r="BD769" t="s">
        <v>74</v>
      </c>
      <c r="BE769" t="s">
        <v>15168</v>
      </c>
      <c r="BF769" t="str">
        <f>HYPERLINK("http://dx.doi.org/10.1029/2019MS001769","http://dx.doi.org/10.1029/2019MS001769")</f>
        <v>http://dx.doi.org/10.1029/2019MS001769</v>
      </c>
      <c r="BG769" t="s">
        <v>74</v>
      </c>
      <c r="BH769" t="s">
        <v>74</v>
      </c>
      <c r="BI769">
        <v>16</v>
      </c>
      <c r="BJ769" t="s">
        <v>1024</v>
      </c>
      <c r="BK769" t="s">
        <v>294</v>
      </c>
      <c r="BL769" t="s">
        <v>1024</v>
      </c>
      <c r="BM769" t="s">
        <v>12661</v>
      </c>
      <c r="BN769" t="s">
        <v>74</v>
      </c>
      <c r="BO769" t="s">
        <v>1276</v>
      </c>
      <c r="BP769" t="s">
        <v>74</v>
      </c>
      <c r="BQ769" t="s">
        <v>74</v>
      </c>
      <c r="BR769" t="s">
        <v>108</v>
      </c>
      <c r="BS769" t="s">
        <v>15169</v>
      </c>
      <c r="BT769" t="str">
        <f>HYPERLINK("https%3A%2F%2Fwww.webofscience.com%2Fwos%2Fwoscc%2Ffull-record%2FWOS:000498767000002","View Full Record in Web of Science")</f>
        <v>View Full Record in Web of Science</v>
      </c>
    </row>
    <row r="770" spans="1:72" x14ac:dyDescent="0.15">
      <c r="A770" t="s">
        <v>133</v>
      </c>
      <c r="B770" t="s">
        <v>15170</v>
      </c>
      <c r="C770" t="s">
        <v>74</v>
      </c>
      <c r="D770" t="s">
        <v>74</v>
      </c>
      <c r="E770" t="s">
        <v>74</v>
      </c>
      <c r="F770" t="s">
        <v>15171</v>
      </c>
      <c r="G770" t="s">
        <v>74</v>
      </c>
      <c r="H770" t="s">
        <v>74</v>
      </c>
      <c r="I770" t="s">
        <v>15172</v>
      </c>
      <c r="J770" t="s">
        <v>14470</v>
      </c>
      <c r="K770" t="s">
        <v>74</v>
      </c>
      <c r="L770" t="s">
        <v>74</v>
      </c>
      <c r="M770" t="s">
        <v>80</v>
      </c>
      <c r="N770" t="s">
        <v>138</v>
      </c>
      <c r="O770" t="s">
        <v>74</v>
      </c>
      <c r="P770" t="s">
        <v>74</v>
      </c>
      <c r="Q770" t="s">
        <v>74</v>
      </c>
      <c r="R770" t="s">
        <v>74</v>
      </c>
      <c r="S770" t="s">
        <v>74</v>
      </c>
      <c r="T770" t="s">
        <v>74</v>
      </c>
      <c r="U770" t="s">
        <v>15173</v>
      </c>
      <c r="V770" t="s">
        <v>15174</v>
      </c>
      <c r="W770" t="s">
        <v>15175</v>
      </c>
      <c r="X770" t="s">
        <v>15176</v>
      </c>
      <c r="Y770" t="s">
        <v>15177</v>
      </c>
      <c r="Z770" t="s">
        <v>15178</v>
      </c>
      <c r="AA770" t="s">
        <v>74</v>
      </c>
      <c r="AB770" t="s">
        <v>15179</v>
      </c>
      <c r="AC770" t="s">
        <v>15180</v>
      </c>
      <c r="AD770" t="s">
        <v>15181</v>
      </c>
      <c r="AE770" t="s">
        <v>15182</v>
      </c>
      <c r="AF770" t="s">
        <v>74</v>
      </c>
      <c r="AG770">
        <v>105</v>
      </c>
      <c r="AH770">
        <v>5</v>
      </c>
      <c r="AI770">
        <v>5</v>
      </c>
      <c r="AJ770">
        <v>0</v>
      </c>
      <c r="AK770">
        <v>5</v>
      </c>
      <c r="AL770" t="s">
        <v>14482</v>
      </c>
      <c r="AM770" t="s">
        <v>14483</v>
      </c>
      <c r="AN770" t="s">
        <v>14484</v>
      </c>
      <c r="AO770" t="s">
        <v>14485</v>
      </c>
      <c r="AP770" t="s">
        <v>74</v>
      </c>
      <c r="AQ770" t="s">
        <v>74</v>
      </c>
      <c r="AR770" t="s">
        <v>14486</v>
      </c>
      <c r="AS770" t="s">
        <v>14487</v>
      </c>
      <c r="AT770" t="s">
        <v>6987</v>
      </c>
      <c r="AU770">
        <v>2019</v>
      </c>
      <c r="AV770">
        <v>49</v>
      </c>
      <c r="AW770">
        <v>4</v>
      </c>
      <c r="AX770" t="s">
        <v>74</v>
      </c>
      <c r="AY770" t="s">
        <v>74</v>
      </c>
      <c r="AZ770" t="s">
        <v>74</v>
      </c>
      <c r="BA770" t="s">
        <v>74</v>
      </c>
      <c r="BB770">
        <v>357</v>
      </c>
      <c r="BC770">
        <v>366</v>
      </c>
      <c r="BD770" t="s">
        <v>74</v>
      </c>
      <c r="BE770" t="s">
        <v>15183</v>
      </c>
      <c r="BF770" t="str">
        <f>HYPERLINK("http://dx.doi.org/10.2113/gsjfr.49.4.357","http://dx.doi.org/10.2113/gsjfr.49.4.357")</f>
        <v>http://dx.doi.org/10.2113/gsjfr.49.4.357</v>
      </c>
      <c r="BG770" t="s">
        <v>74</v>
      </c>
      <c r="BH770" t="s">
        <v>74</v>
      </c>
      <c r="BI770">
        <v>10</v>
      </c>
      <c r="BJ770" t="s">
        <v>3501</v>
      </c>
      <c r="BK770" t="s">
        <v>294</v>
      </c>
      <c r="BL770" t="s">
        <v>3501</v>
      </c>
      <c r="BM770" t="s">
        <v>14489</v>
      </c>
      <c r="BN770" t="s">
        <v>74</v>
      </c>
      <c r="BO770" t="s">
        <v>74</v>
      </c>
      <c r="BP770" t="s">
        <v>74</v>
      </c>
      <c r="BQ770" t="s">
        <v>74</v>
      </c>
      <c r="BR770" t="s">
        <v>108</v>
      </c>
      <c r="BS770" t="s">
        <v>15184</v>
      </c>
      <c r="BT770" t="str">
        <f>HYPERLINK("https%3A%2F%2Fwww.webofscience.com%2Fwos%2Fwoscc%2Ffull-record%2FWOS:000492676900001","View Full Record in Web of Science")</f>
        <v>View Full Record in Web of Science</v>
      </c>
    </row>
    <row r="771" spans="1:72" x14ac:dyDescent="0.15">
      <c r="A771" t="s">
        <v>133</v>
      </c>
      <c r="B771" t="s">
        <v>15185</v>
      </c>
      <c r="C771" t="s">
        <v>74</v>
      </c>
      <c r="D771" t="s">
        <v>74</v>
      </c>
      <c r="E771" t="s">
        <v>74</v>
      </c>
      <c r="F771" t="s">
        <v>15186</v>
      </c>
      <c r="G771" t="s">
        <v>74</v>
      </c>
      <c r="H771" t="s">
        <v>74</v>
      </c>
      <c r="I771" t="s">
        <v>15187</v>
      </c>
      <c r="J771" t="s">
        <v>15188</v>
      </c>
      <c r="K771" t="s">
        <v>74</v>
      </c>
      <c r="L771" t="s">
        <v>74</v>
      </c>
      <c r="M771" t="s">
        <v>80</v>
      </c>
      <c r="N771" t="s">
        <v>138</v>
      </c>
      <c r="O771" t="s">
        <v>74</v>
      </c>
      <c r="P771" t="s">
        <v>74</v>
      </c>
      <c r="Q771" t="s">
        <v>74</v>
      </c>
      <c r="R771" t="s">
        <v>74</v>
      </c>
      <c r="S771" t="s">
        <v>74</v>
      </c>
      <c r="T771" t="s">
        <v>74</v>
      </c>
      <c r="U771" t="s">
        <v>15189</v>
      </c>
      <c r="V771" t="s">
        <v>15190</v>
      </c>
      <c r="W771" t="s">
        <v>15191</v>
      </c>
      <c r="X771" t="s">
        <v>15192</v>
      </c>
      <c r="Y771" t="s">
        <v>15193</v>
      </c>
      <c r="Z771" t="s">
        <v>74</v>
      </c>
      <c r="AA771" t="s">
        <v>74</v>
      </c>
      <c r="AB771" t="s">
        <v>15194</v>
      </c>
      <c r="AC771" t="s">
        <v>15195</v>
      </c>
      <c r="AD771" t="s">
        <v>15196</v>
      </c>
      <c r="AE771" t="s">
        <v>15197</v>
      </c>
      <c r="AF771" t="s">
        <v>74</v>
      </c>
      <c r="AG771">
        <v>83</v>
      </c>
      <c r="AH771">
        <v>13</v>
      </c>
      <c r="AI771">
        <v>15</v>
      </c>
      <c r="AJ771">
        <v>0</v>
      </c>
      <c r="AK771">
        <v>2</v>
      </c>
      <c r="AL771" t="s">
        <v>11151</v>
      </c>
      <c r="AM771" t="s">
        <v>11152</v>
      </c>
      <c r="AN771" t="s">
        <v>11153</v>
      </c>
      <c r="AO771" t="s">
        <v>15198</v>
      </c>
      <c r="AP771" t="s">
        <v>15199</v>
      </c>
      <c r="AQ771" t="s">
        <v>74</v>
      </c>
      <c r="AR771" t="s">
        <v>15200</v>
      </c>
      <c r="AS771" t="s">
        <v>15201</v>
      </c>
      <c r="AT771" t="s">
        <v>6987</v>
      </c>
      <c r="AU771">
        <v>2019</v>
      </c>
      <c r="AV771">
        <v>11</v>
      </c>
      <c r="AW771">
        <v>5</v>
      </c>
      <c r="AX771" t="s">
        <v>74</v>
      </c>
      <c r="AY771" t="s">
        <v>74</v>
      </c>
      <c r="AZ771" t="s">
        <v>74</v>
      </c>
      <c r="BA771" t="s">
        <v>74</v>
      </c>
      <c r="BB771">
        <v>620</v>
      </c>
      <c r="BC771">
        <v>642</v>
      </c>
      <c r="BD771" t="s">
        <v>74</v>
      </c>
      <c r="BE771" t="s">
        <v>15202</v>
      </c>
      <c r="BF771" t="str">
        <f>HYPERLINK("http://dx.doi.org/10.1130/L1060.1","http://dx.doi.org/10.1130/L1060.1")</f>
        <v>http://dx.doi.org/10.1130/L1060.1</v>
      </c>
      <c r="BG771" t="s">
        <v>74</v>
      </c>
      <c r="BH771" t="s">
        <v>74</v>
      </c>
      <c r="BI771">
        <v>23</v>
      </c>
      <c r="BJ771" t="s">
        <v>15203</v>
      </c>
      <c r="BK771" t="s">
        <v>294</v>
      </c>
      <c r="BL771" t="s">
        <v>15203</v>
      </c>
      <c r="BM771" t="s">
        <v>15204</v>
      </c>
      <c r="BN771" t="s">
        <v>74</v>
      </c>
      <c r="BO771" t="s">
        <v>107</v>
      </c>
      <c r="BP771" t="s">
        <v>74</v>
      </c>
      <c r="BQ771" t="s">
        <v>74</v>
      </c>
      <c r="BR771" t="s">
        <v>108</v>
      </c>
      <c r="BS771" t="s">
        <v>15205</v>
      </c>
      <c r="BT771" t="str">
        <f>HYPERLINK("https%3A%2F%2Fwww.webofscience.com%2Fwos%2Fwoscc%2Ffull-record%2FWOS:000488229500003","View Full Record in Web of Science")</f>
        <v>View Full Record in Web of Science</v>
      </c>
    </row>
    <row r="772" spans="1:72" x14ac:dyDescent="0.15">
      <c r="A772" t="s">
        <v>133</v>
      </c>
      <c r="B772" t="s">
        <v>15206</v>
      </c>
      <c r="C772" t="s">
        <v>74</v>
      </c>
      <c r="D772" t="s">
        <v>74</v>
      </c>
      <c r="E772" t="s">
        <v>74</v>
      </c>
      <c r="F772" t="s">
        <v>15207</v>
      </c>
      <c r="G772" t="s">
        <v>74</v>
      </c>
      <c r="H772" t="s">
        <v>74</v>
      </c>
      <c r="I772" t="s">
        <v>15208</v>
      </c>
      <c r="J772" t="s">
        <v>5928</v>
      </c>
      <c r="K772" t="s">
        <v>74</v>
      </c>
      <c r="L772" t="s">
        <v>74</v>
      </c>
      <c r="M772" t="s">
        <v>80</v>
      </c>
      <c r="N772" t="s">
        <v>138</v>
      </c>
      <c r="O772" t="s">
        <v>74</v>
      </c>
      <c r="P772" t="s">
        <v>74</v>
      </c>
      <c r="Q772" t="s">
        <v>74</v>
      </c>
      <c r="R772" t="s">
        <v>74</v>
      </c>
      <c r="S772" t="s">
        <v>74</v>
      </c>
      <c r="T772" t="s">
        <v>74</v>
      </c>
      <c r="U772" t="s">
        <v>15209</v>
      </c>
      <c r="V772" t="s">
        <v>15210</v>
      </c>
      <c r="W772" t="s">
        <v>15211</v>
      </c>
      <c r="X772" t="s">
        <v>15212</v>
      </c>
      <c r="Y772" t="s">
        <v>15213</v>
      </c>
      <c r="Z772" t="s">
        <v>15214</v>
      </c>
      <c r="AA772" t="s">
        <v>15215</v>
      </c>
      <c r="AB772" t="s">
        <v>15216</v>
      </c>
      <c r="AC772" t="s">
        <v>15217</v>
      </c>
      <c r="AD772" t="s">
        <v>15218</v>
      </c>
      <c r="AE772" t="s">
        <v>15219</v>
      </c>
      <c r="AF772" t="s">
        <v>74</v>
      </c>
      <c r="AG772">
        <v>41</v>
      </c>
      <c r="AH772">
        <v>8</v>
      </c>
      <c r="AI772">
        <v>8</v>
      </c>
      <c r="AJ772">
        <v>0</v>
      </c>
      <c r="AK772">
        <v>11</v>
      </c>
      <c r="AL772" t="s">
        <v>3493</v>
      </c>
      <c r="AM772" t="s">
        <v>3494</v>
      </c>
      <c r="AN772" t="s">
        <v>3495</v>
      </c>
      <c r="AO772" t="s">
        <v>5939</v>
      </c>
      <c r="AP772" t="s">
        <v>5940</v>
      </c>
      <c r="AQ772" t="s">
        <v>74</v>
      </c>
      <c r="AR772" t="s">
        <v>5941</v>
      </c>
      <c r="AS772" t="s">
        <v>5942</v>
      </c>
      <c r="AT772" t="s">
        <v>6987</v>
      </c>
      <c r="AU772">
        <v>2019</v>
      </c>
      <c r="AV772">
        <v>166</v>
      </c>
      <c r="AW772">
        <v>10</v>
      </c>
      <c r="AX772" t="s">
        <v>74</v>
      </c>
      <c r="AY772" t="s">
        <v>74</v>
      </c>
      <c r="AZ772" t="s">
        <v>74</v>
      </c>
      <c r="BA772" t="s">
        <v>74</v>
      </c>
      <c r="BB772" t="s">
        <v>74</v>
      </c>
      <c r="BC772" t="s">
        <v>74</v>
      </c>
      <c r="BD772">
        <v>125</v>
      </c>
      <c r="BE772" t="s">
        <v>15220</v>
      </c>
      <c r="BF772" t="str">
        <f>HYPERLINK("http://dx.doi.org/10.1007/s00227-019-3575-4","http://dx.doi.org/10.1007/s00227-019-3575-4")</f>
        <v>http://dx.doi.org/10.1007/s00227-019-3575-4</v>
      </c>
      <c r="BG772" t="s">
        <v>74</v>
      </c>
      <c r="BH772" t="s">
        <v>74</v>
      </c>
      <c r="BI772">
        <v>12</v>
      </c>
      <c r="BJ772" t="s">
        <v>557</v>
      </c>
      <c r="BK772" t="s">
        <v>294</v>
      </c>
      <c r="BL772" t="s">
        <v>557</v>
      </c>
      <c r="BM772" t="s">
        <v>15221</v>
      </c>
      <c r="BN772" t="s">
        <v>74</v>
      </c>
      <c r="BO772" t="s">
        <v>74</v>
      </c>
      <c r="BP772" t="s">
        <v>74</v>
      </c>
      <c r="BQ772" t="s">
        <v>74</v>
      </c>
      <c r="BR772" t="s">
        <v>108</v>
      </c>
      <c r="BS772" t="s">
        <v>15222</v>
      </c>
      <c r="BT772" t="str">
        <f>HYPERLINK("https%3A%2F%2Fwww.webofscience.com%2Fwos%2Fwoscc%2Ffull-record%2FWOS:000487069900001","View Full Record in Web of Science")</f>
        <v>View Full Record in Web of Science</v>
      </c>
    </row>
    <row r="773" spans="1:72" x14ac:dyDescent="0.15">
      <c r="A773" t="s">
        <v>133</v>
      </c>
      <c r="B773" t="s">
        <v>15223</v>
      </c>
      <c r="C773" t="s">
        <v>74</v>
      </c>
      <c r="D773" t="s">
        <v>74</v>
      </c>
      <c r="E773" t="s">
        <v>74</v>
      </c>
      <c r="F773" t="s">
        <v>15224</v>
      </c>
      <c r="G773" t="s">
        <v>74</v>
      </c>
      <c r="H773" t="s">
        <v>74</v>
      </c>
      <c r="I773" t="s">
        <v>15225</v>
      </c>
      <c r="J773" t="s">
        <v>5556</v>
      </c>
      <c r="K773" t="s">
        <v>74</v>
      </c>
      <c r="L773" t="s">
        <v>74</v>
      </c>
      <c r="M773" t="s">
        <v>80</v>
      </c>
      <c r="N773" t="s">
        <v>138</v>
      </c>
      <c r="O773" t="s">
        <v>74</v>
      </c>
      <c r="P773" t="s">
        <v>74</v>
      </c>
      <c r="Q773" t="s">
        <v>74</v>
      </c>
      <c r="R773" t="s">
        <v>74</v>
      </c>
      <c r="S773" t="s">
        <v>74</v>
      </c>
      <c r="T773" t="s">
        <v>15226</v>
      </c>
      <c r="U773" t="s">
        <v>15227</v>
      </c>
      <c r="V773" t="s">
        <v>15228</v>
      </c>
      <c r="W773" t="s">
        <v>15229</v>
      </c>
      <c r="X773" t="s">
        <v>15230</v>
      </c>
      <c r="Y773" t="s">
        <v>15231</v>
      </c>
      <c r="Z773" t="s">
        <v>15232</v>
      </c>
      <c r="AA773" t="s">
        <v>74</v>
      </c>
      <c r="AB773" t="s">
        <v>15233</v>
      </c>
      <c r="AC773" t="s">
        <v>15234</v>
      </c>
      <c r="AD773" t="s">
        <v>10765</v>
      </c>
      <c r="AE773" t="s">
        <v>15235</v>
      </c>
      <c r="AF773" t="s">
        <v>74</v>
      </c>
      <c r="AG773">
        <v>82</v>
      </c>
      <c r="AH773">
        <v>24</v>
      </c>
      <c r="AI773">
        <v>24</v>
      </c>
      <c r="AJ773">
        <v>1</v>
      </c>
      <c r="AK773">
        <v>25</v>
      </c>
      <c r="AL773" t="s">
        <v>709</v>
      </c>
      <c r="AM773" t="s">
        <v>380</v>
      </c>
      <c r="AN773" t="s">
        <v>710</v>
      </c>
      <c r="AO773" t="s">
        <v>5569</v>
      </c>
      <c r="AP773" t="s">
        <v>5570</v>
      </c>
      <c r="AQ773" t="s">
        <v>74</v>
      </c>
      <c r="AR773" t="s">
        <v>5571</v>
      </c>
      <c r="AS773" t="s">
        <v>5572</v>
      </c>
      <c r="AT773" t="s">
        <v>6987</v>
      </c>
      <c r="AU773">
        <v>2019</v>
      </c>
      <c r="AV773">
        <v>151</v>
      </c>
      <c r="AW773" t="s">
        <v>74</v>
      </c>
      <c r="AX773" t="s">
        <v>74</v>
      </c>
      <c r="AY773" t="s">
        <v>74</v>
      </c>
      <c r="AZ773" t="s">
        <v>74</v>
      </c>
      <c r="BA773" t="s">
        <v>74</v>
      </c>
      <c r="BB773" t="s">
        <v>74</v>
      </c>
      <c r="BC773" t="s">
        <v>74</v>
      </c>
      <c r="BD773">
        <v>104733</v>
      </c>
      <c r="BE773" t="s">
        <v>15236</v>
      </c>
      <c r="BF773" t="str">
        <f>HYPERLINK("http://dx.doi.org/10.1016/j.marenvres.2019.05.012","http://dx.doi.org/10.1016/j.marenvres.2019.05.012")</f>
        <v>http://dx.doi.org/10.1016/j.marenvres.2019.05.012</v>
      </c>
      <c r="BG773" t="s">
        <v>74</v>
      </c>
      <c r="BH773" t="s">
        <v>74</v>
      </c>
      <c r="BI773">
        <v>14</v>
      </c>
      <c r="BJ773" t="s">
        <v>5574</v>
      </c>
      <c r="BK773" t="s">
        <v>294</v>
      </c>
      <c r="BL773" t="s">
        <v>5575</v>
      </c>
      <c r="BM773" t="s">
        <v>14099</v>
      </c>
      <c r="BN773">
        <v>31351585</v>
      </c>
      <c r="BO773" t="s">
        <v>638</v>
      </c>
      <c r="BP773" t="s">
        <v>74</v>
      </c>
      <c r="BQ773" t="s">
        <v>74</v>
      </c>
      <c r="BR773" t="s">
        <v>108</v>
      </c>
      <c r="BS773" t="s">
        <v>15237</v>
      </c>
      <c r="BT773" t="str">
        <f>HYPERLINK("https%3A%2F%2Fwww.webofscience.com%2Fwos%2Fwoscc%2Ffull-record%2FWOS:000497258600006","View Full Record in Web of Science")</f>
        <v>View Full Record in Web of Science</v>
      </c>
    </row>
    <row r="774" spans="1:72" x14ac:dyDescent="0.15">
      <c r="A774" t="s">
        <v>133</v>
      </c>
      <c r="B774" t="s">
        <v>15238</v>
      </c>
      <c r="C774" t="s">
        <v>74</v>
      </c>
      <c r="D774" t="s">
        <v>74</v>
      </c>
      <c r="E774" t="s">
        <v>74</v>
      </c>
      <c r="F774" t="s">
        <v>15239</v>
      </c>
      <c r="G774" t="s">
        <v>74</v>
      </c>
      <c r="H774" t="s">
        <v>74</v>
      </c>
      <c r="I774" t="s">
        <v>15240</v>
      </c>
      <c r="J774" t="s">
        <v>2408</v>
      </c>
      <c r="K774" t="s">
        <v>74</v>
      </c>
      <c r="L774" t="s">
        <v>74</v>
      </c>
      <c r="M774" t="s">
        <v>80</v>
      </c>
      <c r="N774" t="s">
        <v>138</v>
      </c>
      <c r="O774" t="s">
        <v>74</v>
      </c>
      <c r="P774" t="s">
        <v>74</v>
      </c>
      <c r="Q774" t="s">
        <v>74</v>
      </c>
      <c r="R774" t="s">
        <v>74</v>
      </c>
      <c r="S774" t="s">
        <v>74</v>
      </c>
      <c r="T774" t="s">
        <v>74</v>
      </c>
      <c r="U774" t="s">
        <v>15241</v>
      </c>
      <c r="V774" t="s">
        <v>15242</v>
      </c>
      <c r="W774" t="s">
        <v>15243</v>
      </c>
      <c r="X774" t="s">
        <v>15244</v>
      </c>
      <c r="Y774" t="s">
        <v>15245</v>
      </c>
      <c r="Z774" t="s">
        <v>15246</v>
      </c>
      <c r="AA774" t="s">
        <v>15247</v>
      </c>
      <c r="AB774" t="s">
        <v>15248</v>
      </c>
      <c r="AC774" t="s">
        <v>74</v>
      </c>
      <c r="AD774" t="s">
        <v>74</v>
      </c>
      <c r="AE774" t="s">
        <v>74</v>
      </c>
      <c r="AF774" t="s">
        <v>74</v>
      </c>
      <c r="AG774">
        <v>56</v>
      </c>
      <c r="AH774">
        <v>33</v>
      </c>
      <c r="AI774">
        <v>33</v>
      </c>
      <c r="AJ774">
        <v>0</v>
      </c>
      <c r="AK774">
        <v>6</v>
      </c>
      <c r="AL774" t="s">
        <v>429</v>
      </c>
      <c r="AM774" t="s">
        <v>430</v>
      </c>
      <c r="AN774" t="s">
        <v>431</v>
      </c>
      <c r="AO774" t="s">
        <v>2419</v>
      </c>
      <c r="AP774" t="s">
        <v>2420</v>
      </c>
      <c r="AQ774" t="s">
        <v>74</v>
      </c>
      <c r="AR774" t="s">
        <v>2421</v>
      </c>
      <c r="AS774" t="s">
        <v>2422</v>
      </c>
      <c r="AT774" t="s">
        <v>6987</v>
      </c>
      <c r="AU774">
        <v>2019</v>
      </c>
      <c r="AV774">
        <v>54</v>
      </c>
      <c r="AW774">
        <v>10</v>
      </c>
      <c r="AX774" t="s">
        <v>74</v>
      </c>
      <c r="AY774" t="s">
        <v>74</v>
      </c>
      <c r="AZ774" t="s">
        <v>74</v>
      </c>
      <c r="BA774" t="s">
        <v>74</v>
      </c>
      <c r="BB774">
        <v>2573</v>
      </c>
      <c r="BC774">
        <v>2591</v>
      </c>
      <c r="BD774" t="s">
        <v>74</v>
      </c>
      <c r="BE774" t="s">
        <v>15249</v>
      </c>
      <c r="BF774" t="str">
        <f>HYPERLINK("http://dx.doi.org/10.1111/maps.13305","http://dx.doi.org/10.1111/maps.13305")</f>
        <v>http://dx.doi.org/10.1111/maps.13305</v>
      </c>
      <c r="BG774" t="s">
        <v>74</v>
      </c>
      <c r="BH774" t="s">
        <v>74</v>
      </c>
      <c r="BI774">
        <v>19</v>
      </c>
      <c r="BJ774" t="s">
        <v>1067</v>
      </c>
      <c r="BK774" t="s">
        <v>294</v>
      </c>
      <c r="BL774" t="s">
        <v>1067</v>
      </c>
      <c r="BM774" t="s">
        <v>15250</v>
      </c>
      <c r="BN774" t="s">
        <v>74</v>
      </c>
      <c r="BO774" t="s">
        <v>588</v>
      </c>
      <c r="BP774" t="s">
        <v>74</v>
      </c>
      <c r="BQ774" t="s">
        <v>74</v>
      </c>
      <c r="BR774" t="s">
        <v>108</v>
      </c>
      <c r="BS774" t="s">
        <v>15251</v>
      </c>
      <c r="BT774" t="str">
        <f>HYPERLINK("https%3A%2F%2Fwww.webofscience.com%2Fwos%2Fwoscc%2Ffull-record%2FWOS:000488614800023","View Full Record in Web of Science")</f>
        <v>View Full Record in Web of Science</v>
      </c>
    </row>
    <row r="775" spans="1:72" x14ac:dyDescent="0.15">
      <c r="A775" t="s">
        <v>133</v>
      </c>
      <c r="B775" t="s">
        <v>15252</v>
      </c>
      <c r="C775" t="s">
        <v>74</v>
      </c>
      <c r="D775" t="s">
        <v>74</v>
      </c>
      <c r="E775" t="s">
        <v>74</v>
      </c>
      <c r="F775" t="s">
        <v>15253</v>
      </c>
      <c r="G775" t="s">
        <v>74</v>
      </c>
      <c r="H775" t="s">
        <v>74</v>
      </c>
      <c r="I775" t="s">
        <v>15254</v>
      </c>
      <c r="J775" t="s">
        <v>4109</v>
      </c>
      <c r="K775" t="s">
        <v>74</v>
      </c>
      <c r="L775" t="s">
        <v>74</v>
      </c>
      <c r="M775" t="s">
        <v>80</v>
      </c>
      <c r="N775" t="s">
        <v>138</v>
      </c>
      <c r="O775" t="s">
        <v>74</v>
      </c>
      <c r="P775" t="s">
        <v>74</v>
      </c>
      <c r="Q775" t="s">
        <v>74</v>
      </c>
      <c r="R775" t="s">
        <v>74</v>
      </c>
      <c r="S775" t="s">
        <v>74</v>
      </c>
      <c r="T775" t="s">
        <v>15255</v>
      </c>
      <c r="U775" t="s">
        <v>15256</v>
      </c>
      <c r="V775" t="s">
        <v>15257</v>
      </c>
      <c r="W775" t="s">
        <v>15258</v>
      </c>
      <c r="X775" t="s">
        <v>15259</v>
      </c>
      <c r="Y775" t="s">
        <v>15260</v>
      </c>
      <c r="Z775" t="s">
        <v>15261</v>
      </c>
      <c r="AA775" t="s">
        <v>15262</v>
      </c>
      <c r="AB775" t="s">
        <v>15263</v>
      </c>
      <c r="AC775" t="s">
        <v>15264</v>
      </c>
      <c r="AD775" t="s">
        <v>15265</v>
      </c>
      <c r="AE775" t="s">
        <v>15266</v>
      </c>
      <c r="AF775" t="s">
        <v>74</v>
      </c>
      <c r="AG775">
        <v>93</v>
      </c>
      <c r="AH775">
        <v>30</v>
      </c>
      <c r="AI775">
        <v>34</v>
      </c>
      <c r="AJ775">
        <v>2</v>
      </c>
      <c r="AK775">
        <v>13</v>
      </c>
      <c r="AL775" t="s">
        <v>683</v>
      </c>
      <c r="AM775" t="s">
        <v>684</v>
      </c>
      <c r="AN775" t="s">
        <v>685</v>
      </c>
      <c r="AO775" t="s">
        <v>74</v>
      </c>
      <c r="AP775" t="s">
        <v>4122</v>
      </c>
      <c r="AQ775" t="s">
        <v>74</v>
      </c>
      <c r="AR775" t="s">
        <v>4109</v>
      </c>
      <c r="AS775" t="s">
        <v>4123</v>
      </c>
      <c r="AT775" t="s">
        <v>6987</v>
      </c>
      <c r="AU775">
        <v>2019</v>
      </c>
      <c r="AV775">
        <v>7</v>
      </c>
      <c r="AW775">
        <v>10</v>
      </c>
      <c r="AX775" t="s">
        <v>74</v>
      </c>
      <c r="AY775" t="s">
        <v>74</v>
      </c>
      <c r="AZ775" t="s">
        <v>74</v>
      </c>
      <c r="BA775" t="s">
        <v>74</v>
      </c>
      <c r="BB775" t="s">
        <v>74</v>
      </c>
      <c r="BC775" t="s">
        <v>74</v>
      </c>
      <c r="BD775">
        <v>445</v>
      </c>
      <c r="BE775" t="s">
        <v>15267</v>
      </c>
      <c r="BF775" t="str">
        <f>HYPERLINK("http://dx.doi.org/10.3390/microorganisms7100445","http://dx.doi.org/10.3390/microorganisms7100445")</f>
        <v>http://dx.doi.org/10.3390/microorganisms7100445</v>
      </c>
      <c r="BG775" t="s">
        <v>74</v>
      </c>
      <c r="BH775" t="s">
        <v>74</v>
      </c>
      <c r="BI775">
        <v>16</v>
      </c>
      <c r="BJ775" t="s">
        <v>1713</v>
      </c>
      <c r="BK775" t="s">
        <v>294</v>
      </c>
      <c r="BL775" t="s">
        <v>1713</v>
      </c>
      <c r="BM775" t="s">
        <v>14115</v>
      </c>
      <c r="BN775">
        <v>31614720</v>
      </c>
      <c r="BO775" t="s">
        <v>693</v>
      </c>
      <c r="BP775" t="s">
        <v>74</v>
      </c>
      <c r="BQ775" t="s">
        <v>74</v>
      </c>
      <c r="BR775" t="s">
        <v>108</v>
      </c>
      <c r="BS775" t="s">
        <v>15268</v>
      </c>
      <c r="BT775" t="str">
        <f>HYPERLINK("https%3A%2F%2Fwww.webofscience.com%2Fwos%2Fwoscc%2Ffull-record%2FWOS:000498223100074","View Full Record in Web of Science")</f>
        <v>View Full Record in Web of Science</v>
      </c>
    </row>
    <row r="776" spans="1:72" x14ac:dyDescent="0.15">
      <c r="A776" t="s">
        <v>133</v>
      </c>
      <c r="B776" t="s">
        <v>15269</v>
      </c>
      <c r="C776" t="s">
        <v>74</v>
      </c>
      <c r="D776" t="s">
        <v>74</v>
      </c>
      <c r="E776" t="s">
        <v>74</v>
      </c>
      <c r="F776" t="s">
        <v>15270</v>
      </c>
      <c r="G776" t="s">
        <v>74</v>
      </c>
      <c r="H776" t="s">
        <v>74</v>
      </c>
      <c r="I776" t="s">
        <v>15271</v>
      </c>
      <c r="J776" t="s">
        <v>15272</v>
      </c>
      <c r="K776" t="s">
        <v>74</v>
      </c>
      <c r="L776" t="s">
        <v>74</v>
      </c>
      <c r="M776" t="s">
        <v>80</v>
      </c>
      <c r="N776" t="s">
        <v>1333</v>
      </c>
      <c r="O776" t="s">
        <v>74</v>
      </c>
      <c r="P776" t="s">
        <v>74</v>
      </c>
      <c r="Q776" t="s">
        <v>74</v>
      </c>
      <c r="R776" t="s">
        <v>74</v>
      </c>
      <c r="S776" t="s">
        <v>74</v>
      </c>
      <c r="T776" t="s">
        <v>74</v>
      </c>
      <c r="U776" t="s">
        <v>15273</v>
      </c>
      <c r="V776" t="s">
        <v>15274</v>
      </c>
      <c r="W776" t="s">
        <v>15275</v>
      </c>
      <c r="X776" t="s">
        <v>15276</v>
      </c>
      <c r="Y776" t="s">
        <v>15277</v>
      </c>
      <c r="Z776" t="s">
        <v>15278</v>
      </c>
      <c r="AA776" t="s">
        <v>15279</v>
      </c>
      <c r="AB776" t="s">
        <v>15280</v>
      </c>
      <c r="AC776" t="s">
        <v>74</v>
      </c>
      <c r="AD776" t="s">
        <v>74</v>
      </c>
      <c r="AE776" t="s">
        <v>74</v>
      </c>
      <c r="AF776" t="s">
        <v>74</v>
      </c>
      <c r="AG776">
        <v>15</v>
      </c>
      <c r="AH776">
        <v>1</v>
      </c>
      <c r="AI776">
        <v>1</v>
      </c>
      <c r="AJ776">
        <v>7</v>
      </c>
      <c r="AK776">
        <v>59</v>
      </c>
      <c r="AL776" t="s">
        <v>2038</v>
      </c>
      <c r="AM776" t="s">
        <v>1730</v>
      </c>
      <c r="AN776" t="s">
        <v>2039</v>
      </c>
      <c r="AO776" t="s">
        <v>15281</v>
      </c>
      <c r="AP776" t="s">
        <v>74</v>
      </c>
      <c r="AQ776" t="s">
        <v>74</v>
      </c>
      <c r="AR776" t="s">
        <v>15282</v>
      </c>
      <c r="AS776" t="s">
        <v>15283</v>
      </c>
      <c r="AT776" t="s">
        <v>6987</v>
      </c>
      <c r="AU776">
        <v>2019</v>
      </c>
      <c r="AV776">
        <v>3</v>
      </c>
      <c r="AW776">
        <v>10</v>
      </c>
      <c r="AX776" t="s">
        <v>74</v>
      </c>
      <c r="AY776" t="s">
        <v>74</v>
      </c>
      <c r="AZ776" t="s">
        <v>74</v>
      </c>
      <c r="BA776" t="s">
        <v>74</v>
      </c>
      <c r="BB776">
        <v>1380</v>
      </c>
      <c r="BC776">
        <v>1381</v>
      </c>
      <c r="BD776" t="s">
        <v>74</v>
      </c>
      <c r="BE776" t="s">
        <v>15284</v>
      </c>
      <c r="BF776" t="str">
        <f>HYPERLINK("http://dx.doi.org/10.1038/s41559-019-1000-5","http://dx.doi.org/10.1038/s41559-019-1000-5")</f>
        <v>http://dx.doi.org/10.1038/s41559-019-1000-5</v>
      </c>
      <c r="BG776" t="s">
        <v>74</v>
      </c>
      <c r="BH776" t="s">
        <v>74</v>
      </c>
      <c r="BI776">
        <v>2</v>
      </c>
      <c r="BJ776" t="s">
        <v>2678</v>
      </c>
      <c r="BK776" t="s">
        <v>294</v>
      </c>
      <c r="BL776" t="s">
        <v>2679</v>
      </c>
      <c r="BM776" t="s">
        <v>15285</v>
      </c>
      <c r="BN776">
        <v>31558831</v>
      </c>
      <c r="BO776" t="s">
        <v>74</v>
      </c>
      <c r="BP776" t="s">
        <v>74</v>
      </c>
      <c r="BQ776" t="s">
        <v>74</v>
      </c>
      <c r="BR776" t="s">
        <v>108</v>
      </c>
      <c r="BS776" t="s">
        <v>15286</v>
      </c>
      <c r="BT776" t="str">
        <f>HYPERLINK("https%3A%2F%2Fwww.webofscience.com%2Fwos%2Fwoscc%2Ffull-record%2FWOS:000488304100006","View Full Record in Web of Science")</f>
        <v>View Full Record in Web of Science</v>
      </c>
    </row>
    <row r="777" spans="1:72" x14ac:dyDescent="0.15">
      <c r="A777" t="s">
        <v>133</v>
      </c>
      <c r="B777" t="s">
        <v>15287</v>
      </c>
      <c r="C777" t="s">
        <v>74</v>
      </c>
      <c r="D777" t="s">
        <v>74</v>
      </c>
      <c r="E777" t="s">
        <v>74</v>
      </c>
      <c r="F777" t="s">
        <v>15288</v>
      </c>
      <c r="G777" t="s">
        <v>74</v>
      </c>
      <c r="H777" t="s">
        <v>74</v>
      </c>
      <c r="I777" t="s">
        <v>15289</v>
      </c>
      <c r="J777" t="s">
        <v>15290</v>
      </c>
      <c r="K777" t="s">
        <v>74</v>
      </c>
      <c r="L777" t="s">
        <v>74</v>
      </c>
      <c r="M777" t="s">
        <v>80</v>
      </c>
      <c r="N777" t="s">
        <v>1333</v>
      </c>
      <c r="O777" t="s">
        <v>74</v>
      </c>
      <c r="P777" t="s">
        <v>74</v>
      </c>
      <c r="Q777" t="s">
        <v>74</v>
      </c>
      <c r="R777" t="s">
        <v>74</v>
      </c>
      <c r="S777" t="s">
        <v>74</v>
      </c>
      <c r="T777" t="s">
        <v>74</v>
      </c>
      <c r="U777" t="s">
        <v>74</v>
      </c>
      <c r="V777" t="s">
        <v>15291</v>
      </c>
      <c r="W777" t="s">
        <v>15292</v>
      </c>
      <c r="X777" t="s">
        <v>2071</v>
      </c>
      <c r="Y777" t="s">
        <v>15293</v>
      </c>
      <c r="Z777" t="s">
        <v>8823</v>
      </c>
      <c r="AA777" t="s">
        <v>15294</v>
      </c>
      <c r="AB777" t="s">
        <v>15295</v>
      </c>
      <c r="AC777" t="s">
        <v>74</v>
      </c>
      <c r="AD777" t="s">
        <v>74</v>
      </c>
      <c r="AE777" t="s">
        <v>74</v>
      </c>
      <c r="AF777" t="s">
        <v>74</v>
      </c>
      <c r="AG777">
        <v>0</v>
      </c>
      <c r="AH777">
        <v>0</v>
      </c>
      <c r="AI777">
        <v>0</v>
      </c>
      <c r="AJ777">
        <v>1</v>
      </c>
      <c r="AK777">
        <v>3</v>
      </c>
      <c r="AL777" t="s">
        <v>2038</v>
      </c>
      <c r="AM777" t="s">
        <v>1965</v>
      </c>
      <c r="AN777" t="s">
        <v>4141</v>
      </c>
      <c r="AO777" t="s">
        <v>15296</v>
      </c>
      <c r="AP777" t="s">
        <v>74</v>
      </c>
      <c r="AQ777" t="s">
        <v>74</v>
      </c>
      <c r="AR777" t="s">
        <v>15297</v>
      </c>
      <c r="AS777" t="s">
        <v>15298</v>
      </c>
      <c r="AT777" t="s">
        <v>6987</v>
      </c>
      <c r="AU777">
        <v>2019</v>
      </c>
      <c r="AV777">
        <v>3</v>
      </c>
      <c r="AW777">
        <v>10</v>
      </c>
      <c r="AX777" t="s">
        <v>74</v>
      </c>
      <c r="AY777" t="s">
        <v>74</v>
      </c>
      <c r="AZ777" t="s">
        <v>74</v>
      </c>
      <c r="BA777" t="s">
        <v>74</v>
      </c>
      <c r="BB777">
        <v>1020</v>
      </c>
      <c r="BC777">
        <v>1020</v>
      </c>
      <c r="BD777" t="s">
        <v>74</v>
      </c>
      <c r="BE777" t="s">
        <v>15299</v>
      </c>
      <c r="BF777" t="str">
        <f>HYPERLINK("http://dx.doi.org/10.1038/s41562-019-0695-2","http://dx.doi.org/10.1038/s41562-019-0695-2")</f>
        <v>http://dx.doi.org/10.1038/s41562-019-0695-2</v>
      </c>
      <c r="BG777" t="s">
        <v>74</v>
      </c>
      <c r="BH777" t="s">
        <v>74</v>
      </c>
      <c r="BI777">
        <v>1</v>
      </c>
      <c r="BJ777" t="s">
        <v>15300</v>
      </c>
      <c r="BK777" t="s">
        <v>360</v>
      </c>
      <c r="BL777" t="s">
        <v>15301</v>
      </c>
      <c r="BM777" t="s">
        <v>15302</v>
      </c>
      <c r="BN777">
        <v>31602025</v>
      </c>
      <c r="BO777" t="s">
        <v>588</v>
      </c>
      <c r="BP777" t="s">
        <v>74</v>
      </c>
      <c r="BQ777" t="s">
        <v>74</v>
      </c>
      <c r="BR777" t="s">
        <v>108</v>
      </c>
      <c r="BS777" t="s">
        <v>15303</v>
      </c>
      <c r="BT777" t="str">
        <f>HYPERLINK("https%3A%2F%2Fwww.webofscience.com%2Fwos%2Fwoscc%2Ffull-record%2FWOS:000489637200015","View Full Record in Web of Science")</f>
        <v>View Full Record in Web of Science</v>
      </c>
    </row>
    <row r="778" spans="1:72" x14ac:dyDescent="0.15">
      <c r="A778" t="s">
        <v>133</v>
      </c>
      <c r="B778" t="s">
        <v>15304</v>
      </c>
      <c r="C778" t="s">
        <v>74</v>
      </c>
      <c r="D778" t="s">
        <v>74</v>
      </c>
      <c r="E778" t="s">
        <v>74</v>
      </c>
      <c r="F778" t="s">
        <v>15305</v>
      </c>
      <c r="G778" t="s">
        <v>74</v>
      </c>
      <c r="H778" t="s">
        <v>74</v>
      </c>
      <c r="I778" t="s">
        <v>15306</v>
      </c>
      <c r="J778" t="s">
        <v>15307</v>
      </c>
      <c r="K778" t="s">
        <v>74</v>
      </c>
      <c r="L778" t="s">
        <v>74</v>
      </c>
      <c r="M778" t="s">
        <v>80</v>
      </c>
      <c r="N778" t="s">
        <v>1333</v>
      </c>
      <c r="O778" t="s">
        <v>74</v>
      </c>
      <c r="P778" t="s">
        <v>74</v>
      </c>
      <c r="Q778" t="s">
        <v>74</v>
      </c>
      <c r="R778" t="s">
        <v>74</v>
      </c>
      <c r="S778" t="s">
        <v>74</v>
      </c>
      <c r="T778" t="s">
        <v>15308</v>
      </c>
      <c r="U778" t="s">
        <v>74</v>
      </c>
      <c r="V778" t="s">
        <v>15309</v>
      </c>
      <c r="W778" t="s">
        <v>15310</v>
      </c>
      <c r="X778" t="s">
        <v>15311</v>
      </c>
      <c r="Y778" t="s">
        <v>15312</v>
      </c>
      <c r="Z778" t="s">
        <v>15313</v>
      </c>
      <c r="AA778" t="s">
        <v>15314</v>
      </c>
      <c r="AB778" t="s">
        <v>15315</v>
      </c>
      <c r="AC778" t="s">
        <v>15316</v>
      </c>
      <c r="AD778" t="s">
        <v>15317</v>
      </c>
      <c r="AE778" t="s">
        <v>15318</v>
      </c>
      <c r="AF778" t="s">
        <v>74</v>
      </c>
      <c r="AG778">
        <v>0</v>
      </c>
      <c r="AH778">
        <v>2</v>
      </c>
      <c r="AI778">
        <v>2</v>
      </c>
      <c r="AJ778">
        <v>3</v>
      </c>
      <c r="AK778">
        <v>5</v>
      </c>
      <c r="AL778" t="s">
        <v>429</v>
      </c>
      <c r="AM778" t="s">
        <v>430</v>
      </c>
      <c r="AN778" t="s">
        <v>431</v>
      </c>
      <c r="AO778" t="s">
        <v>15319</v>
      </c>
      <c r="AP778" t="s">
        <v>15320</v>
      </c>
      <c r="AQ778" t="s">
        <v>74</v>
      </c>
      <c r="AR778" t="s">
        <v>15321</v>
      </c>
      <c r="AS778" t="s">
        <v>15322</v>
      </c>
      <c r="AT778" t="s">
        <v>6987</v>
      </c>
      <c r="AU778">
        <v>2019</v>
      </c>
      <c r="AV778">
        <v>30</v>
      </c>
      <c r="AW778">
        <v>4</v>
      </c>
      <c r="AX778" t="s">
        <v>74</v>
      </c>
      <c r="AY778" t="s">
        <v>74</v>
      </c>
      <c r="AZ778" t="s">
        <v>555</v>
      </c>
      <c r="BA778" t="s">
        <v>74</v>
      </c>
      <c r="BB778">
        <v>245</v>
      </c>
      <c r="BC778">
        <v>248</v>
      </c>
      <c r="BD778" t="s">
        <v>74</v>
      </c>
      <c r="BE778" t="s">
        <v>15323</v>
      </c>
      <c r="BF778" t="str">
        <f>HYPERLINK("http://dx.doi.org/10.1002/ppp.2034","http://dx.doi.org/10.1002/ppp.2034")</f>
        <v>http://dx.doi.org/10.1002/ppp.2034</v>
      </c>
      <c r="BG778" t="s">
        <v>74</v>
      </c>
      <c r="BH778" t="s">
        <v>74</v>
      </c>
      <c r="BI778">
        <v>4</v>
      </c>
      <c r="BJ778" t="s">
        <v>15324</v>
      </c>
      <c r="BK778" t="s">
        <v>294</v>
      </c>
      <c r="BL778" t="s">
        <v>463</v>
      </c>
      <c r="BM778" t="s">
        <v>15325</v>
      </c>
      <c r="BN778" t="s">
        <v>74</v>
      </c>
      <c r="BO778" t="s">
        <v>666</v>
      </c>
      <c r="BP778" t="s">
        <v>74</v>
      </c>
      <c r="BQ778" t="s">
        <v>74</v>
      </c>
      <c r="BR778" t="s">
        <v>108</v>
      </c>
      <c r="BS778" t="s">
        <v>15326</v>
      </c>
      <c r="BT778" t="str">
        <f>HYPERLINK("https%3A%2F%2Fwww.webofscience.com%2Fwos%2Fwoscc%2Ffull-record%2FWOS:000802292100002","View Full Record in Web of Science")</f>
        <v>View Full Record in Web of Science</v>
      </c>
    </row>
    <row r="779" spans="1:72" x14ac:dyDescent="0.15">
      <c r="A779" t="s">
        <v>133</v>
      </c>
      <c r="B779" t="s">
        <v>15327</v>
      </c>
      <c r="C779" t="s">
        <v>74</v>
      </c>
      <c r="D779" t="s">
        <v>74</v>
      </c>
      <c r="E779" t="s">
        <v>74</v>
      </c>
      <c r="F779" t="s">
        <v>15328</v>
      </c>
      <c r="G779" t="s">
        <v>74</v>
      </c>
      <c r="H779" t="s">
        <v>74</v>
      </c>
      <c r="I779" t="s">
        <v>15329</v>
      </c>
      <c r="J779" t="s">
        <v>15307</v>
      </c>
      <c r="K779" t="s">
        <v>74</v>
      </c>
      <c r="L779" t="s">
        <v>74</v>
      </c>
      <c r="M779" t="s">
        <v>80</v>
      </c>
      <c r="N779" t="s">
        <v>138</v>
      </c>
      <c r="O779" t="s">
        <v>74</v>
      </c>
      <c r="P779" t="s">
        <v>74</v>
      </c>
      <c r="Q779" t="s">
        <v>74</v>
      </c>
      <c r="R779" t="s">
        <v>74</v>
      </c>
      <c r="S779" t="s">
        <v>74</v>
      </c>
      <c r="T779" t="s">
        <v>15330</v>
      </c>
      <c r="U779" t="s">
        <v>74</v>
      </c>
      <c r="V779" t="s">
        <v>15331</v>
      </c>
      <c r="W779" t="s">
        <v>15332</v>
      </c>
      <c r="X779" t="s">
        <v>15333</v>
      </c>
      <c r="Y779" t="s">
        <v>15334</v>
      </c>
      <c r="Z779" t="s">
        <v>15335</v>
      </c>
      <c r="AA779" t="s">
        <v>15336</v>
      </c>
      <c r="AB779" t="s">
        <v>15337</v>
      </c>
      <c r="AC779" t="s">
        <v>15338</v>
      </c>
      <c r="AD779" t="s">
        <v>15339</v>
      </c>
      <c r="AE779" t="s">
        <v>15340</v>
      </c>
      <c r="AF779" t="s">
        <v>74</v>
      </c>
      <c r="AG779">
        <v>0</v>
      </c>
      <c r="AH779">
        <v>8</v>
      </c>
      <c r="AI779">
        <v>9</v>
      </c>
      <c r="AJ779">
        <v>0</v>
      </c>
      <c r="AK779">
        <v>4</v>
      </c>
      <c r="AL779" t="s">
        <v>429</v>
      </c>
      <c r="AM779" t="s">
        <v>430</v>
      </c>
      <c r="AN779" t="s">
        <v>431</v>
      </c>
      <c r="AO779" t="s">
        <v>15319</v>
      </c>
      <c r="AP779" t="s">
        <v>15320</v>
      </c>
      <c r="AQ779" t="s">
        <v>74</v>
      </c>
      <c r="AR779" t="s">
        <v>15321</v>
      </c>
      <c r="AS779" t="s">
        <v>15322</v>
      </c>
      <c r="AT779" t="s">
        <v>6987</v>
      </c>
      <c r="AU779">
        <v>2019</v>
      </c>
      <c r="AV779">
        <v>30</v>
      </c>
      <c r="AW779">
        <v>4</v>
      </c>
      <c r="AX779" t="s">
        <v>74</v>
      </c>
      <c r="AY779" t="s">
        <v>74</v>
      </c>
      <c r="AZ779" t="s">
        <v>555</v>
      </c>
      <c r="BA779" t="s">
        <v>74</v>
      </c>
      <c r="BB779">
        <v>278</v>
      </c>
      <c r="BC779">
        <v>291</v>
      </c>
      <c r="BD779" t="s">
        <v>74</v>
      </c>
      <c r="BE779" t="s">
        <v>15341</v>
      </c>
      <c r="BF779" t="str">
        <f>HYPERLINK("http://dx.doi.org/10.1002/ppp.2002","http://dx.doi.org/10.1002/ppp.2002")</f>
        <v>http://dx.doi.org/10.1002/ppp.2002</v>
      </c>
      <c r="BG779" t="s">
        <v>74</v>
      </c>
      <c r="BH779" t="s">
        <v>74</v>
      </c>
      <c r="BI779">
        <v>14</v>
      </c>
      <c r="BJ779" t="s">
        <v>15324</v>
      </c>
      <c r="BK779" t="s">
        <v>294</v>
      </c>
      <c r="BL779" t="s">
        <v>463</v>
      </c>
      <c r="BM779" t="s">
        <v>15325</v>
      </c>
      <c r="BN779" t="s">
        <v>74</v>
      </c>
      <c r="BO779" t="s">
        <v>74</v>
      </c>
      <c r="BP779" t="s">
        <v>74</v>
      </c>
      <c r="BQ779" t="s">
        <v>74</v>
      </c>
      <c r="BR779" t="s">
        <v>108</v>
      </c>
      <c r="BS779" t="s">
        <v>15342</v>
      </c>
      <c r="BT779" t="str">
        <f>HYPERLINK("https%3A%2F%2Fwww.webofscience.com%2Fwos%2Fwoscc%2Ffull-record%2FWOS:000802292100005","View Full Record in Web of Science")</f>
        <v>View Full Record in Web of Science</v>
      </c>
    </row>
    <row r="780" spans="1:72" x14ac:dyDescent="0.15">
      <c r="A780" t="s">
        <v>133</v>
      </c>
      <c r="B780" t="s">
        <v>15343</v>
      </c>
      <c r="C780" t="s">
        <v>74</v>
      </c>
      <c r="D780" t="s">
        <v>74</v>
      </c>
      <c r="E780" t="s">
        <v>74</v>
      </c>
      <c r="F780" t="s">
        <v>15344</v>
      </c>
      <c r="G780" t="s">
        <v>74</v>
      </c>
      <c r="H780" t="s">
        <v>74</v>
      </c>
      <c r="I780" t="s">
        <v>15345</v>
      </c>
      <c r="J780" t="s">
        <v>15346</v>
      </c>
      <c r="K780" t="s">
        <v>74</v>
      </c>
      <c r="L780" t="s">
        <v>74</v>
      </c>
      <c r="M780" t="s">
        <v>80</v>
      </c>
      <c r="N780" t="s">
        <v>1333</v>
      </c>
      <c r="O780" t="s">
        <v>74</v>
      </c>
      <c r="P780" t="s">
        <v>74</v>
      </c>
      <c r="Q780" t="s">
        <v>74</v>
      </c>
      <c r="R780" t="s">
        <v>74</v>
      </c>
      <c r="S780" t="s">
        <v>74</v>
      </c>
      <c r="T780" t="s">
        <v>74</v>
      </c>
      <c r="U780" t="s">
        <v>15347</v>
      </c>
      <c r="V780" t="s">
        <v>15348</v>
      </c>
      <c r="W780" t="s">
        <v>74</v>
      </c>
      <c r="X780" t="s">
        <v>74</v>
      </c>
      <c r="Y780" t="s">
        <v>74</v>
      </c>
      <c r="Z780" t="s">
        <v>74</v>
      </c>
      <c r="AA780" t="s">
        <v>74</v>
      </c>
      <c r="AB780" t="s">
        <v>74</v>
      </c>
      <c r="AC780" t="s">
        <v>74</v>
      </c>
      <c r="AD780" t="s">
        <v>74</v>
      </c>
      <c r="AE780" t="s">
        <v>74</v>
      </c>
      <c r="AF780" t="s">
        <v>74</v>
      </c>
      <c r="AG780">
        <v>8</v>
      </c>
      <c r="AH780">
        <v>2</v>
      </c>
      <c r="AI780">
        <v>2</v>
      </c>
      <c r="AJ780">
        <v>0</v>
      </c>
      <c r="AK780">
        <v>2</v>
      </c>
      <c r="AL780" t="s">
        <v>13703</v>
      </c>
      <c r="AM780" t="s">
        <v>9351</v>
      </c>
      <c r="AN780" t="s">
        <v>13704</v>
      </c>
      <c r="AO780" t="s">
        <v>15349</v>
      </c>
      <c r="AP780" t="s">
        <v>15350</v>
      </c>
      <c r="AQ780" t="s">
        <v>74</v>
      </c>
      <c r="AR780" t="s">
        <v>15351</v>
      </c>
      <c r="AS780" t="s">
        <v>15352</v>
      </c>
      <c r="AT780" t="s">
        <v>14412</v>
      </c>
      <c r="AU780">
        <v>2019</v>
      </c>
      <c r="AV780">
        <v>72</v>
      </c>
      <c r="AW780">
        <v>10</v>
      </c>
      <c r="AX780" t="s">
        <v>74</v>
      </c>
      <c r="AY780" t="s">
        <v>74</v>
      </c>
      <c r="AZ780" t="s">
        <v>74</v>
      </c>
      <c r="BA780" t="s">
        <v>74</v>
      </c>
      <c r="BB780">
        <v>14</v>
      </c>
      <c r="BC780">
        <v>15</v>
      </c>
      <c r="BD780" t="s">
        <v>74</v>
      </c>
      <c r="BE780" t="s">
        <v>15353</v>
      </c>
      <c r="BF780" t="str">
        <f>HYPERLINK("http://dx.doi.org/10.1063/PT.3.4311","http://dx.doi.org/10.1063/PT.3.4311")</f>
        <v>http://dx.doi.org/10.1063/PT.3.4311</v>
      </c>
      <c r="BG780" t="s">
        <v>74</v>
      </c>
      <c r="BH780" t="s">
        <v>74</v>
      </c>
      <c r="BI780">
        <v>2</v>
      </c>
      <c r="BJ780" t="s">
        <v>15354</v>
      </c>
      <c r="BK780" t="s">
        <v>294</v>
      </c>
      <c r="BL780" t="s">
        <v>7968</v>
      </c>
      <c r="BM780" t="s">
        <v>15355</v>
      </c>
      <c r="BN780" t="s">
        <v>74</v>
      </c>
      <c r="BO780" t="s">
        <v>588</v>
      </c>
      <c r="BP780" t="s">
        <v>74</v>
      </c>
      <c r="BQ780" t="s">
        <v>74</v>
      </c>
      <c r="BR780" t="s">
        <v>108</v>
      </c>
      <c r="BS780" t="s">
        <v>15356</v>
      </c>
      <c r="BT780" t="str">
        <f>HYPERLINK("https%3A%2F%2Fwww.webofscience.com%2Fwos%2Fwoscc%2Ffull-record%2FWOS:000488839400003","View Full Record in Web of Science")</f>
        <v>View Full Record in Web of Science</v>
      </c>
    </row>
    <row r="781" spans="1:72" x14ac:dyDescent="0.15">
      <c r="A781" t="s">
        <v>133</v>
      </c>
      <c r="B781" t="s">
        <v>15357</v>
      </c>
      <c r="C781" t="s">
        <v>74</v>
      </c>
      <c r="D781" t="s">
        <v>74</v>
      </c>
      <c r="E781" t="s">
        <v>74</v>
      </c>
      <c r="F781" t="s">
        <v>15358</v>
      </c>
      <c r="G781" t="s">
        <v>74</v>
      </c>
      <c r="H781" t="s">
        <v>74</v>
      </c>
      <c r="I781" t="s">
        <v>15359</v>
      </c>
      <c r="J781" t="s">
        <v>9564</v>
      </c>
      <c r="K781" t="s">
        <v>74</v>
      </c>
      <c r="L781" t="s">
        <v>74</v>
      </c>
      <c r="M781" t="s">
        <v>80</v>
      </c>
      <c r="N781" t="s">
        <v>138</v>
      </c>
      <c r="O781" t="s">
        <v>74</v>
      </c>
      <c r="P781" t="s">
        <v>74</v>
      </c>
      <c r="Q781" t="s">
        <v>74</v>
      </c>
      <c r="R781" t="s">
        <v>74</v>
      </c>
      <c r="S781" t="s">
        <v>74</v>
      </c>
      <c r="T781" t="s">
        <v>15360</v>
      </c>
      <c r="U781" t="s">
        <v>15361</v>
      </c>
      <c r="V781" t="s">
        <v>15362</v>
      </c>
      <c r="W781" t="s">
        <v>15363</v>
      </c>
      <c r="X781" t="s">
        <v>15364</v>
      </c>
      <c r="Y781" t="s">
        <v>15365</v>
      </c>
      <c r="Z781" t="s">
        <v>15366</v>
      </c>
      <c r="AA781" t="s">
        <v>15367</v>
      </c>
      <c r="AB781" t="s">
        <v>15368</v>
      </c>
      <c r="AC781" t="s">
        <v>15369</v>
      </c>
      <c r="AD781" t="s">
        <v>15370</v>
      </c>
      <c r="AE781" t="s">
        <v>15371</v>
      </c>
      <c r="AF781" t="s">
        <v>74</v>
      </c>
      <c r="AG781">
        <v>124</v>
      </c>
      <c r="AH781">
        <v>72</v>
      </c>
      <c r="AI781">
        <v>76</v>
      </c>
      <c r="AJ781">
        <v>3</v>
      </c>
      <c r="AK781">
        <v>28</v>
      </c>
      <c r="AL781" t="s">
        <v>1729</v>
      </c>
      <c r="AM781" t="s">
        <v>1730</v>
      </c>
      <c r="AN781" t="s">
        <v>1731</v>
      </c>
      <c r="AO781" t="s">
        <v>9575</v>
      </c>
      <c r="AP781" t="s">
        <v>74</v>
      </c>
      <c r="AQ781" t="s">
        <v>74</v>
      </c>
      <c r="AR781" t="s">
        <v>9576</v>
      </c>
      <c r="AS781" t="s">
        <v>9577</v>
      </c>
      <c r="AT781" t="s">
        <v>6987</v>
      </c>
      <c r="AU781">
        <v>2019</v>
      </c>
      <c r="AV781">
        <v>6</v>
      </c>
      <c r="AW781">
        <v>10</v>
      </c>
      <c r="AX781" t="s">
        <v>74</v>
      </c>
      <c r="AY781" t="s">
        <v>74</v>
      </c>
      <c r="AZ781" t="s">
        <v>74</v>
      </c>
      <c r="BA781" t="s">
        <v>74</v>
      </c>
      <c r="BB781" t="s">
        <v>74</v>
      </c>
      <c r="BC781" t="s">
        <v>74</v>
      </c>
      <c r="BD781">
        <v>190368</v>
      </c>
      <c r="BE781" t="s">
        <v>15372</v>
      </c>
      <c r="BF781" t="str">
        <f>HYPERLINK("http://dx.doi.org/10.1098/rsos.190368","http://dx.doi.org/10.1098/rsos.190368")</f>
        <v>http://dx.doi.org/10.1098/rsos.190368</v>
      </c>
      <c r="BG781" t="s">
        <v>74</v>
      </c>
      <c r="BH781" t="s">
        <v>74</v>
      </c>
      <c r="BI781">
        <v>22</v>
      </c>
      <c r="BJ781" t="s">
        <v>1245</v>
      </c>
      <c r="BK781" t="s">
        <v>294</v>
      </c>
      <c r="BL781" t="s">
        <v>1246</v>
      </c>
      <c r="BM781" t="s">
        <v>13578</v>
      </c>
      <c r="BN781">
        <v>31824687</v>
      </c>
      <c r="BO781" t="s">
        <v>12534</v>
      </c>
      <c r="BP781" t="s">
        <v>74</v>
      </c>
      <c r="BQ781" t="s">
        <v>74</v>
      </c>
      <c r="BR781" t="s">
        <v>108</v>
      </c>
      <c r="BS781" t="s">
        <v>15373</v>
      </c>
      <c r="BT781" t="str">
        <f>HYPERLINK("https%3A%2F%2Fwww.webofscience.com%2Fwos%2Fwoscc%2Ffull-record%2FWOS:000510431100012","View Full Record in Web of Science")</f>
        <v>View Full Record in Web of Science</v>
      </c>
    </row>
    <row r="782" spans="1:72" x14ac:dyDescent="0.15">
      <c r="A782" t="s">
        <v>133</v>
      </c>
      <c r="B782" t="s">
        <v>15374</v>
      </c>
      <c r="C782" t="s">
        <v>74</v>
      </c>
      <c r="D782" t="s">
        <v>74</v>
      </c>
      <c r="E782" t="s">
        <v>74</v>
      </c>
      <c r="F782" t="s">
        <v>15375</v>
      </c>
      <c r="G782" t="s">
        <v>74</v>
      </c>
      <c r="H782" t="s">
        <v>74</v>
      </c>
      <c r="I782" t="s">
        <v>15376</v>
      </c>
      <c r="J782" t="s">
        <v>15377</v>
      </c>
      <c r="K782" t="s">
        <v>74</v>
      </c>
      <c r="L782" t="s">
        <v>74</v>
      </c>
      <c r="M782" t="s">
        <v>80</v>
      </c>
      <c r="N782" t="s">
        <v>930</v>
      </c>
      <c r="O782" t="s">
        <v>74</v>
      </c>
      <c r="P782" t="s">
        <v>74</v>
      </c>
      <c r="Q782" t="s">
        <v>74</v>
      </c>
      <c r="R782" t="s">
        <v>74</v>
      </c>
      <c r="S782" t="s">
        <v>74</v>
      </c>
      <c r="T782" t="s">
        <v>15378</v>
      </c>
      <c r="U782" t="s">
        <v>15379</v>
      </c>
      <c r="V782" t="s">
        <v>15380</v>
      </c>
      <c r="W782" t="s">
        <v>15381</v>
      </c>
      <c r="X782" t="s">
        <v>15382</v>
      </c>
      <c r="Y782" t="s">
        <v>15383</v>
      </c>
      <c r="Z782" t="s">
        <v>15384</v>
      </c>
      <c r="AA782" t="s">
        <v>74</v>
      </c>
      <c r="AB782" t="s">
        <v>74</v>
      </c>
      <c r="AC782" t="s">
        <v>74</v>
      </c>
      <c r="AD782" t="s">
        <v>74</v>
      </c>
      <c r="AE782" t="s">
        <v>74</v>
      </c>
      <c r="AF782" t="s">
        <v>74</v>
      </c>
      <c r="AG782">
        <v>196</v>
      </c>
      <c r="AH782">
        <v>18</v>
      </c>
      <c r="AI782">
        <v>20</v>
      </c>
      <c r="AJ782">
        <v>17</v>
      </c>
      <c r="AK782">
        <v>236</v>
      </c>
      <c r="AL782" t="s">
        <v>429</v>
      </c>
      <c r="AM782" t="s">
        <v>430</v>
      </c>
      <c r="AN782" t="s">
        <v>431</v>
      </c>
      <c r="AO782" t="s">
        <v>15385</v>
      </c>
      <c r="AP782" t="s">
        <v>15386</v>
      </c>
      <c r="AQ782" t="s">
        <v>74</v>
      </c>
      <c r="AR782" t="s">
        <v>15387</v>
      </c>
      <c r="AS782" t="s">
        <v>15388</v>
      </c>
      <c r="AT782" t="s">
        <v>6987</v>
      </c>
      <c r="AU782">
        <v>2019</v>
      </c>
      <c r="AV782">
        <v>91</v>
      </c>
      <c r="AW782">
        <v>10</v>
      </c>
      <c r="AX782" t="s">
        <v>74</v>
      </c>
      <c r="AY782" t="s">
        <v>74</v>
      </c>
      <c r="AZ782" t="s">
        <v>74</v>
      </c>
      <c r="BA782" t="s">
        <v>74</v>
      </c>
      <c r="BB782">
        <v>1229</v>
      </c>
      <c r="BC782">
        <v>1252</v>
      </c>
      <c r="BD782" t="s">
        <v>74</v>
      </c>
      <c r="BE782" t="s">
        <v>15389</v>
      </c>
      <c r="BF782" t="str">
        <f>HYPERLINK("http://dx.doi.org/10.1002/wer.1218","http://dx.doi.org/10.1002/wer.1218")</f>
        <v>http://dx.doi.org/10.1002/wer.1218</v>
      </c>
      <c r="BG782" t="s">
        <v>74</v>
      </c>
      <c r="BH782" t="s">
        <v>74</v>
      </c>
      <c r="BI782">
        <v>24</v>
      </c>
      <c r="BJ782" t="s">
        <v>15390</v>
      </c>
      <c r="BK782" t="s">
        <v>294</v>
      </c>
      <c r="BL782" t="s">
        <v>15391</v>
      </c>
      <c r="BM782" t="s">
        <v>15392</v>
      </c>
      <c r="BN782">
        <v>31513312</v>
      </c>
      <c r="BO782" t="s">
        <v>2330</v>
      </c>
      <c r="BP782" t="s">
        <v>74</v>
      </c>
      <c r="BQ782" t="s">
        <v>74</v>
      </c>
      <c r="BR782" t="s">
        <v>108</v>
      </c>
      <c r="BS782" t="s">
        <v>15393</v>
      </c>
      <c r="BT782" t="str">
        <f>HYPERLINK("https%3A%2F%2Fwww.webofscience.com%2Fwos%2Fwoscc%2Ffull-record%2FWOS:000565605400025","View Full Record in Web of Science")</f>
        <v>View Full Record in Web of Science</v>
      </c>
    </row>
    <row r="783" spans="1:72" x14ac:dyDescent="0.15">
      <c r="A783" t="s">
        <v>133</v>
      </c>
      <c r="B783" t="s">
        <v>15394</v>
      </c>
      <c r="C783" t="s">
        <v>74</v>
      </c>
      <c r="D783" t="s">
        <v>74</v>
      </c>
      <c r="E783" t="s">
        <v>74</v>
      </c>
      <c r="F783" t="s">
        <v>15395</v>
      </c>
      <c r="G783" t="s">
        <v>74</v>
      </c>
      <c r="H783" t="s">
        <v>74</v>
      </c>
      <c r="I783" t="s">
        <v>15396</v>
      </c>
      <c r="J783" t="s">
        <v>15397</v>
      </c>
      <c r="K783" t="s">
        <v>74</v>
      </c>
      <c r="L783" t="s">
        <v>74</v>
      </c>
      <c r="M783" t="s">
        <v>80</v>
      </c>
      <c r="N783" t="s">
        <v>138</v>
      </c>
      <c r="O783" t="s">
        <v>74</v>
      </c>
      <c r="P783" t="s">
        <v>74</v>
      </c>
      <c r="Q783" t="s">
        <v>74</v>
      </c>
      <c r="R783" t="s">
        <v>74</v>
      </c>
      <c r="S783" t="s">
        <v>74</v>
      </c>
      <c r="T783" t="s">
        <v>15398</v>
      </c>
      <c r="U783" t="s">
        <v>15399</v>
      </c>
      <c r="V783" t="s">
        <v>15400</v>
      </c>
      <c r="W783" t="s">
        <v>15401</v>
      </c>
      <c r="X783" t="s">
        <v>15402</v>
      </c>
      <c r="Y783" t="s">
        <v>15403</v>
      </c>
      <c r="Z783" t="s">
        <v>15404</v>
      </c>
      <c r="AA783" t="s">
        <v>15405</v>
      </c>
      <c r="AB783" t="s">
        <v>15406</v>
      </c>
      <c r="AC783" t="s">
        <v>15407</v>
      </c>
      <c r="AD783" t="s">
        <v>15408</v>
      </c>
      <c r="AE783" t="s">
        <v>15409</v>
      </c>
      <c r="AF783" t="s">
        <v>74</v>
      </c>
      <c r="AG783">
        <v>32</v>
      </c>
      <c r="AH783">
        <v>4</v>
      </c>
      <c r="AI783">
        <v>5</v>
      </c>
      <c r="AJ783">
        <v>1</v>
      </c>
      <c r="AK783">
        <v>23</v>
      </c>
      <c r="AL783" t="s">
        <v>3493</v>
      </c>
      <c r="AM783" t="s">
        <v>3494</v>
      </c>
      <c r="AN783" t="s">
        <v>3495</v>
      </c>
      <c r="AO783" t="s">
        <v>15410</v>
      </c>
      <c r="AP783" t="s">
        <v>15411</v>
      </c>
      <c r="AQ783" t="s">
        <v>74</v>
      </c>
      <c r="AR783" t="s">
        <v>15397</v>
      </c>
      <c r="AS783" t="s">
        <v>15412</v>
      </c>
      <c r="AT783" t="s">
        <v>6987</v>
      </c>
      <c r="AU783">
        <v>2019</v>
      </c>
      <c r="AV783">
        <v>9</v>
      </c>
      <c r="AW783">
        <v>10</v>
      </c>
      <c r="AX783" t="s">
        <v>74</v>
      </c>
      <c r="AY783" t="s">
        <v>74</v>
      </c>
      <c r="AZ783" t="s">
        <v>74</v>
      </c>
      <c r="BA783" t="s">
        <v>74</v>
      </c>
      <c r="BB783" t="s">
        <v>74</v>
      </c>
      <c r="BC783" t="s">
        <v>74</v>
      </c>
      <c r="BD783">
        <v>363</v>
      </c>
      <c r="BE783" t="s">
        <v>15413</v>
      </c>
      <c r="BF783" t="str">
        <f>HYPERLINK("http://dx.doi.org/10.1007/s13205-019-1889-z","http://dx.doi.org/10.1007/s13205-019-1889-z")</f>
        <v>http://dx.doi.org/10.1007/s13205-019-1889-z</v>
      </c>
      <c r="BG783" t="s">
        <v>74</v>
      </c>
      <c r="BH783" t="s">
        <v>74</v>
      </c>
      <c r="BI783">
        <v>8</v>
      </c>
      <c r="BJ783" t="s">
        <v>5905</v>
      </c>
      <c r="BK783" t="s">
        <v>294</v>
      </c>
      <c r="BL783" t="s">
        <v>5905</v>
      </c>
      <c r="BM783" t="s">
        <v>15414</v>
      </c>
      <c r="BN783">
        <v>31576282</v>
      </c>
      <c r="BO783" t="s">
        <v>1482</v>
      </c>
      <c r="BP783" t="s">
        <v>74</v>
      </c>
      <c r="BQ783" t="s">
        <v>74</v>
      </c>
      <c r="BR783" t="s">
        <v>108</v>
      </c>
      <c r="BS783" t="s">
        <v>15415</v>
      </c>
      <c r="BT783" t="str">
        <f>HYPERLINK("https%3A%2F%2Fwww.webofscience.com%2Fwos%2Fwoscc%2Ffull-record%2FWOS:000486732300001","View Full Record in Web of Science")</f>
        <v>View Full Record in Web of Science</v>
      </c>
    </row>
    <row r="784" spans="1:72" x14ac:dyDescent="0.15">
      <c r="A784" t="s">
        <v>133</v>
      </c>
      <c r="B784" t="s">
        <v>15416</v>
      </c>
      <c r="C784" t="s">
        <v>74</v>
      </c>
      <c r="D784" t="s">
        <v>74</v>
      </c>
      <c r="E784" t="s">
        <v>74</v>
      </c>
      <c r="F784" t="s">
        <v>15417</v>
      </c>
      <c r="G784" t="s">
        <v>74</v>
      </c>
      <c r="H784" t="s">
        <v>74</v>
      </c>
      <c r="I784" t="s">
        <v>15418</v>
      </c>
      <c r="J784" t="s">
        <v>15419</v>
      </c>
      <c r="K784" t="s">
        <v>74</v>
      </c>
      <c r="L784" t="s">
        <v>74</v>
      </c>
      <c r="M784" t="s">
        <v>80</v>
      </c>
      <c r="N784" t="s">
        <v>138</v>
      </c>
      <c r="O784" t="s">
        <v>74</v>
      </c>
      <c r="P784" t="s">
        <v>74</v>
      </c>
      <c r="Q784" t="s">
        <v>74</v>
      </c>
      <c r="R784" t="s">
        <v>74</v>
      </c>
      <c r="S784" t="s">
        <v>74</v>
      </c>
      <c r="T784" t="s">
        <v>15420</v>
      </c>
      <c r="U784" t="s">
        <v>15421</v>
      </c>
      <c r="V784" t="s">
        <v>15422</v>
      </c>
      <c r="W784" t="s">
        <v>15423</v>
      </c>
      <c r="X784" t="s">
        <v>15424</v>
      </c>
      <c r="Y784" t="s">
        <v>15425</v>
      </c>
      <c r="Z784" t="s">
        <v>15426</v>
      </c>
      <c r="AA784" t="s">
        <v>15427</v>
      </c>
      <c r="AB784" t="s">
        <v>15428</v>
      </c>
      <c r="AC784" t="s">
        <v>15429</v>
      </c>
      <c r="AD784" t="s">
        <v>15430</v>
      </c>
      <c r="AE784" t="s">
        <v>15431</v>
      </c>
      <c r="AF784" t="s">
        <v>74</v>
      </c>
      <c r="AG784">
        <v>101</v>
      </c>
      <c r="AH784">
        <v>18</v>
      </c>
      <c r="AI784">
        <v>22</v>
      </c>
      <c r="AJ784">
        <v>1</v>
      </c>
      <c r="AK784">
        <v>47</v>
      </c>
      <c r="AL784" t="s">
        <v>5418</v>
      </c>
      <c r="AM784" t="s">
        <v>5419</v>
      </c>
      <c r="AN784" t="s">
        <v>5420</v>
      </c>
      <c r="AO784" t="s">
        <v>15432</v>
      </c>
      <c r="AP784" t="s">
        <v>15433</v>
      </c>
      <c r="AQ784" t="s">
        <v>74</v>
      </c>
      <c r="AR784" t="s">
        <v>15434</v>
      </c>
      <c r="AS784" t="s">
        <v>15435</v>
      </c>
      <c r="AT784" t="s">
        <v>6987</v>
      </c>
      <c r="AU784">
        <v>2019</v>
      </c>
      <c r="AV784">
        <v>139</v>
      </c>
      <c r="AW784" t="s">
        <v>74</v>
      </c>
      <c r="AX784" t="s">
        <v>74</v>
      </c>
      <c r="AY784" t="s">
        <v>74</v>
      </c>
      <c r="AZ784" t="s">
        <v>74</v>
      </c>
      <c r="BA784" t="s">
        <v>74</v>
      </c>
      <c r="BB784" t="s">
        <v>74</v>
      </c>
      <c r="BC784" t="s">
        <v>74</v>
      </c>
      <c r="BD784">
        <v>106563</v>
      </c>
      <c r="BE784" t="s">
        <v>15436</v>
      </c>
      <c r="BF784" t="str">
        <f>HYPERLINK("http://dx.doi.org/10.1016/j.ympev.2019.106563","http://dx.doi.org/10.1016/j.ympev.2019.106563")</f>
        <v>http://dx.doi.org/10.1016/j.ympev.2019.106563</v>
      </c>
      <c r="BG784" t="s">
        <v>74</v>
      </c>
      <c r="BH784" t="s">
        <v>74</v>
      </c>
      <c r="BI784">
        <v>12</v>
      </c>
      <c r="BJ784" t="s">
        <v>15437</v>
      </c>
      <c r="BK784" t="s">
        <v>294</v>
      </c>
      <c r="BL784" t="s">
        <v>15437</v>
      </c>
      <c r="BM784" t="s">
        <v>15438</v>
      </c>
      <c r="BN784">
        <v>31323335</v>
      </c>
      <c r="BO784" t="s">
        <v>74</v>
      </c>
      <c r="BP784" t="s">
        <v>74</v>
      </c>
      <c r="BQ784" t="s">
        <v>74</v>
      </c>
      <c r="BR784" t="s">
        <v>108</v>
      </c>
      <c r="BS784" t="s">
        <v>15439</v>
      </c>
      <c r="BT784" t="str">
        <f>HYPERLINK("https%3A%2F%2Fwww.webofscience.com%2Fwos%2Fwoscc%2Ffull-record%2FWOS:000485041900047","View Full Record in Web of Science")</f>
        <v>View Full Record in Web of Science</v>
      </c>
    </row>
    <row r="785" spans="1:72" x14ac:dyDescent="0.15">
      <c r="A785" t="s">
        <v>133</v>
      </c>
      <c r="B785" t="s">
        <v>15440</v>
      </c>
      <c r="C785" t="s">
        <v>74</v>
      </c>
      <c r="D785" t="s">
        <v>74</v>
      </c>
      <c r="E785" t="s">
        <v>74</v>
      </c>
      <c r="F785" t="s">
        <v>15441</v>
      </c>
      <c r="G785" t="s">
        <v>74</v>
      </c>
      <c r="H785" t="s">
        <v>74</v>
      </c>
      <c r="I785" t="s">
        <v>15442</v>
      </c>
      <c r="J785" t="s">
        <v>15443</v>
      </c>
      <c r="K785" t="s">
        <v>74</v>
      </c>
      <c r="L785" t="s">
        <v>74</v>
      </c>
      <c r="M785" t="s">
        <v>80</v>
      </c>
      <c r="N785" t="s">
        <v>138</v>
      </c>
      <c r="O785" t="s">
        <v>74</v>
      </c>
      <c r="P785" t="s">
        <v>74</v>
      </c>
      <c r="Q785" t="s">
        <v>74</v>
      </c>
      <c r="R785" t="s">
        <v>74</v>
      </c>
      <c r="S785" t="s">
        <v>74</v>
      </c>
      <c r="T785" t="s">
        <v>15444</v>
      </c>
      <c r="U785" t="s">
        <v>15445</v>
      </c>
      <c r="V785" t="s">
        <v>15446</v>
      </c>
      <c r="W785" t="s">
        <v>15447</v>
      </c>
      <c r="X785" t="s">
        <v>88</v>
      </c>
      <c r="Y785" t="s">
        <v>15448</v>
      </c>
      <c r="Z785" t="s">
        <v>15449</v>
      </c>
      <c r="AA785" t="s">
        <v>74</v>
      </c>
      <c r="AB785" t="s">
        <v>15450</v>
      </c>
      <c r="AC785" t="s">
        <v>74</v>
      </c>
      <c r="AD785" t="s">
        <v>74</v>
      </c>
      <c r="AE785" t="s">
        <v>74</v>
      </c>
      <c r="AF785" t="s">
        <v>74</v>
      </c>
      <c r="AG785">
        <v>23</v>
      </c>
      <c r="AH785">
        <v>1</v>
      </c>
      <c r="AI785">
        <v>2</v>
      </c>
      <c r="AJ785">
        <v>0</v>
      </c>
      <c r="AK785">
        <v>5</v>
      </c>
      <c r="AL785" t="s">
        <v>284</v>
      </c>
      <c r="AM785" t="s">
        <v>285</v>
      </c>
      <c r="AN785" t="s">
        <v>286</v>
      </c>
      <c r="AO785" t="s">
        <v>15451</v>
      </c>
      <c r="AP785" t="s">
        <v>15452</v>
      </c>
      <c r="AQ785" t="s">
        <v>74</v>
      </c>
      <c r="AR785" t="s">
        <v>15453</v>
      </c>
      <c r="AS785" t="s">
        <v>15454</v>
      </c>
      <c r="AT785" t="s">
        <v>6987</v>
      </c>
      <c r="AU785">
        <v>2019</v>
      </c>
      <c r="AV785">
        <v>166</v>
      </c>
      <c r="AW785" t="s">
        <v>74</v>
      </c>
      <c r="AX785" t="s">
        <v>74</v>
      </c>
      <c r="AY785" t="s">
        <v>74</v>
      </c>
      <c r="AZ785" t="s">
        <v>74</v>
      </c>
      <c r="BA785" t="s">
        <v>74</v>
      </c>
      <c r="BB785" t="s">
        <v>74</v>
      </c>
      <c r="BC785" t="s">
        <v>74</v>
      </c>
      <c r="BD785">
        <v>102842</v>
      </c>
      <c r="BE785" t="s">
        <v>15455</v>
      </c>
      <c r="BF785" t="str">
        <f>HYPERLINK("http://dx.doi.org/10.1016/j.coldregions.2019.102842","http://dx.doi.org/10.1016/j.coldregions.2019.102842")</f>
        <v>http://dx.doi.org/10.1016/j.coldregions.2019.102842</v>
      </c>
      <c r="BG785" t="s">
        <v>74</v>
      </c>
      <c r="BH785" t="s">
        <v>74</v>
      </c>
      <c r="BI785">
        <v>9</v>
      </c>
      <c r="BJ785" t="s">
        <v>15456</v>
      </c>
      <c r="BK785" t="s">
        <v>294</v>
      </c>
      <c r="BL785" t="s">
        <v>15457</v>
      </c>
      <c r="BM785" t="s">
        <v>15458</v>
      </c>
      <c r="BN785" t="s">
        <v>74</v>
      </c>
      <c r="BO785" t="s">
        <v>74</v>
      </c>
      <c r="BP785" t="s">
        <v>74</v>
      </c>
      <c r="BQ785" t="s">
        <v>74</v>
      </c>
      <c r="BR785" t="s">
        <v>108</v>
      </c>
      <c r="BS785" t="s">
        <v>15459</v>
      </c>
      <c r="BT785" t="str">
        <f>HYPERLINK("https%3A%2F%2Fwww.webofscience.com%2Fwos%2Fwoscc%2Ffull-record%2FWOS:000483915700006","View Full Record in Web of Science")</f>
        <v>View Full Record in Web of Science</v>
      </c>
    </row>
    <row r="786" spans="1:72" x14ac:dyDescent="0.15">
      <c r="A786" t="s">
        <v>133</v>
      </c>
      <c r="B786" t="s">
        <v>15460</v>
      </c>
      <c r="C786" t="s">
        <v>74</v>
      </c>
      <c r="D786" t="s">
        <v>74</v>
      </c>
      <c r="E786" t="s">
        <v>74</v>
      </c>
      <c r="F786" t="s">
        <v>15461</v>
      </c>
      <c r="G786" t="s">
        <v>74</v>
      </c>
      <c r="H786" t="s">
        <v>74</v>
      </c>
      <c r="I786" t="s">
        <v>15462</v>
      </c>
      <c r="J786" t="s">
        <v>5433</v>
      </c>
      <c r="K786" t="s">
        <v>74</v>
      </c>
      <c r="L786" t="s">
        <v>74</v>
      </c>
      <c r="M786" t="s">
        <v>80</v>
      </c>
      <c r="N786" t="s">
        <v>138</v>
      </c>
      <c r="O786" t="s">
        <v>74</v>
      </c>
      <c r="P786" t="s">
        <v>74</v>
      </c>
      <c r="Q786" t="s">
        <v>74</v>
      </c>
      <c r="R786" t="s">
        <v>74</v>
      </c>
      <c r="S786" t="s">
        <v>74</v>
      </c>
      <c r="T786" t="s">
        <v>15463</v>
      </c>
      <c r="U786" t="s">
        <v>15464</v>
      </c>
      <c r="V786" t="s">
        <v>15465</v>
      </c>
      <c r="W786" t="s">
        <v>15466</v>
      </c>
      <c r="X786" t="s">
        <v>15467</v>
      </c>
      <c r="Y786" t="s">
        <v>15468</v>
      </c>
      <c r="Z786" t="s">
        <v>15469</v>
      </c>
      <c r="AA786" t="s">
        <v>15470</v>
      </c>
      <c r="AB786" t="s">
        <v>15471</v>
      </c>
      <c r="AC786" t="s">
        <v>15472</v>
      </c>
      <c r="AD786" t="s">
        <v>15473</v>
      </c>
      <c r="AE786" t="s">
        <v>15474</v>
      </c>
      <c r="AF786" t="s">
        <v>74</v>
      </c>
      <c r="AG786">
        <v>75</v>
      </c>
      <c r="AH786">
        <v>20</v>
      </c>
      <c r="AI786">
        <v>24</v>
      </c>
      <c r="AJ786">
        <v>3</v>
      </c>
      <c r="AK786">
        <v>97</v>
      </c>
      <c r="AL786" t="s">
        <v>709</v>
      </c>
      <c r="AM786" t="s">
        <v>380</v>
      </c>
      <c r="AN786" t="s">
        <v>710</v>
      </c>
      <c r="AO786" t="s">
        <v>5446</v>
      </c>
      <c r="AP786" t="s">
        <v>5447</v>
      </c>
      <c r="AQ786" t="s">
        <v>74</v>
      </c>
      <c r="AR786" t="s">
        <v>5448</v>
      </c>
      <c r="AS786" t="s">
        <v>5449</v>
      </c>
      <c r="AT786" t="s">
        <v>6987</v>
      </c>
      <c r="AU786">
        <v>2019</v>
      </c>
      <c r="AV786">
        <v>253</v>
      </c>
      <c r="AW786" t="s">
        <v>74</v>
      </c>
      <c r="AX786" t="s">
        <v>74</v>
      </c>
      <c r="AY786" t="s">
        <v>74</v>
      </c>
      <c r="AZ786" t="s">
        <v>74</v>
      </c>
      <c r="BA786" t="s">
        <v>74</v>
      </c>
      <c r="BB786">
        <v>850</v>
      </c>
      <c r="BC786">
        <v>863</v>
      </c>
      <c r="BD786" t="s">
        <v>74</v>
      </c>
      <c r="BE786" t="s">
        <v>15475</v>
      </c>
      <c r="BF786" t="str">
        <f>HYPERLINK("http://dx.doi.org/10.1016/j.envpol.2019.07.070","http://dx.doi.org/10.1016/j.envpol.2019.07.070")</f>
        <v>http://dx.doi.org/10.1016/j.envpol.2019.07.070</v>
      </c>
      <c r="BG786" t="s">
        <v>74</v>
      </c>
      <c r="BH786" t="s">
        <v>74</v>
      </c>
      <c r="BI786">
        <v>14</v>
      </c>
      <c r="BJ786" t="s">
        <v>387</v>
      </c>
      <c r="BK786" t="s">
        <v>294</v>
      </c>
      <c r="BL786" t="s">
        <v>388</v>
      </c>
      <c r="BM786" t="s">
        <v>15476</v>
      </c>
      <c r="BN786">
        <v>31349194</v>
      </c>
      <c r="BO786" t="s">
        <v>74</v>
      </c>
      <c r="BP786" t="s">
        <v>74</v>
      </c>
      <c r="BQ786" t="s">
        <v>74</v>
      </c>
      <c r="BR786" t="s">
        <v>108</v>
      </c>
      <c r="BS786" t="s">
        <v>15477</v>
      </c>
      <c r="BT786" t="str">
        <f>HYPERLINK("https%3A%2F%2Fwww.webofscience.com%2Fwos%2Fwoscc%2Ffull-record%2FWOS:000483406700084","View Full Record in Web of Science")</f>
        <v>View Full Record in Web of Science</v>
      </c>
    </row>
    <row r="787" spans="1:72" x14ac:dyDescent="0.15">
      <c r="A787" t="s">
        <v>133</v>
      </c>
      <c r="B787" t="s">
        <v>15478</v>
      </c>
      <c r="C787" t="s">
        <v>74</v>
      </c>
      <c r="D787" t="s">
        <v>74</v>
      </c>
      <c r="E787" t="s">
        <v>74</v>
      </c>
      <c r="F787" t="s">
        <v>15479</v>
      </c>
      <c r="G787" t="s">
        <v>74</v>
      </c>
      <c r="H787" t="s">
        <v>74</v>
      </c>
      <c r="I787" t="s">
        <v>15480</v>
      </c>
      <c r="J787" t="s">
        <v>5433</v>
      </c>
      <c r="K787" t="s">
        <v>74</v>
      </c>
      <c r="L787" t="s">
        <v>74</v>
      </c>
      <c r="M787" t="s">
        <v>80</v>
      </c>
      <c r="N787" t="s">
        <v>138</v>
      </c>
      <c r="O787" t="s">
        <v>74</v>
      </c>
      <c r="P787" t="s">
        <v>74</v>
      </c>
      <c r="Q787" t="s">
        <v>74</v>
      </c>
      <c r="R787" t="s">
        <v>74</v>
      </c>
      <c r="S787" t="s">
        <v>74</v>
      </c>
      <c r="T787" t="s">
        <v>15481</v>
      </c>
      <c r="U787" t="s">
        <v>15482</v>
      </c>
      <c r="V787" t="s">
        <v>15483</v>
      </c>
      <c r="W787" t="s">
        <v>15484</v>
      </c>
      <c r="X787" t="s">
        <v>15485</v>
      </c>
      <c r="Y787" t="s">
        <v>15486</v>
      </c>
      <c r="Z787" t="s">
        <v>15487</v>
      </c>
      <c r="AA787" t="s">
        <v>15488</v>
      </c>
      <c r="AB787" t="s">
        <v>15489</v>
      </c>
      <c r="AC787" t="s">
        <v>15490</v>
      </c>
      <c r="AD787" t="s">
        <v>15491</v>
      </c>
      <c r="AE787" t="s">
        <v>15492</v>
      </c>
      <c r="AF787" t="s">
        <v>74</v>
      </c>
      <c r="AG787">
        <v>67</v>
      </c>
      <c r="AH787">
        <v>17</v>
      </c>
      <c r="AI787">
        <v>18</v>
      </c>
      <c r="AJ787">
        <v>2</v>
      </c>
      <c r="AK787">
        <v>42</v>
      </c>
      <c r="AL787" t="s">
        <v>709</v>
      </c>
      <c r="AM787" t="s">
        <v>380</v>
      </c>
      <c r="AN787" t="s">
        <v>710</v>
      </c>
      <c r="AO787" t="s">
        <v>5446</v>
      </c>
      <c r="AP787" t="s">
        <v>5447</v>
      </c>
      <c r="AQ787" t="s">
        <v>74</v>
      </c>
      <c r="AR787" t="s">
        <v>5448</v>
      </c>
      <c r="AS787" t="s">
        <v>5449</v>
      </c>
      <c r="AT787" t="s">
        <v>6987</v>
      </c>
      <c r="AU787">
        <v>2019</v>
      </c>
      <c r="AV787">
        <v>253</v>
      </c>
      <c r="AW787" t="s">
        <v>74</v>
      </c>
      <c r="AX787" t="s">
        <v>74</v>
      </c>
      <c r="AY787" t="s">
        <v>74</v>
      </c>
      <c r="AZ787" t="s">
        <v>74</v>
      </c>
      <c r="BA787" t="s">
        <v>74</v>
      </c>
      <c r="BB787">
        <v>981</v>
      </c>
      <c r="BC787">
        <v>991</v>
      </c>
      <c r="BD787" t="s">
        <v>74</v>
      </c>
      <c r="BE787" t="s">
        <v>15493</v>
      </c>
      <c r="BF787" t="str">
        <f>HYPERLINK("http://dx.doi.org/10.1016/j.envpol.2019.07.057","http://dx.doi.org/10.1016/j.envpol.2019.07.057")</f>
        <v>http://dx.doi.org/10.1016/j.envpol.2019.07.057</v>
      </c>
      <c r="BG787" t="s">
        <v>74</v>
      </c>
      <c r="BH787" t="s">
        <v>74</v>
      </c>
      <c r="BI787">
        <v>11</v>
      </c>
      <c r="BJ787" t="s">
        <v>387</v>
      </c>
      <c r="BK787" t="s">
        <v>294</v>
      </c>
      <c r="BL787" t="s">
        <v>388</v>
      </c>
      <c r="BM787" t="s">
        <v>15476</v>
      </c>
      <c r="BN787">
        <v>31352190</v>
      </c>
      <c r="BO787" t="s">
        <v>74</v>
      </c>
      <c r="BP787" t="s">
        <v>74</v>
      </c>
      <c r="BQ787" t="s">
        <v>74</v>
      </c>
      <c r="BR787" t="s">
        <v>108</v>
      </c>
      <c r="BS787" t="s">
        <v>15494</v>
      </c>
      <c r="BT787" t="str">
        <f>HYPERLINK("https%3A%2F%2Fwww.webofscience.com%2Fwos%2Fwoscc%2Ffull-record%2FWOS:000483406700098","View Full Record in Web of Science")</f>
        <v>View Full Record in Web of Science</v>
      </c>
    </row>
    <row r="788" spans="1:72" x14ac:dyDescent="0.15">
      <c r="A788" t="s">
        <v>133</v>
      </c>
      <c r="B788" t="s">
        <v>15495</v>
      </c>
      <c r="C788" t="s">
        <v>74</v>
      </c>
      <c r="D788" t="s">
        <v>74</v>
      </c>
      <c r="E788" t="s">
        <v>74</v>
      </c>
      <c r="F788" t="s">
        <v>15496</v>
      </c>
      <c r="G788" t="s">
        <v>74</v>
      </c>
      <c r="H788" t="s">
        <v>74</v>
      </c>
      <c r="I788" t="s">
        <v>15497</v>
      </c>
      <c r="J788" t="s">
        <v>15498</v>
      </c>
      <c r="K788" t="s">
        <v>74</v>
      </c>
      <c r="L788" t="s">
        <v>74</v>
      </c>
      <c r="M788" t="s">
        <v>80</v>
      </c>
      <c r="N788" t="s">
        <v>138</v>
      </c>
      <c r="O788" t="s">
        <v>74</v>
      </c>
      <c r="P788" t="s">
        <v>74</v>
      </c>
      <c r="Q788" t="s">
        <v>74</v>
      </c>
      <c r="R788" t="s">
        <v>74</v>
      </c>
      <c r="S788" t="s">
        <v>74</v>
      </c>
      <c r="T788" t="s">
        <v>15499</v>
      </c>
      <c r="U788" t="s">
        <v>15500</v>
      </c>
      <c r="V788" t="s">
        <v>15501</v>
      </c>
      <c r="W788" t="s">
        <v>15502</v>
      </c>
      <c r="X788" t="s">
        <v>15503</v>
      </c>
      <c r="Y788" t="s">
        <v>15504</v>
      </c>
      <c r="Z788" t="s">
        <v>15505</v>
      </c>
      <c r="AA788" t="s">
        <v>15506</v>
      </c>
      <c r="AB788" t="s">
        <v>15507</v>
      </c>
      <c r="AC788" t="s">
        <v>74</v>
      </c>
      <c r="AD788" t="s">
        <v>74</v>
      </c>
      <c r="AE788" t="s">
        <v>74</v>
      </c>
      <c r="AF788" t="s">
        <v>74</v>
      </c>
      <c r="AG788">
        <v>87</v>
      </c>
      <c r="AH788">
        <v>3</v>
      </c>
      <c r="AI788">
        <v>4</v>
      </c>
      <c r="AJ788">
        <v>1</v>
      </c>
      <c r="AK788">
        <v>2</v>
      </c>
      <c r="AL788" t="s">
        <v>379</v>
      </c>
      <c r="AM788" t="s">
        <v>380</v>
      </c>
      <c r="AN788" t="s">
        <v>381</v>
      </c>
      <c r="AO788" t="s">
        <v>15508</v>
      </c>
      <c r="AP788" t="s">
        <v>15509</v>
      </c>
      <c r="AQ788" t="s">
        <v>74</v>
      </c>
      <c r="AR788" t="s">
        <v>15510</v>
      </c>
      <c r="AS788" t="s">
        <v>15511</v>
      </c>
      <c r="AT788" t="s">
        <v>6987</v>
      </c>
      <c r="AU788">
        <v>2019</v>
      </c>
      <c r="AV788">
        <v>158</v>
      </c>
      <c r="AW788" t="s">
        <v>74</v>
      </c>
      <c r="AX788" t="s">
        <v>74</v>
      </c>
      <c r="AY788" t="s">
        <v>74</v>
      </c>
      <c r="AZ788" t="s">
        <v>74</v>
      </c>
      <c r="BA788" t="s">
        <v>74</v>
      </c>
      <c r="BB788" t="s">
        <v>74</v>
      </c>
      <c r="BC788" t="s">
        <v>74</v>
      </c>
      <c r="BD788">
        <v>103551</v>
      </c>
      <c r="BE788" t="s">
        <v>15512</v>
      </c>
      <c r="BF788" t="str">
        <f>HYPERLINK("http://dx.doi.org/10.1016/j.jafrearsci.2019.103551","http://dx.doi.org/10.1016/j.jafrearsci.2019.103551")</f>
        <v>http://dx.doi.org/10.1016/j.jafrearsci.2019.103551</v>
      </c>
      <c r="BG788" t="s">
        <v>74</v>
      </c>
      <c r="BH788" t="s">
        <v>74</v>
      </c>
      <c r="BI788">
        <v>13</v>
      </c>
      <c r="BJ788" t="s">
        <v>849</v>
      </c>
      <c r="BK788" t="s">
        <v>294</v>
      </c>
      <c r="BL788" t="s">
        <v>850</v>
      </c>
      <c r="BM788" t="s">
        <v>15513</v>
      </c>
      <c r="BN788" t="s">
        <v>74</v>
      </c>
      <c r="BO788" t="s">
        <v>74</v>
      </c>
      <c r="BP788" t="s">
        <v>74</v>
      </c>
      <c r="BQ788" t="s">
        <v>74</v>
      </c>
      <c r="BR788" t="s">
        <v>108</v>
      </c>
      <c r="BS788" t="s">
        <v>15514</v>
      </c>
      <c r="BT788" t="str">
        <f>HYPERLINK("https%3A%2F%2Fwww.webofscience.com%2Fwos%2Fwoscc%2Ffull-record%2FWOS:000483456700014","View Full Record in Web of Science")</f>
        <v>View Full Record in Web of Science</v>
      </c>
    </row>
    <row r="789" spans="1:72" x14ac:dyDescent="0.15">
      <c r="A789" t="s">
        <v>133</v>
      </c>
      <c r="B789" t="s">
        <v>15515</v>
      </c>
      <c r="C789" t="s">
        <v>74</v>
      </c>
      <c r="D789" t="s">
        <v>74</v>
      </c>
      <c r="E789" t="s">
        <v>74</v>
      </c>
      <c r="F789" t="s">
        <v>15516</v>
      </c>
      <c r="G789" t="s">
        <v>74</v>
      </c>
      <c r="H789" t="s">
        <v>74</v>
      </c>
      <c r="I789" t="s">
        <v>15517</v>
      </c>
      <c r="J789" t="s">
        <v>1003</v>
      </c>
      <c r="K789" t="s">
        <v>74</v>
      </c>
      <c r="L789" t="s">
        <v>74</v>
      </c>
      <c r="M789" t="s">
        <v>80</v>
      </c>
      <c r="N789" t="s">
        <v>138</v>
      </c>
      <c r="O789" t="s">
        <v>74</v>
      </c>
      <c r="P789" t="s">
        <v>74</v>
      </c>
      <c r="Q789" t="s">
        <v>74</v>
      </c>
      <c r="R789" t="s">
        <v>74</v>
      </c>
      <c r="S789" t="s">
        <v>74</v>
      </c>
      <c r="T789" t="s">
        <v>15518</v>
      </c>
      <c r="U789" t="s">
        <v>15519</v>
      </c>
      <c r="V789" t="s">
        <v>15520</v>
      </c>
      <c r="W789" t="s">
        <v>15521</v>
      </c>
      <c r="X789" t="s">
        <v>3760</v>
      </c>
      <c r="Y789" t="s">
        <v>15522</v>
      </c>
      <c r="Z789" t="s">
        <v>15523</v>
      </c>
      <c r="AA789" t="s">
        <v>15524</v>
      </c>
      <c r="AB789" t="s">
        <v>15525</v>
      </c>
      <c r="AC789" t="s">
        <v>15526</v>
      </c>
      <c r="AD789" t="s">
        <v>15527</v>
      </c>
      <c r="AE789" t="s">
        <v>15528</v>
      </c>
      <c r="AF789" t="s">
        <v>74</v>
      </c>
      <c r="AG789">
        <v>58</v>
      </c>
      <c r="AH789">
        <v>44</v>
      </c>
      <c r="AI789">
        <v>47</v>
      </c>
      <c r="AJ789">
        <v>0</v>
      </c>
      <c r="AK789">
        <v>30</v>
      </c>
      <c r="AL789" t="s">
        <v>1016</v>
      </c>
      <c r="AM789" t="s">
        <v>1017</v>
      </c>
      <c r="AN789" t="s">
        <v>1018</v>
      </c>
      <c r="AO789" t="s">
        <v>1019</v>
      </c>
      <c r="AP789" t="s">
        <v>1020</v>
      </c>
      <c r="AQ789" t="s">
        <v>74</v>
      </c>
      <c r="AR789" t="s">
        <v>1021</v>
      </c>
      <c r="AS789" t="s">
        <v>1022</v>
      </c>
      <c r="AT789" t="s">
        <v>6987</v>
      </c>
      <c r="AU789">
        <v>2019</v>
      </c>
      <c r="AV789">
        <v>32</v>
      </c>
      <c r="AW789">
        <v>19</v>
      </c>
      <c r="AX789" t="s">
        <v>74</v>
      </c>
      <c r="AY789" t="s">
        <v>74</v>
      </c>
      <c r="AZ789" t="s">
        <v>74</v>
      </c>
      <c r="BA789" t="s">
        <v>74</v>
      </c>
      <c r="BB789">
        <v>6319</v>
      </c>
      <c r="BC789">
        <v>6335</v>
      </c>
      <c r="BD789" t="s">
        <v>74</v>
      </c>
      <c r="BE789" t="s">
        <v>15529</v>
      </c>
      <c r="BF789" t="str">
        <f>HYPERLINK("http://dx.doi.org/10.1175/JCLI-D-18-0622.1","http://dx.doi.org/10.1175/JCLI-D-18-0622.1")</f>
        <v>http://dx.doi.org/10.1175/JCLI-D-18-0622.1</v>
      </c>
      <c r="BG789" t="s">
        <v>74</v>
      </c>
      <c r="BH789" t="s">
        <v>74</v>
      </c>
      <c r="BI789">
        <v>17</v>
      </c>
      <c r="BJ789" t="s">
        <v>1024</v>
      </c>
      <c r="BK789" t="s">
        <v>294</v>
      </c>
      <c r="BL789" t="s">
        <v>1024</v>
      </c>
      <c r="BM789" t="s">
        <v>15530</v>
      </c>
      <c r="BN789" t="s">
        <v>74</v>
      </c>
      <c r="BO789" t="s">
        <v>588</v>
      </c>
      <c r="BP789" t="s">
        <v>74</v>
      </c>
      <c r="BQ789" t="s">
        <v>74</v>
      </c>
      <c r="BR789" t="s">
        <v>108</v>
      </c>
      <c r="BS789" t="s">
        <v>15531</v>
      </c>
      <c r="BT789" t="str">
        <f>HYPERLINK("https%3A%2F%2Fwww.webofscience.com%2Fwos%2Fwoscc%2Ffull-record%2FWOS:000482951300001","View Full Record in Web of Science")</f>
        <v>View Full Record in Web of Science</v>
      </c>
    </row>
    <row r="790" spans="1:72" x14ac:dyDescent="0.15">
      <c r="A790" t="s">
        <v>133</v>
      </c>
      <c r="B790" t="s">
        <v>15532</v>
      </c>
      <c r="C790" t="s">
        <v>74</v>
      </c>
      <c r="D790" t="s">
        <v>74</v>
      </c>
      <c r="E790" t="s">
        <v>74</v>
      </c>
      <c r="F790" t="s">
        <v>15533</v>
      </c>
      <c r="G790" t="s">
        <v>74</v>
      </c>
      <c r="H790" t="s">
        <v>74</v>
      </c>
      <c r="I790" t="s">
        <v>15534</v>
      </c>
      <c r="J790" t="s">
        <v>11622</v>
      </c>
      <c r="K790" t="s">
        <v>74</v>
      </c>
      <c r="L790" t="s">
        <v>74</v>
      </c>
      <c r="M790" t="s">
        <v>80</v>
      </c>
      <c r="N790" t="s">
        <v>138</v>
      </c>
      <c r="O790" t="s">
        <v>74</v>
      </c>
      <c r="P790" t="s">
        <v>74</v>
      </c>
      <c r="Q790" t="s">
        <v>74</v>
      </c>
      <c r="R790" t="s">
        <v>74</v>
      </c>
      <c r="S790" t="s">
        <v>74</v>
      </c>
      <c r="T790" t="s">
        <v>15535</v>
      </c>
      <c r="U790" t="s">
        <v>15536</v>
      </c>
      <c r="V790" t="s">
        <v>15537</v>
      </c>
      <c r="W790" t="s">
        <v>15538</v>
      </c>
      <c r="X790" t="s">
        <v>15539</v>
      </c>
      <c r="Y790" t="s">
        <v>15540</v>
      </c>
      <c r="Z790" t="s">
        <v>15541</v>
      </c>
      <c r="AA790" t="s">
        <v>15542</v>
      </c>
      <c r="AB790" t="s">
        <v>15543</v>
      </c>
      <c r="AC790" t="s">
        <v>15544</v>
      </c>
      <c r="AD790" t="s">
        <v>15545</v>
      </c>
      <c r="AE790" t="s">
        <v>15546</v>
      </c>
      <c r="AF790" t="s">
        <v>74</v>
      </c>
      <c r="AG790">
        <v>80</v>
      </c>
      <c r="AH790">
        <v>14</v>
      </c>
      <c r="AI790">
        <v>18</v>
      </c>
      <c r="AJ790">
        <v>0</v>
      </c>
      <c r="AK790">
        <v>9</v>
      </c>
      <c r="AL790" t="s">
        <v>4680</v>
      </c>
      <c r="AM790" t="s">
        <v>1730</v>
      </c>
      <c r="AN790" t="s">
        <v>4681</v>
      </c>
      <c r="AO790" t="s">
        <v>11634</v>
      </c>
      <c r="AP790" t="s">
        <v>11635</v>
      </c>
      <c r="AQ790" t="s">
        <v>74</v>
      </c>
      <c r="AR790" t="s">
        <v>11636</v>
      </c>
      <c r="AS790" t="s">
        <v>11637</v>
      </c>
      <c r="AT790" t="s">
        <v>6987</v>
      </c>
      <c r="AU790">
        <v>2019</v>
      </c>
      <c r="AV790">
        <v>102</v>
      </c>
      <c r="AW790" t="s">
        <v>74</v>
      </c>
      <c r="AX790" t="s">
        <v>74</v>
      </c>
      <c r="AY790" t="s">
        <v>74</v>
      </c>
      <c r="AZ790" t="s">
        <v>74</v>
      </c>
      <c r="BA790" t="s">
        <v>74</v>
      </c>
      <c r="BB790">
        <v>37</v>
      </c>
      <c r="BC790">
        <v>58</v>
      </c>
      <c r="BD790" t="s">
        <v>74</v>
      </c>
      <c r="BE790" t="s">
        <v>15547</v>
      </c>
      <c r="BF790" t="str">
        <f>HYPERLINK("http://dx.doi.org/10.1016/j.cretres.2019.05.004","http://dx.doi.org/10.1016/j.cretres.2019.05.004")</f>
        <v>http://dx.doi.org/10.1016/j.cretres.2019.05.004</v>
      </c>
      <c r="BG790" t="s">
        <v>74</v>
      </c>
      <c r="BH790" t="s">
        <v>74</v>
      </c>
      <c r="BI790">
        <v>22</v>
      </c>
      <c r="BJ790" t="s">
        <v>9889</v>
      </c>
      <c r="BK790" t="s">
        <v>294</v>
      </c>
      <c r="BL790" t="s">
        <v>9889</v>
      </c>
      <c r="BM790" t="s">
        <v>15548</v>
      </c>
      <c r="BN790" t="s">
        <v>74</v>
      </c>
      <c r="BO790" t="s">
        <v>74</v>
      </c>
      <c r="BP790" t="s">
        <v>74</v>
      </c>
      <c r="BQ790" t="s">
        <v>74</v>
      </c>
      <c r="BR790" t="s">
        <v>108</v>
      </c>
      <c r="BS790" t="s">
        <v>15549</v>
      </c>
      <c r="BT790" t="str">
        <f>HYPERLINK("https%3A%2F%2Fwww.webofscience.com%2Fwos%2Fwoscc%2Ffull-record%2FWOS:000482250300005","View Full Record in Web of Science")</f>
        <v>View Full Record in Web of Science</v>
      </c>
    </row>
    <row r="791" spans="1:72" x14ac:dyDescent="0.15">
      <c r="A791" t="s">
        <v>133</v>
      </c>
      <c r="B791" t="s">
        <v>15550</v>
      </c>
      <c r="C791" t="s">
        <v>74</v>
      </c>
      <c r="D791" t="s">
        <v>74</v>
      </c>
      <c r="E791" t="s">
        <v>74</v>
      </c>
      <c r="F791" t="s">
        <v>15551</v>
      </c>
      <c r="G791" t="s">
        <v>74</v>
      </c>
      <c r="H791" t="s">
        <v>74</v>
      </c>
      <c r="I791" t="s">
        <v>15552</v>
      </c>
      <c r="J791" t="s">
        <v>15553</v>
      </c>
      <c r="K791" t="s">
        <v>74</v>
      </c>
      <c r="L791" t="s">
        <v>74</v>
      </c>
      <c r="M791" t="s">
        <v>80</v>
      </c>
      <c r="N791" t="s">
        <v>138</v>
      </c>
      <c r="O791" t="s">
        <v>74</v>
      </c>
      <c r="P791" t="s">
        <v>74</v>
      </c>
      <c r="Q791" t="s">
        <v>74</v>
      </c>
      <c r="R791" t="s">
        <v>74</v>
      </c>
      <c r="S791" t="s">
        <v>74</v>
      </c>
      <c r="T791" t="s">
        <v>15554</v>
      </c>
      <c r="U791" t="s">
        <v>15555</v>
      </c>
      <c r="V791" t="s">
        <v>15556</v>
      </c>
      <c r="W791" t="s">
        <v>15557</v>
      </c>
      <c r="X791" t="s">
        <v>15558</v>
      </c>
      <c r="Y791" t="s">
        <v>15559</v>
      </c>
      <c r="Z791" t="s">
        <v>15560</v>
      </c>
      <c r="AA791" t="s">
        <v>74</v>
      </c>
      <c r="AB791" t="s">
        <v>15561</v>
      </c>
      <c r="AC791" t="s">
        <v>74</v>
      </c>
      <c r="AD791" t="s">
        <v>74</v>
      </c>
      <c r="AE791" t="s">
        <v>74</v>
      </c>
      <c r="AF791" t="s">
        <v>74</v>
      </c>
      <c r="AG791">
        <v>162</v>
      </c>
      <c r="AH791">
        <v>6</v>
      </c>
      <c r="AI791">
        <v>7</v>
      </c>
      <c r="AJ791">
        <v>3</v>
      </c>
      <c r="AK791">
        <v>57</v>
      </c>
      <c r="AL791" t="s">
        <v>429</v>
      </c>
      <c r="AM791" t="s">
        <v>430</v>
      </c>
      <c r="AN791" t="s">
        <v>431</v>
      </c>
      <c r="AO791" t="s">
        <v>15562</v>
      </c>
      <c r="AP791" t="s">
        <v>15563</v>
      </c>
      <c r="AQ791" t="s">
        <v>74</v>
      </c>
      <c r="AR791" t="s">
        <v>15564</v>
      </c>
      <c r="AS791" t="s">
        <v>15565</v>
      </c>
      <c r="AT791" t="s">
        <v>6987</v>
      </c>
      <c r="AU791">
        <v>2019</v>
      </c>
      <c r="AV791">
        <v>51</v>
      </c>
      <c r="AW791">
        <v>10</v>
      </c>
      <c r="AX791" t="s">
        <v>74</v>
      </c>
      <c r="AY791" t="s">
        <v>74</v>
      </c>
      <c r="AZ791" t="s">
        <v>74</v>
      </c>
      <c r="BA791" t="s">
        <v>74</v>
      </c>
      <c r="BB791">
        <v>736</v>
      </c>
      <c r="BC791">
        <v>752</v>
      </c>
      <c r="BD791" t="s">
        <v>74</v>
      </c>
      <c r="BE791" t="s">
        <v>15566</v>
      </c>
      <c r="BF791" t="str">
        <f>HYPERLINK("http://dx.doi.org/10.1002/kin.21305","http://dx.doi.org/10.1002/kin.21305")</f>
        <v>http://dx.doi.org/10.1002/kin.21305</v>
      </c>
      <c r="BG791" t="s">
        <v>74</v>
      </c>
      <c r="BH791" t="s">
        <v>74</v>
      </c>
      <c r="BI791">
        <v>17</v>
      </c>
      <c r="BJ791" t="s">
        <v>15567</v>
      </c>
      <c r="BK791" t="s">
        <v>294</v>
      </c>
      <c r="BL791" t="s">
        <v>8874</v>
      </c>
      <c r="BM791" t="s">
        <v>15568</v>
      </c>
      <c r="BN791" t="s">
        <v>74</v>
      </c>
      <c r="BO791" t="s">
        <v>1482</v>
      </c>
      <c r="BP791" t="s">
        <v>74</v>
      </c>
      <c r="BQ791" t="s">
        <v>74</v>
      </c>
      <c r="BR791" t="s">
        <v>108</v>
      </c>
      <c r="BS791" t="s">
        <v>15569</v>
      </c>
      <c r="BT791" t="str">
        <f>HYPERLINK("https%3A%2F%2Fwww.webofscience.com%2Fwos%2Fwoscc%2Ffull-record%2FWOS:000481798000002","View Full Record in Web of Science")</f>
        <v>View Full Record in Web of Science</v>
      </c>
    </row>
    <row r="792" spans="1:72" x14ac:dyDescent="0.15">
      <c r="A792" t="s">
        <v>133</v>
      </c>
      <c r="B792" t="s">
        <v>15570</v>
      </c>
      <c r="C792" t="s">
        <v>74</v>
      </c>
      <c r="D792" t="s">
        <v>74</v>
      </c>
      <c r="E792" t="s">
        <v>74</v>
      </c>
      <c r="F792" t="s">
        <v>15571</v>
      </c>
      <c r="G792" t="s">
        <v>74</v>
      </c>
      <c r="H792" t="s">
        <v>74</v>
      </c>
      <c r="I792" t="s">
        <v>15572</v>
      </c>
      <c r="J792" t="s">
        <v>1048</v>
      </c>
      <c r="K792" t="s">
        <v>74</v>
      </c>
      <c r="L792" t="s">
        <v>74</v>
      </c>
      <c r="M792" t="s">
        <v>80</v>
      </c>
      <c r="N792" t="s">
        <v>138</v>
      </c>
      <c r="O792" t="s">
        <v>74</v>
      </c>
      <c r="P792" t="s">
        <v>74</v>
      </c>
      <c r="Q792" t="s">
        <v>74</v>
      </c>
      <c r="R792" t="s">
        <v>74</v>
      </c>
      <c r="S792" t="s">
        <v>74</v>
      </c>
      <c r="T792" t="s">
        <v>15573</v>
      </c>
      <c r="U792" t="s">
        <v>15574</v>
      </c>
      <c r="V792" t="s">
        <v>15575</v>
      </c>
      <c r="W792" t="s">
        <v>15576</v>
      </c>
      <c r="X792" t="s">
        <v>15577</v>
      </c>
      <c r="Y792" t="s">
        <v>15578</v>
      </c>
      <c r="Z792" t="s">
        <v>15579</v>
      </c>
      <c r="AA792" t="s">
        <v>15580</v>
      </c>
      <c r="AB792" t="s">
        <v>15581</v>
      </c>
      <c r="AC792" t="s">
        <v>15582</v>
      </c>
      <c r="AD792" t="s">
        <v>15583</v>
      </c>
      <c r="AE792" t="s">
        <v>15584</v>
      </c>
      <c r="AF792" t="s">
        <v>74</v>
      </c>
      <c r="AG792">
        <v>81</v>
      </c>
      <c r="AH792">
        <v>38</v>
      </c>
      <c r="AI792">
        <v>40</v>
      </c>
      <c r="AJ792">
        <v>5</v>
      </c>
      <c r="AK792">
        <v>22</v>
      </c>
      <c r="AL792" t="s">
        <v>379</v>
      </c>
      <c r="AM792" t="s">
        <v>380</v>
      </c>
      <c r="AN792" t="s">
        <v>381</v>
      </c>
      <c r="AO792" t="s">
        <v>1061</v>
      </c>
      <c r="AP792" t="s">
        <v>1062</v>
      </c>
      <c r="AQ792" t="s">
        <v>74</v>
      </c>
      <c r="AR792" t="s">
        <v>1063</v>
      </c>
      <c r="AS792" t="s">
        <v>1064</v>
      </c>
      <c r="AT792" t="s">
        <v>14412</v>
      </c>
      <c r="AU792">
        <v>2019</v>
      </c>
      <c r="AV792">
        <v>262</v>
      </c>
      <c r="AW792" t="s">
        <v>74</v>
      </c>
      <c r="AX792" t="s">
        <v>74</v>
      </c>
      <c r="AY792" t="s">
        <v>74</v>
      </c>
      <c r="AZ792" t="s">
        <v>74</v>
      </c>
      <c r="BA792" t="s">
        <v>74</v>
      </c>
      <c r="BB792">
        <v>188</v>
      </c>
      <c r="BC792">
        <v>206</v>
      </c>
      <c r="BD792" t="s">
        <v>74</v>
      </c>
      <c r="BE792" t="s">
        <v>15585</v>
      </c>
      <c r="BF792" t="str">
        <f>HYPERLINK("http://dx.doi.org/10.1016/j.gca.2019.07.033","http://dx.doi.org/10.1016/j.gca.2019.07.033")</f>
        <v>http://dx.doi.org/10.1016/j.gca.2019.07.033</v>
      </c>
      <c r="BG792" t="s">
        <v>74</v>
      </c>
      <c r="BH792" t="s">
        <v>74</v>
      </c>
      <c r="BI792">
        <v>19</v>
      </c>
      <c r="BJ792" t="s">
        <v>1067</v>
      </c>
      <c r="BK792" t="s">
        <v>294</v>
      </c>
      <c r="BL792" t="s">
        <v>1067</v>
      </c>
      <c r="BM792" t="s">
        <v>15586</v>
      </c>
      <c r="BN792" t="s">
        <v>74</v>
      </c>
      <c r="BO792" t="s">
        <v>2403</v>
      </c>
      <c r="BP792" t="s">
        <v>74</v>
      </c>
      <c r="BQ792" t="s">
        <v>74</v>
      </c>
      <c r="BR792" t="s">
        <v>108</v>
      </c>
      <c r="BS792" t="s">
        <v>15587</v>
      </c>
      <c r="BT792" t="str">
        <f>HYPERLINK("https%3A%2F%2Fwww.webofscience.com%2Fwos%2Fwoscc%2Ffull-record%2FWOS:000481616700011","View Full Record in Web of Science")</f>
        <v>View Full Record in Web of Science</v>
      </c>
    </row>
    <row r="793" spans="1:72" x14ac:dyDescent="0.15">
      <c r="A793" t="s">
        <v>133</v>
      </c>
      <c r="B793" t="s">
        <v>15588</v>
      </c>
      <c r="C793" t="s">
        <v>74</v>
      </c>
      <c r="D793" t="s">
        <v>74</v>
      </c>
      <c r="E793" t="s">
        <v>74</v>
      </c>
      <c r="F793" t="s">
        <v>15589</v>
      </c>
      <c r="G793" t="s">
        <v>74</v>
      </c>
      <c r="H793" t="s">
        <v>74</v>
      </c>
      <c r="I793" t="s">
        <v>15590</v>
      </c>
      <c r="J793" t="s">
        <v>15591</v>
      </c>
      <c r="K793" t="s">
        <v>74</v>
      </c>
      <c r="L793" t="s">
        <v>74</v>
      </c>
      <c r="M793" t="s">
        <v>80</v>
      </c>
      <c r="N793" t="s">
        <v>138</v>
      </c>
      <c r="O793" t="s">
        <v>74</v>
      </c>
      <c r="P793" t="s">
        <v>74</v>
      </c>
      <c r="Q793" t="s">
        <v>74</v>
      </c>
      <c r="R793" t="s">
        <v>74</v>
      </c>
      <c r="S793" t="s">
        <v>74</v>
      </c>
      <c r="T793" t="s">
        <v>15592</v>
      </c>
      <c r="U793" t="s">
        <v>15593</v>
      </c>
      <c r="V793" t="s">
        <v>15594</v>
      </c>
      <c r="W793" t="s">
        <v>15595</v>
      </c>
      <c r="X793" t="s">
        <v>15596</v>
      </c>
      <c r="Y793" t="s">
        <v>15597</v>
      </c>
      <c r="Z793" t="s">
        <v>15598</v>
      </c>
      <c r="AA793" t="s">
        <v>74</v>
      </c>
      <c r="AB793" t="s">
        <v>15599</v>
      </c>
      <c r="AC793" t="s">
        <v>74</v>
      </c>
      <c r="AD793" t="s">
        <v>74</v>
      </c>
      <c r="AE793" t="s">
        <v>74</v>
      </c>
      <c r="AF793" t="s">
        <v>74</v>
      </c>
      <c r="AG793">
        <v>33</v>
      </c>
      <c r="AH793">
        <v>11</v>
      </c>
      <c r="AI793">
        <v>12</v>
      </c>
      <c r="AJ793">
        <v>1</v>
      </c>
      <c r="AK793">
        <v>7</v>
      </c>
      <c r="AL793" t="s">
        <v>284</v>
      </c>
      <c r="AM793" t="s">
        <v>285</v>
      </c>
      <c r="AN793" t="s">
        <v>286</v>
      </c>
      <c r="AO793" t="s">
        <v>15600</v>
      </c>
      <c r="AP793" t="s">
        <v>15601</v>
      </c>
      <c r="AQ793" t="s">
        <v>74</v>
      </c>
      <c r="AR793" t="s">
        <v>15602</v>
      </c>
      <c r="AS793" t="s">
        <v>15603</v>
      </c>
      <c r="AT793" t="s">
        <v>14412</v>
      </c>
      <c r="AU793">
        <v>2019</v>
      </c>
      <c r="AV793">
        <v>456</v>
      </c>
      <c r="AW793" t="s">
        <v>74</v>
      </c>
      <c r="AX793" t="s">
        <v>74</v>
      </c>
      <c r="AY793" t="s">
        <v>74</v>
      </c>
      <c r="AZ793" t="s">
        <v>74</v>
      </c>
      <c r="BA793" t="s">
        <v>74</v>
      </c>
      <c r="BB793">
        <v>157</v>
      </c>
      <c r="BC793">
        <v>162</v>
      </c>
      <c r="BD793" t="s">
        <v>74</v>
      </c>
      <c r="BE793" t="s">
        <v>15604</v>
      </c>
      <c r="BF793" t="str">
        <f>HYPERLINK("http://dx.doi.org/10.1016/j.nimb.2019.05.064","http://dx.doi.org/10.1016/j.nimb.2019.05.064")</f>
        <v>http://dx.doi.org/10.1016/j.nimb.2019.05.064</v>
      </c>
      <c r="BG793" t="s">
        <v>74</v>
      </c>
      <c r="BH793" t="s">
        <v>74</v>
      </c>
      <c r="BI793">
        <v>6</v>
      </c>
      <c r="BJ793" t="s">
        <v>15605</v>
      </c>
      <c r="BK793" t="s">
        <v>294</v>
      </c>
      <c r="BL793" t="s">
        <v>15606</v>
      </c>
      <c r="BM793" t="s">
        <v>15607</v>
      </c>
      <c r="BN793" t="s">
        <v>74</v>
      </c>
      <c r="BO793" t="s">
        <v>74</v>
      </c>
      <c r="BP793" t="s">
        <v>74</v>
      </c>
      <c r="BQ793" t="s">
        <v>74</v>
      </c>
      <c r="BR793" t="s">
        <v>108</v>
      </c>
      <c r="BS793" t="s">
        <v>15608</v>
      </c>
      <c r="BT793" t="str">
        <f>HYPERLINK("https%3A%2F%2Fwww.webofscience.com%2Fwos%2Fwoscc%2Ffull-record%2FWOS:000480669600026","View Full Record in Web of Science")</f>
        <v>View Full Record in Web of Science</v>
      </c>
    </row>
    <row r="794" spans="1:72" x14ac:dyDescent="0.15">
      <c r="A794" t="s">
        <v>133</v>
      </c>
      <c r="B794" t="s">
        <v>15609</v>
      </c>
      <c r="C794" t="s">
        <v>74</v>
      </c>
      <c r="D794" t="s">
        <v>74</v>
      </c>
      <c r="E794" t="s">
        <v>74</v>
      </c>
      <c r="F794" t="s">
        <v>15610</v>
      </c>
      <c r="G794" t="s">
        <v>74</v>
      </c>
      <c r="H794" t="s">
        <v>74</v>
      </c>
      <c r="I794" t="s">
        <v>15611</v>
      </c>
      <c r="J794" t="s">
        <v>15612</v>
      </c>
      <c r="K794" t="s">
        <v>74</v>
      </c>
      <c r="L794" t="s">
        <v>74</v>
      </c>
      <c r="M794" t="s">
        <v>80</v>
      </c>
      <c r="N794" t="s">
        <v>138</v>
      </c>
      <c r="O794" t="s">
        <v>74</v>
      </c>
      <c r="P794" t="s">
        <v>74</v>
      </c>
      <c r="Q794" t="s">
        <v>74</v>
      </c>
      <c r="R794" t="s">
        <v>74</v>
      </c>
      <c r="S794" t="s">
        <v>74</v>
      </c>
      <c r="T794" t="s">
        <v>15613</v>
      </c>
      <c r="U794" t="s">
        <v>15614</v>
      </c>
      <c r="V794" t="s">
        <v>15615</v>
      </c>
      <c r="W794" t="s">
        <v>15616</v>
      </c>
      <c r="X794" t="s">
        <v>15617</v>
      </c>
      <c r="Y794" t="s">
        <v>15618</v>
      </c>
      <c r="Z794" t="s">
        <v>15619</v>
      </c>
      <c r="AA794" t="s">
        <v>15620</v>
      </c>
      <c r="AB794" t="s">
        <v>15621</v>
      </c>
      <c r="AC794" t="s">
        <v>15622</v>
      </c>
      <c r="AD794" t="s">
        <v>15623</v>
      </c>
      <c r="AE794" t="s">
        <v>15624</v>
      </c>
      <c r="AF794" t="s">
        <v>74</v>
      </c>
      <c r="AG794">
        <v>31</v>
      </c>
      <c r="AH794">
        <v>2</v>
      </c>
      <c r="AI794">
        <v>2</v>
      </c>
      <c r="AJ794">
        <v>3</v>
      </c>
      <c r="AK794">
        <v>28</v>
      </c>
      <c r="AL794" t="s">
        <v>605</v>
      </c>
      <c r="AM794" t="s">
        <v>1965</v>
      </c>
      <c r="AN794" t="s">
        <v>4578</v>
      </c>
      <c r="AO794" t="s">
        <v>15625</v>
      </c>
      <c r="AP794" t="s">
        <v>15626</v>
      </c>
      <c r="AQ794" t="s">
        <v>74</v>
      </c>
      <c r="AR794" t="s">
        <v>15627</v>
      </c>
      <c r="AS794" t="s">
        <v>15628</v>
      </c>
      <c r="AT794" t="s">
        <v>6987</v>
      </c>
      <c r="AU794">
        <v>2019</v>
      </c>
      <c r="AV794">
        <v>18</v>
      </c>
      <c r="AW794">
        <v>5</v>
      </c>
      <c r="AX794" t="s">
        <v>74</v>
      </c>
      <c r="AY794" t="s">
        <v>74</v>
      </c>
      <c r="AZ794" t="s">
        <v>74</v>
      </c>
      <c r="BA794" t="s">
        <v>74</v>
      </c>
      <c r="BB794">
        <v>416</v>
      </c>
      <c r="BC794">
        <v>419</v>
      </c>
      <c r="BD794" t="s">
        <v>15629</v>
      </c>
      <c r="BE794" t="s">
        <v>15630</v>
      </c>
      <c r="BF794" t="str">
        <f>HYPERLINK("http://dx.doi.org/10.1017/S1473550418000356","http://dx.doi.org/10.1017/S1473550418000356")</f>
        <v>http://dx.doi.org/10.1017/S1473550418000356</v>
      </c>
      <c r="BG794" t="s">
        <v>74</v>
      </c>
      <c r="BH794" t="s">
        <v>74</v>
      </c>
      <c r="BI794">
        <v>4</v>
      </c>
      <c r="BJ794" t="s">
        <v>15631</v>
      </c>
      <c r="BK794" t="s">
        <v>294</v>
      </c>
      <c r="BL794" t="s">
        <v>15632</v>
      </c>
      <c r="BM794" t="s">
        <v>15633</v>
      </c>
      <c r="BN794" t="s">
        <v>74</v>
      </c>
      <c r="BO794" t="s">
        <v>1573</v>
      </c>
      <c r="BP794" t="s">
        <v>74</v>
      </c>
      <c r="BQ794" t="s">
        <v>74</v>
      </c>
      <c r="BR794" t="s">
        <v>108</v>
      </c>
      <c r="BS794" t="s">
        <v>15634</v>
      </c>
      <c r="BT794" t="str">
        <f>HYPERLINK("https%3A%2F%2Fwww.webofscience.com%2Fwos%2Fwoscc%2Ffull-record%2FWOS:000480306100005","View Full Record in Web of Science")</f>
        <v>View Full Record in Web of Science</v>
      </c>
    </row>
    <row r="795" spans="1:72" x14ac:dyDescent="0.15">
      <c r="A795" t="s">
        <v>133</v>
      </c>
      <c r="B795" t="s">
        <v>15635</v>
      </c>
      <c r="C795" t="s">
        <v>74</v>
      </c>
      <c r="D795" t="s">
        <v>74</v>
      </c>
      <c r="E795" t="s">
        <v>74</v>
      </c>
      <c r="F795" t="s">
        <v>15636</v>
      </c>
      <c r="G795" t="s">
        <v>74</v>
      </c>
      <c r="H795" t="s">
        <v>74</v>
      </c>
      <c r="I795" t="s">
        <v>15637</v>
      </c>
      <c r="J795" t="s">
        <v>15612</v>
      </c>
      <c r="K795" t="s">
        <v>74</v>
      </c>
      <c r="L795" t="s">
        <v>74</v>
      </c>
      <c r="M795" t="s">
        <v>80</v>
      </c>
      <c r="N795" t="s">
        <v>930</v>
      </c>
      <c r="O795" t="s">
        <v>74</v>
      </c>
      <c r="P795" t="s">
        <v>74</v>
      </c>
      <c r="Q795" t="s">
        <v>74</v>
      </c>
      <c r="R795" t="s">
        <v>74</v>
      </c>
      <c r="S795" t="s">
        <v>74</v>
      </c>
      <c r="T795" t="s">
        <v>15638</v>
      </c>
      <c r="U795" t="s">
        <v>15639</v>
      </c>
      <c r="V795" t="s">
        <v>15640</v>
      </c>
      <c r="W795" t="s">
        <v>15641</v>
      </c>
      <c r="X795" t="s">
        <v>15642</v>
      </c>
      <c r="Y795" t="s">
        <v>15643</v>
      </c>
      <c r="Z795" t="s">
        <v>15644</v>
      </c>
      <c r="AA795" t="s">
        <v>15645</v>
      </c>
      <c r="AB795" t="s">
        <v>15646</v>
      </c>
      <c r="AC795" t="s">
        <v>15647</v>
      </c>
      <c r="AD795" t="s">
        <v>15648</v>
      </c>
      <c r="AE795" t="s">
        <v>15649</v>
      </c>
      <c r="AF795" t="s">
        <v>74</v>
      </c>
      <c r="AG795">
        <v>55</v>
      </c>
      <c r="AH795">
        <v>18</v>
      </c>
      <c r="AI795">
        <v>18</v>
      </c>
      <c r="AJ795">
        <v>4</v>
      </c>
      <c r="AK795">
        <v>91</v>
      </c>
      <c r="AL795" t="s">
        <v>605</v>
      </c>
      <c r="AM795" t="s">
        <v>1965</v>
      </c>
      <c r="AN795" t="s">
        <v>4578</v>
      </c>
      <c r="AO795" t="s">
        <v>15625</v>
      </c>
      <c r="AP795" t="s">
        <v>15626</v>
      </c>
      <c r="AQ795" t="s">
        <v>74</v>
      </c>
      <c r="AR795" t="s">
        <v>15627</v>
      </c>
      <c r="AS795" t="s">
        <v>15628</v>
      </c>
      <c r="AT795" t="s">
        <v>6987</v>
      </c>
      <c r="AU795">
        <v>2019</v>
      </c>
      <c r="AV795">
        <v>18</v>
      </c>
      <c r="AW795">
        <v>5</v>
      </c>
      <c r="AX795" t="s">
        <v>74</v>
      </c>
      <c r="AY795" t="s">
        <v>74</v>
      </c>
      <c r="AZ795" t="s">
        <v>74</v>
      </c>
      <c r="BA795" t="s">
        <v>74</v>
      </c>
      <c r="BB795">
        <v>483</v>
      </c>
      <c r="BC795">
        <v>489</v>
      </c>
      <c r="BD795" t="s">
        <v>15650</v>
      </c>
      <c r="BE795" t="s">
        <v>15651</v>
      </c>
      <c r="BF795" t="str">
        <f>HYPERLINK("http://dx.doi.org/10.1017/S147355041800037X","http://dx.doi.org/10.1017/S147355041800037X")</f>
        <v>http://dx.doi.org/10.1017/S147355041800037X</v>
      </c>
      <c r="BG795" t="s">
        <v>74</v>
      </c>
      <c r="BH795" t="s">
        <v>74</v>
      </c>
      <c r="BI795">
        <v>7</v>
      </c>
      <c r="BJ795" t="s">
        <v>15631</v>
      </c>
      <c r="BK795" t="s">
        <v>294</v>
      </c>
      <c r="BL795" t="s">
        <v>15632</v>
      </c>
      <c r="BM795" t="s">
        <v>15633</v>
      </c>
      <c r="BN795" t="s">
        <v>74</v>
      </c>
      <c r="BO795" t="s">
        <v>74</v>
      </c>
      <c r="BP795" t="s">
        <v>74</v>
      </c>
      <c r="BQ795" t="s">
        <v>74</v>
      </c>
      <c r="BR795" t="s">
        <v>108</v>
      </c>
      <c r="BS795" t="s">
        <v>15652</v>
      </c>
      <c r="BT795" t="str">
        <f>HYPERLINK("https%3A%2F%2Fwww.webofscience.com%2Fwos%2Fwoscc%2Ffull-record%2FWOS:000480306100015","View Full Record in Web of Science")</f>
        <v>View Full Record in Web of Science</v>
      </c>
    </row>
    <row r="796" spans="1:72" x14ac:dyDescent="0.15">
      <c r="A796" t="s">
        <v>133</v>
      </c>
      <c r="B796" t="s">
        <v>15653</v>
      </c>
      <c r="C796" t="s">
        <v>74</v>
      </c>
      <c r="D796" t="s">
        <v>74</v>
      </c>
      <c r="E796" t="s">
        <v>74</v>
      </c>
      <c r="F796" t="s">
        <v>15654</v>
      </c>
      <c r="G796" t="s">
        <v>74</v>
      </c>
      <c r="H796" t="s">
        <v>74</v>
      </c>
      <c r="I796" t="s">
        <v>15655</v>
      </c>
      <c r="J796" t="s">
        <v>10891</v>
      </c>
      <c r="K796" t="s">
        <v>74</v>
      </c>
      <c r="L796" t="s">
        <v>74</v>
      </c>
      <c r="M796" t="s">
        <v>80</v>
      </c>
      <c r="N796" t="s">
        <v>138</v>
      </c>
      <c r="O796" t="s">
        <v>74</v>
      </c>
      <c r="P796" t="s">
        <v>74</v>
      </c>
      <c r="Q796" t="s">
        <v>74</v>
      </c>
      <c r="R796" t="s">
        <v>74</v>
      </c>
      <c r="S796" t="s">
        <v>74</v>
      </c>
      <c r="T796" t="s">
        <v>74</v>
      </c>
      <c r="U796" t="s">
        <v>15656</v>
      </c>
      <c r="V796" t="s">
        <v>15657</v>
      </c>
      <c r="W796" t="s">
        <v>15658</v>
      </c>
      <c r="X796" t="s">
        <v>10895</v>
      </c>
      <c r="Y796" t="s">
        <v>15659</v>
      </c>
      <c r="Z796" t="s">
        <v>15660</v>
      </c>
      <c r="AA796" t="s">
        <v>10897</v>
      </c>
      <c r="AB796" t="s">
        <v>15661</v>
      </c>
      <c r="AC796" t="s">
        <v>15662</v>
      </c>
      <c r="AD796" t="s">
        <v>15663</v>
      </c>
      <c r="AE796" t="s">
        <v>15664</v>
      </c>
      <c r="AF796" t="s">
        <v>74</v>
      </c>
      <c r="AG796">
        <v>91</v>
      </c>
      <c r="AH796">
        <v>13</v>
      </c>
      <c r="AI796">
        <v>14</v>
      </c>
      <c r="AJ796">
        <v>0</v>
      </c>
      <c r="AK796">
        <v>8</v>
      </c>
      <c r="AL796" t="s">
        <v>379</v>
      </c>
      <c r="AM796" t="s">
        <v>380</v>
      </c>
      <c r="AN796" t="s">
        <v>381</v>
      </c>
      <c r="AO796" t="s">
        <v>10899</v>
      </c>
      <c r="AP796" t="s">
        <v>74</v>
      </c>
      <c r="AQ796" t="s">
        <v>74</v>
      </c>
      <c r="AR796" t="s">
        <v>10900</v>
      </c>
      <c r="AS796" t="s">
        <v>10901</v>
      </c>
      <c r="AT796" t="s">
        <v>6987</v>
      </c>
      <c r="AU796">
        <v>2019</v>
      </c>
      <c r="AV796">
        <v>94</v>
      </c>
      <c r="AW796" t="s">
        <v>74</v>
      </c>
      <c r="AX796" t="s">
        <v>74</v>
      </c>
      <c r="AY796" t="s">
        <v>74</v>
      </c>
      <c r="AZ796" t="s">
        <v>74</v>
      </c>
      <c r="BA796" t="s">
        <v>74</v>
      </c>
      <c r="BB796" t="s">
        <v>74</v>
      </c>
      <c r="BC796" t="s">
        <v>74</v>
      </c>
      <c r="BD796">
        <v>102197</v>
      </c>
      <c r="BE796" t="s">
        <v>15665</v>
      </c>
      <c r="BF796" t="str">
        <f>HYPERLINK("http://dx.doi.org/10.1016/j.jsames.2019.05.013","http://dx.doi.org/10.1016/j.jsames.2019.05.013")</f>
        <v>http://dx.doi.org/10.1016/j.jsames.2019.05.013</v>
      </c>
      <c r="BG796" t="s">
        <v>74</v>
      </c>
      <c r="BH796" t="s">
        <v>74</v>
      </c>
      <c r="BI796">
        <v>13</v>
      </c>
      <c r="BJ796" t="s">
        <v>849</v>
      </c>
      <c r="BK796" t="s">
        <v>294</v>
      </c>
      <c r="BL796" t="s">
        <v>850</v>
      </c>
      <c r="BM796" t="s">
        <v>15666</v>
      </c>
      <c r="BN796" t="s">
        <v>74</v>
      </c>
      <c r="BO796" t="s">
        <v>74</v>
      </c>
      <c r="BP796" t="s">
        <v>74</v>
      </c>
      <c r="BQ796" t="s">
        <v>74</v>
      </c>
      <c r="BR796" t="s">
        <v>108</v>
      </c>
      <c r="BS796" t="s">
        <v>15667</v>
      </c>
      <c r="BT796" t="str">
        <f>HYPERLINK("https%3A%2F%2Fwww.webofscience.com%2Fwos%2Fwoscc%2Ffull-record%2FWOS:000479022300034","View Full Record in Web of Science")</f>
        <v>View Full Record in Web of Science</v>
      </c>
    </row>
    <row r="797" spans="1:72" x14ac:dyDescent="0.15">
      <c r="A797" t="s">
        <v>133</v>
      </c>
      <c r="B797" t="s">
        <v>15668</v>
      </c>
      <c r="C797" t="s">
        <v>74</v>
      </c>
      <c r="D797" t="s">
        <v>74</v>
      </c>
      <c r="E797" t="s">
        <v>74</v>
      </c>
      <c r="F797" t="s">
        <v>15669</v>
      </c>
      <c r="G797" t="s">
        <v>74</v>
      </c>
      <c r="H797" t="s">
        <v>74</v>
      </c>
      <c r="I797" t="s">
        <v>15670</v>
      </c>
      <c r="J797" t="s">
        <v>15671</v>
      </c>
      <c r="K797" t="s">
        <v>74</v>
      </c>
      <c r="L797" t="s">
        <v>74</v>
      </c>
      <c r="M797" t="s">
        <v>80</v>
      </c>
      <c r="N797" t="s">
        <v>138</v>
      </c>
      <c r="O797" t="s">
        <v>74</v>
      </c>
      <c r="P797" t="s">
        <v>74</v>
      </c>
      <c r="Q797" t="s">
        <v>74</v>
      </c>
      <c r="R797" t="s">
        <v>74</v>
      </c>
      <c r="S797" t="s">
        <v>74</v>
      </c>
      <c r="T797" t="s">
        <v>15672</v>
      </c>
      <c r="U797" t="s">
        <v>15673</v>
      </c>
      <c r="V797" t="s">
        <v>15674</v>
      </c>
      <c r="W797" t="s">
        <v>15675</v>
      </c>
      <c r="X797" t="s">
        <v>15676</v>
      </c>
      <c r="Y797" t="s">
        <v>15677</v>
      </c>
      <c r="Z797" t="s">
        <v>15678</v>
      </c>
      <c r="AA797" t="s">
        <v>15679</v>
      </c>
      <c r="AB797" t="s">
        <v>15680</v>
      </c>
      <c r="AC797" t="s">
        <v>15681</v>
      </c>
      <c r="AD797" t="s">
        <v>15682</v>
      </c>
      <c r="AE797" t="s">
        <v>15683</v>
      </c>
      <c r="AF797" t="s">
        <v>74</v>
      </c>
      <c r="AG797">
        <v>77</v>
      </c>
      <c r="AH797">
        <v>4</v>
      </c>
      <c r="AI797">
        <v>7</v>
      </c>
      <c r="AJ797">
        <v>0</v>
      </c>
      <c r="AK797">
        <v>26</v>
      </c>
      <c r="AL797" t="s">
        <v>284</v>
      </c>
      <c r="AM797" t="s">
        <v>285</v>
      </c>
      <c r="AN797" t="s">
        <v>286</v>
      </c>
      <c r="AO797" t="s">
        <v>15684</v>
      </c>
      <c r="AP797" t="s">
        <v>15685</v>
      </c>
      <c r="AQ797" t="s">
        <v>74</v>
      </c>
      <c r="AR797" t="s">
        <v>15671</v>
      </c>
      <c r="AS797" t="s">
        <v>15686</v>
      </c>
      <c r="AT797" t="s">
        <v>6987</v>
      </c>
      <c r="AU797">
        <v>2019</v>
      </c>
      <c r="AV797">
        <v>342</v>
      </c>
      <c r="AW797" t="s">
        <v>74</v>
      </c>
      <c r="AX797" t="s">
        <v>74</v>
      </c>
      <c r="AY797" t="s">
        <v>74</v>
      </c>
      <c r="AZ797" t="s">
        <v>74</v>
      </c>
      <c r="BA797" t="s">
        <v>74</v>
      </c>
      <c r="BB797">
        <v>276</v>
      </c>
      <c r="BC797">
        <v>287</v>
      </c>
      <c r="BD797" t="s">
        <v>74</v>
      </c>
      <c r="BE797" t="s">
        <v>15687</v>
      </c>
      <c r="BF797" t="str">
        <f>HYPERLINK("http://dx.doi.org/10.1016/j.lithos.2019.05.039","http://dx.doi.org/10.1016/j.lithos.2019.05.039")</f>
        <v>http://dx.doi.org/10.1016/j.lithos.2019.05.039</v>
      </c>
      <c r="BG797" t="s">
        <v>74</v>
      </c>
      <c r="BH797" t="s">
        <v>74</v>
      </c>
      <c r="BI797">
        <v>12</v>
      </c>
      <c r="BJ797" t="s">
        <v>5970</v>
      </c>
      <c r="BK797" t="s">
        <v>294</v>
      </c>
      <c r="BL797" t="s">
        <v>5970</v>
      </c>
      <c r="BM797" t="s">
        <v>15688</v>
      </c>
      <c r="BN797" t="s">
        <v>74</v>
      </c>
      <c r="BO797" t="s">
        <v>74</v>
      </c>
      <c r="BP797" t="s">
        <v>74</v>
      </c>
      <c r="BQ797" t="s">
        <v>74</v>
      </c>
      <c r="BR797" t="s">
        <v>108</v>
      </c>
      <c r="BS797" t="s">
        <v>15689</v>
      </c>
      <c r="BT797" t="str">
        <f>HYPERLINK("https%3A%2F%2Fwww.webofscience.com%2Fwos%2Fwoscc%2Ffull-record%2FWOS:000477091500017","View Full Record in Web of Science")</f>
        <v>View Full Record in Web of Science</v>
      </c>
    </row>
    <row r="798" spans="1:72" x14ac:dyDescent="0.15">
      <c r="A798" t="s">
        <v>133</v>
      </c>
      <c r="B798" t="s">
        <v>15690</v>
      </c>
      <c r="C798" t="s">
        <v>74</v>
      </c>
      <c r="D798" t="s">
        <v>74</v>
      </c>
      <c r="E798" t="s">
        <v>74</v>
      </c>
      <c r="F798" t="s">
        <v>15691</v>
      </c>
      <c r="G798" t="s">
        <v>74</v>
      </c>
      <c r="H798" t="s">
        <v>74</v>
      </c>
      <c r="I798" t="s">
        <v>15692</v>
      </c>
      <c r="J798" t="s">
        <v>1073</v>
      </c>
      <c r="K798" t="s">
        <v>74</v>
      </c>
      <c r="L798" t="s">
        <v>74</v>
      </c>
      <c r="M798" t="s">
        <v>80</v>
      </c>
      <c r="N798" t="s">
        <v>138</v>
      </c>
      <c r="O798" t="s">
        <v>74</v>
      </c>
      <c r="P798" t="s">
        <v>74</v>
      </c>
      <c r="Q798" t="s">
        <v>74</v>
      </c>
      <c r="R798" t="s">
        <v>74</v>
      </c>
      <c r="S798" t="s">
        <v>74</v>
      </c>
      <c r="T798" t="s">
        <v>15693</v>
      </c>
      <c r="U798" t="s">
        <v>15694</v>
      </c>
      <c r="V798" t="s">
        <v>15695</v>
      </c>
      <c r="W798" t="s">
        <v>15696</v>
      </c>
      <c r="X798" t="s">
        <v>15697</v>
      </c>
      <c r="Y798" t="s">
        <v>15698</v>
      </c>
      <c r="Z798" t="s">
        <v>15699</v>
      </c>
      <c r="AA798" t="s">
        <v>15700</v>
      </c>
      <c r="AB798" t="s">
        <v>15701</v>
      </c>
      <c r="AC798" t="s">
        <v>15702</v>
      </c>
      <c r="AD798" t="s">
        <v>15703</v>
      </c>
      <c r="AE798" t="s">
        <v>15704</v>
      </c>
      <c r="AF798" t="s">
        <v>74</v>
      </c>
      <c r="AG798">
        <v>54</v>
      </c>
      <c r="AH798">
        <v>12</v>
      </c>
      <c r="AI798">
        <v>13</v>
      </c>
      <c r="AJ798">
        <v>0</v>
      </c>
      <c r="AK798">
        <v>47</v>
      </c>
      <c r="AL798" t="s">
        <v>284</v>
      </c>
      <c r="AM798" t="s">
        <v>285</v>
      </c>
      <c r="AN798" t="s">
        <v>286</v>
      </c>
      <c r="AO798" t="s">
        <v>1086</v>
      </c>
      <c r="AP798" t="s">
        <v>1087</v>
      </c>
      <c r="AQ798" t="s">
        <v>74</v>
      </c>
      <c r="AR798" t="s">
        <v>1088</v>
      </c>
      <c r="AS798" t="s">
        <v>1089</v>
      </c>
      <c r="AT798" t="s">
        <v>14412</v>
      </c>
      <c r="AU798">
        <v>2019</v>
      </c>
      <c r="AV798">
        <v>685</v>
      </c>
      <c r="AW798" t="s">
        <v>74</v>
      </c>
      <c r="AX798" t="s">
        <v>74</v>
      </c>
      <c r="AY798" t="s">
        <v>74</v>
      </c>
      <c r="AZ798" t="s">
        <v>74</v>
      </c>
      <c r="BA798" t="s">
        <v>74</v>
      </c>
      <c r="BB798">
        <v>1276</v>
      </c>
      <c r="BC798">
        <v>1283</v>
      </c>
      <c r="BD798" t="s">
        <v>74</v>
      </c>
      <c r="BE798" t="s">
        <v>15705</v>
      </c>
      <c r="BF798" t="str">
        <f>HYPERLINK("http://dx.doi.org/10.1016/j.scitotenv.2019.06.122","http://dx.doi.org/10.1016/j.scitotenv.2019.06.122")</f>
        <v>http://dx.doi.org/10.1016/j.scitotenv.2019.06.122</v>
      </c>
      <c r="BG798" t="s">
        <v>74</v>
      </c>
      <c r="BH798" t="s">
        <v>74</v>
      </c>
      <c r="BI798">
        <v>8</v>
      </c>
      <c r="BJ798" t="s">
        <v>387</v>
      </c>
      <c r="BK798" t="s">
        <v>294</v>
      </c>
      <c r="BL798" t="s">
        <v>388</v>
      </c>
      <c r="BM798" t="s">
        <v>15706</v>
      </c>
      <c r="BN798">
        <v>31272787</v>
      </c>
      <c r="BO798" t="s">
        <v>74</v>
      </c>
      <c r="BP798" t="s">
        <v>74</v>
      </c>
      <c r="BQ798" t="s">
        <v>74</v>
      </c>
      <c r="BR798" t="s">
        <v>108</v>
      </c>
      <c r="BS798" t="s">
        <v>15707</v>
      </c>
      <c r="BT798" t="str">
        <f>HYPERLINK("https%3A%2F%2Fwww.webofscience.com%2Fwos%2Fwoscc%2Ffull-record%2FWOS:000477951900118","View Full Record in Web of Science")</f>
        <v>View Full Record in Web of Science</v>
      </c>
    </row>
    <row r="799" spans="1:72" x14ac:dyDescent="0.15">
      <c r="A799" t="s">
        <v>133</v>
      </c>
      <c r="B799" t="s">
        <v>15708</v>
      </c>
      <c r="C799" t="s">
        <v>74</v>
      </c>
      <c r="D799" t="s">
        <v>74</v>
      </c>
      <c r="E799" t="s">
        <v>74</v>
      </c>
      <c r="F799" t="s">
        <v>15709</v>
      </c>
      <c r="G799" t="s">
        <v>74</v>
      </c>
      <c r="H799" t="s">
        <v>74</v>
      </c>
      <c r="I799" t="s">
        <v>15710</v>
      </c>
      <c r="J799" t="s">
        <v>5976</v>
      </c>
      <c r="K799" t="s">
        <v>74</v>
      </c>
      <c r="L799" t="s">
        <v>74</v>
      </c>
      <c r="M799" t="s">
        <v>80</v>
      </c>
      <c r="N799" t="s">
        <v>138</v>
      </c>
      <c r="O799" t="s">
        <v>74</v>
      </c>
      <c r="P799" t="s">
        <v>74</v>
      </c>
      <c r="Q799" t="s">
        <v>74</v>
      </c>
      <c r="R799" t="s">
        <v>74</v>
      </c>
      <c r="S799" t="s">
        <v>74</v>
      </c>
      <c r="T799" t="s">
        <v>15711</v>
      </c>
      <c r="U799" t="s">
        <v>15712</v>
      </c>
      <c r="V799" t="s">
        <v>15713</v>
      </c>
      <c r="W799" t="s">
        <v>15714</v>
      </c>
      <c r="X799" t="s">
        <v>15715</v>
      </c>
      <c r="Y799" t="s">
        <v>15716</v>
      </c>
      <c r="Z799" t="s">
        <v>15717</v>
      </c>
      <c r="AA799" t="s">
        <v>15718</v>
      </c>
      <c r="AB799" t="s">
        <v>15719</v>
      </c>
      <c r="AC799" t="s">
        <v>15720</v>
      </c>
      <c r="AD799" t="s">
        <v>15721</v>
      </c>
      <c r="AE799" t="s">
        <v>15722</v>
      </c>
      <c r="AF799" t="s">
        <v>74</v>
      </c>
      <c r="AG799">
        <v>31</v>
      </c>
      <c r="AH799">
        <v>1</v>
      </c>
      <c r="AI799">
        <v>2</v>
      </c>
      <c r="AJ799">
        <v>0</v>
      </c>
      <c r="AK799">
        <v>17</v>
      </c>
      <c r="AL799" t="s">
        <v>5988</v>
      </c>
      <c r="AM799" t="s">
        <v>5989</v>
      </c>
      <c r="AN799" t="s">
        <v>5990</v>
      </c>
      <c r="AO799" t="s">
        <v>5991</v>
      </c>
      <c r="AP799" t="s">
        <v>5992</v>
      </c>
      <c r="AQ799" t="s">
        <v>74</v>
      </c>
      <c r="AR799" t="s">
        <v>5993</v>
      </c>
      <c r="AS799" t="s">
        <v>5994</v>
      </c>
      <c r="AT799" t="s">
        <v>6987</v>
      </c>
      <c r="AU799">
        <v>2019</v>
      </c>
      <c r="AV799">
        <v>18</v>
      </c>
      <c r="AW799">
        <v>4</v>
      </c>
      <c r="AX799" t="s">
        <v>74</v>
      </c>
      <c r="AY799" t="s">
        <v>74</v>
      </c>
      <c r="AZ799" t="s">
        <v>74</v>
      </c>
      <c r="BA799" t="s">
        <v>74</v>
      </c>
      <c r="BB799">
        <v>939</v>
      </c>
      <c r="BC799">
        <v>946</v>
      </c>
      <c r="BD799" t="s">
        <v>74</v>
      </c>
      <c r="BE799" t="s">
        <v>15723</v>
      </c>
      <c r="BF799" t="str">
        <f>HYPERLINK("http://dx.doi.org/10.1007/s11802-019-3976-5","http://dx.doi.org/10.1007/s11802-019-3976-5")</f>
        <v>http://dx.doi.org/10.1007/s11802-019-3976-5</v>
      </c>
      <c r="BG799" t="s">
        <v>74</v>
      </c>
      <c r="BH799" t="s">
        <v>74</v>
      </c>
      <c r="BI799">
        <v>8</v>
      </c>
      <c r="BJ799" t="s">
        <v>1945</v>
      </c>
      <c r="BK799" t="s">
        <v>294</v>
      </c>
      <c r="BL799" t="s">
        <v>1945</v>
      </c>
      <c r="BM799" t="s">
        <v>15724</v>
      </c>
      <c r="BN799" t="s">
        <v>74</v>
      </c>
      <c r="BO799" t="s">
        <v>74</v>
      </c>
      <c r="BP799" t="s">
        <v>74</v>
      </c>
      <c r="BQ799" t="s">
        <v>74</v>
      </c>
      <c r="BR799" t="s">
        <v>108</v>
      </c>
      <c r="BS799" t="s">
        <v>15725</v>
      </c>
      <c r="BT799" t="str">
        <f>HYPERLINK("https%3A%2F%2Fwww.webofscience.com%2Fwos%2Fwoscc%2Ffull-record%2FWOS:000474451500020","View Full Record in Web of Science")</f>
        <v>View Full Record in Web of Science</v>
      </c>
    </row>
    <row r="800" spans="1:72" x14ac:dyDescent="0.15">
      <c r="A800" t="s">
        <v>133</v>
      </c>
      <c r="B800" t="s">
        <v>15726</v>
      </c>
      <c r="C800" t="s">
        <v>74</v>
      </c>
      <c r="D800" t="s">
        <v>74</v>
      </c>
      <c r="E800" t="s">
        <v>74</v>
      </c>
      <c r="F800" t="s">
        <v>15727</v>
      </c>
      <c r="G800" t="s">
        <v>74</v>
      </c>
      <c r="H800" t="s">
        <v>74</v>
      </c>
      <c r="I800" t="s">
        <v>15728</v>
      </c>
      <c r="J800" t="s">
        <v>15729</v>
      </c>
      <c r="K800" t="s">
        <v>74</v>
      </c>
      <c r="L800" t="s">
        <v>74</v>
      </c>
      <c r="M800" t="s">
        <v>80</v>
      </c>
      <c r="N800" t="s">
        <v>138</v>
      </c>
      <c r="O800" t="s">
        <v>74</v>
      </c>
      <c r="P800" t="s">
        <v>74</v>
      </c>
      <c r="Q800" t="s">
        <v>74</v>
      </c>
      <c r="R800" t="s">
        <v>74</v>
      </c>
      <c r="S800" t="s">
        <v>74</v>
      </c>
      <c r="T800" t="s">
        <v>15730</v>
      </c>
      <c r="U800" t="s">
        <v>15731</v>
      </c>
      <c r="V800" t="s">
        <v>15732</v>
      </c>
      <c r="W800" t="s">
        <v>15733</v>
      </c>
      <c r="X800" t="s">
        <v>15734</v>
      </c>
      <c r="Y800" t="s">
        <v>15735</v>
      </c>
      <c r="Z800" t="s">
        <v>15736</v>
      </c>
      <c r="AA800" t="s">
        <v>74</v>
      </c>
      <c r="AB800" t="s">
        <v>15737</v>
      </c>
      <c r="AC800" t="s">
        <v>15738</v>
      </c>
      <c r="AD800" t="s">
        <v>15739</v>
      </c>
      <c r="AE800" t="s">
        <v>15740</v>
      </c>
      <c r="AF800" t="s">
        <v>74</v>
      </c>
      <c r="AG800">
        <v>20</v>
      </c>
      <c r="AH800">
        <v>2</v>
      </c>
      <c r="AI800">
        <v>3</v>
      </c>
      <c r="AJ800">
        <v>0</v>
      </c>
      <c r="AK800">
        <v>3</v>
      </c>
      <c r="AL800" t="s">
        <v>284</v>
      </c>
      <c r="AM800" t="s">
        <v>285</v>
      </c>
      <c r="AN800" t="s">
        <v>286</v>
      </c>
      <c r="AO800" t="s">
        <v>15741</v>
      </c>
      <c r="AP800" t="s">
        <v>15742</v>
      </c>
      <c r="AQ800" t="s">
        <v>74</v>
      </c>
      <c r="AR800" t="s">
        <v>15743</v>
      </c>
      <c r="AS800" t="s">
        <v>15744</v>
      </c>
      <c r="AT800" t="s">
        <v>6987</v>
      </c>
      <c r="AU800">
        <v>2019</v>
      </c>
      <c r="AV800">
        <v>72</v>
      </c>
      <c r="AW800" t="s">
        <v>74</v>
      </c>
      <c r="AX800" t="s">
        <v>74</v>
      </c>
      <c r="AY800" t="s">
        <v>74</v>
      </c>
      <c r="AZ800" t="s">
        <v>74</v>
      </c>
      <c r="BA800" t="s">
        <v>74</v>
      </c>
      <c r="BB800">
        <v>28</v>
      </c>
      <c r="BC800">
        <v>35</v>
      </c>
      <c r="BD800" t="s">
        <v>74</v>
      </c>
      <c r="BE800" t="s">
        <v>15745</v>
      </c>
      <c r="BF800" t="str">
        <f>HYPERLINK("http://dx.doi.org/10.1016/j.newast.2019.04.007","http://dx.doi.org/10.1016/j.newast.2019.04.007")</f>
        <v>http://dx.doi.org/10.1016/j.newast.2019.04.007</v>
      </c>
      <c r="BG800" t="s">
        <v>74</v>
      </c>
      <c r="BH800" t="s">
        <v>74</v>
      </c>
      <c r="BI800">
        <v>8</v>
      </c>
      <c r="BJ800" t="s">
        <v>1571</v>
      </c>
      <c r="BK800" t="s">
        <v>294</v>
      </c>
      <c r="BL800" t="s">
        <v>1571</v>
      </c>
      <c r="BM800" t="s">
        <v>15746</v>
      </c>
      <c r="BN800" t="s">
        <v>74</v>
      </c>
      <c r="BO800" t="s">
        <v>74</v>
      </c>
      <c r="BP800" t="s">
        <v>74</v>
      </c>
      <c r="BQ800" t="s">
        <v>74</v>
      </c>
      <c r="BR800" t="s">
        <v>108</v>
      </c>
      <c r="BS800" t="s">
        <v>15747</v>
      </c>
      <c r="BT800" t="str">
        <f>HYPERLINK("https%3A%2F%2Fwww.webofscience.com%2Fwos%2Fwoscc%2Ffull-record%2FWOS:000474312400005","View Full Record in Web of Science")</f>
        <v>View Full Record in Web of Science</v>
      </c>
    </row>
    <row r="801" spans="1:72" x14ac:dyDescent="0.15">
      <c r="A801" t="s">
        <v>133</v>
      </c>
      <c r="B801" t="s">
        <v>6971</v>
      </c>
      <c r="C801" t="s">
        <v>74</v>
      </c>
      <c r="D801" t="s">
        <v>74</v>
      </c>
      <c r="E801" t="s">
        <v>74</v>
      </c>
      <c r="F801" t="s">
        <v>6972</v>
      </c>
      <c r="G801" t="s">
        <v>74</v>
      </c>
      <c r="H801" t="s">
        <v>74</v>
      </c>
      <c r="I801" t="s">
        <v>15748</v>
      </c>
      <c r="J801" t="s">
        <v>15749</v>
      </c>
      <c r="K801" t="s">
        <v>74</v>
      </c>
      <c r="L801" t="s">
        <v>74</v>
      </c>
      <c r="M801" t="s">
        <v>80</v>
      </c>
      <c r="N801" t="s">
        <v>138</v>
      </c>
      <c r="O801" t="s">
        <v>74</v>
      </c>
      <c r="P801" t="s">
        <v>74</v>
      </c>
      <c r="Q801" t="s">
        <v>74</v>
      </c>
      <c r="R801" t="s">
        <v>74</v>
      </c>
      <c r="S801" t="s">
        <v>74</v>
      </c>
      <c r="T801" t="s">
        <v>15750</v>
      </c>
      <c r="U801" t="s">
        <v>15751</v>
      </c>
      <c r="V801" t="s">
        <v>15752</v>
      </c>
      <c r="W801" t="s">
        <v>15753</v>
      </c>
      <c r="X801" t="s">
        <v>15754</v>
      </c>
      <c r="Y801" t="s">
        <v>15755</v>
      </c>
      <c r="Z801" t="s">
        <v>6980</v>
      </c>
      <c r="AA801" t="s">
        <v>6981</v>
      </c>
      <c r="AB801" t="s">
        <v>6982</v>
      </c>
      <c r="AC801" t="s">
        <v>74</v>
      </c>
      <c r="AD801" t="s">
        <v>74</v>
      </c>
      <c r="AE801" t="s">
        <v>74</v>
      </c>
      <c r="AF801" t="s">
        <v>74</v>
      </c>
      <c r="AG801">
        <v>88</v>
      </c>
      <c r="AH801">
        <v>26</v>
      </c>
      <c r="AI801">
        <v>27</v>
      </c>
      <c r="AJ801">
        <v>0</v>
      </c>
      <c r="AK801">
        <v>29</v>
      </c>
      <c r="AL801" t="s">
        <v>5898</v>
      </c>
      <c r="AM801" t="s">
        <v>1965</v>
      </c>
      <c r="AN801" t="s">
        <v>5899</v>
      </c>
      <c r="AO801" t="s">
        <v>15756</v>
      </c>
      <c r="AP801" t="s">
        <v>15757</v>
      </c>
      <c r="AQ801" t="s">
        <v>74</v>
      </c>
      <c r="AR801" t="s">
        <v>15758</v>
      </c>
      <c r="AS801" t="s">
        <v>15759</v>
      </c>
      <c r="AT801" t="s">
        <v>14412</v>
      </c>
      <c r="AU801">
        <v>2019</v>
      </c>
      <c r="AV801">
        <v>227</v>
      </c>
      <c r="AW801" t="s">
        <v>74</v>
      </c>
      <c r="AX801" t="s">
        <v>74</v>
      </c>
      <c r="AY801" t="s">
        <v>74</v>
      </c>
      <c r="AZ801" t="s">
        <v>74</v>
      </c>
      <c r="BA801" t="s">
        <v>74</v>
      </c>
      <c r="BB801">
        <v>89</v>
      </c>
      <c r="BC801">
        <v>100</v>
      </c>
      <c r="BD801" t="s">
        <v>74</v>
      </c>
      <c r="BE801" t="s">
        <v>15760</v>
      </c>
      <c r="BF801" t="str">
        <f>HYPERLINK("http://dx.doi.org/10.1016/j.atmosres.2019.04.034","http://dx.doi.org/10.1016/j.atmosres.2019.04.034")</f>
        <v>http://dx.doi.org/10.1016/j.atmosres.2019.04.034</v>
      </c>
      <c r="BG801" t="s">
        <v>74</v>
      </c>
      <c r="BH801" t="s">
        <v>74</v>
      </c>
      <c r="BI801">
        <v>12</v>
      </c>
      <c r="BJ801" t="s">
        <v>1024</v>
      </c>
      <c r="BK801" t="s">
        <v>294</v>
      </c>
      <c r="BL801" t="s">
        <v>1024</v>
      </c>
      <c r="BM801" t="s">
        <v>15761</v>
      </c>
      <c r="BN801" t="s">
        <v>74</v>
      </c>
      <c r="BO801" t="s">
        <v>74</v>
      </c>
      <c r="BP801" t="s">
        <v>74</v>
      </c>
      <c r="BQ801" t="s">
        <v>74</v>
      </c>
      <c r="BR801" t="s">
        <v>108</v>
      </c>
      <c r="BS801" t="s">
        <v>15762</v>
      </c>
      <c r="BT801" t="str">
        <f>HYPERLINK("https%3A%2F%2Fwww.webofscience.com%2Fwos%2Fwoscc%2Ffull-record%2FWOS:000472688500008","View Full Record in Web of Science")</f>
        <v>View Full Record in Web of Science</v>
      </c>
    </row>
    <row r="802" spans="1:72" x14ac:dyDescent="0.15">
      <c r="A802" t="s">
        <v>133</v>
      </c>
      <c r="B802" t="s">
        <v>15763</v>
      </c>
      <c r="C802" t="s">
        <v>74</v>
      </c>
      <c r="D802" t="s">
        <v>74</v>
      </c>
      <c r="E802" t="s">
        <v>74</v>
      </c>
      <c r="F802" t="s">
        <v>15764</v>
      </c>
      <c r="G802" t="s">
        <v>74</v>
      </c>
      <c r="H802" t="s">
        <v>74</v>
      </c>
      <c r="I802" t="s">
        <v>15765</v>
      </c>
      <c r="J802" t="s">
        <v>3199</v>
      </c>
      <c r="K802" t="s">
        <v>74</v>
      </c>
      <c r="L802" t="s">
        <v>74</v>
      </c>
      <c r="M802" t="s">
        <v>80</v>
      </c>
      <c r="N802" t="s">
        <v>930</v>
      </c>
      <c r="O802" t="s">
        <v>74</v>
      </c>
      <c r="P802" t="s">
        <v>74</v>
      </c>
      <c r="Q802" t="s">
        <v>74</v>
      </c>
      <c r="R802" t="s">
        <v>74</v>
      </c>
      <c r="S802" t="s">
        <v>74</v>
      </c>
      <c r="T802" t="s">
        <v>74</v>
      </c>
      <c r="U802" t="s">
        <v>15766</v>
      </c>
      <c r="V802" t="s">
        <v>15767</v>
      </c>
      <c r="W802" t="s">
        <v>15768</v>
      </c>
      <c r="X802" t="s">
        <v>15769</v>
      </c>
      <c r="Y802" t="s">
        <v>15770</v>
      </c>
      <c r="Z802" t="s">
        <v>15771</v>
      </c>
      <c r="AA802" t="s">
        <v>15772</v>
      </c>
      <c r="AB802" t="s">
        <v>15773</v>
      </c>
      <c r="AC802" t="s">
        <v>15774</v>
      </c>
      <c r="AD802" t="s">
        <v>15775</v>
      </c>
      <c r="AE802" t="s">
        <v>15776</v>
      </c>
      <c r="AF802" t="s">
        <v>74</v>
      </c>
      <c r="AG802">
        <v>51</v>
      </c>
      <c r="AH802">
        <v>14</v>
      </c>
      <c r="AI802">
        <v>14</v>
      </c>
      <c r="AJ802">
        <v>1</v>
      </c>
      <c r="AK802">
        <v>13</v>
      </c>
      <c r="AL802" t="s">
        <v>2099</v>
      </c>
      <c r="AM802" t="s">
        <v>2100</v>
      </c>
      <c r="AN802" t="s">
        <v>2101</v>
      </c>
      <c r="AO802" t="s">
        <v>3211</v>
      </c>
      <c r="AP802" t="s">
        <v>3212</v>
      </c>
      <c r="AQ802" t="s">
        <v>74</v>
      </c>
      <c r="AR802" t="s">
        <v>3213</v>
      </c>
      <c r="AS802" t="s">
        <v>3214</v>
      </c>
      <c r="AT802" t="s">
        <v>15777</v>
      </c>
      <c r="AU802">
        <v>2019</v>
      </c>
      <c r="AV802">
        <v>11</v>
      </c>
      <c r="AW802">
        <v>3</v>
      </c>
      <c r="AX802" t="s">
        <v>74</v>
      </c>
      <c r="AY802" t="s">
        <v>74</v>
      </c>
      <c r="AZ802" t="s">
        <v>74</v>
      </c>
      <c r="BA802" t="s">
        <v>74</v>
      </c>
      <c r="BB802">
        <v>1463</v>
      </c>
      <c r="BC802">
        <v>1481</v>
      </c>
      <c r="BD802" t="s">
        <v>74</v>
      </c>
      <c r="BE802" t="s">
        <v>15778</v>
      </c>
      <c r="BF802" t="str">
        <f>HYPERLINK("http://dx.doi.org/10.5194/essd-11-1463-2019","http://dx.doi.org/10.5194/essd-11-1463-2019")</f>
        <v>http://dx.doi.org/10.5194/essd-11-1463-2019</v>
      </c>
      <c r="BG802" t="s">
        <v>74</v>
      </c>
      <c r="BH802" t="s">
        <v>74</v>
      </c>
      <c r="BI802">
        <v>19</v>
      </c>
      <c r="BJ802" t="s">
        <v>3217</v>
      </c>
      <c r="BK802" t="s">
        <v>294</v>
      </c>
      <c r="BL802" t="s">
        <v>3218</v>
      </c>
      <c r="BM802" t="s">
        <v>15779</v>
      </c>
      <c r="BN802" t="s">
        <v>74</v>
      </c>
      <c r="BO802" t="s">
        <v>107</v>
      </c>
      <c r="BP802" t="s">
        <v>74</v>
      </c>
      <c r="BQ802" t="s">
        <v>74</v>
      </c>
      <c r="BR802" t="s">
        <v>108</v>
      </c>
      <c r="BS802" t="s">
        <v>15780</v>
      </c>
      <c r="BT802" t="str">
        <f>HYPERLINK("https%3A%2F%2Fwww.webofscience.com%2Fwos%2Fwoscc%2Ffull-record%2FWOS:000508193100001","View Full Record in Web of Science")</f>
        <v>View Full Record in Web of Science</v>
      </c>
    </row>
    <row r="803" spans="1:72" x14ac:dyDescent="0.15">
      <c r="A803" t="s">
        <v>133</v>
      </c>
      <c r="B803" t="s">
        <v>15781</v>
      </c>
      <c r="C803" t="s">
        <v>74</v>
      </c>
      <c r="D803" t="s">
        <v>74</v>
      </c>
      <c r="E803" t="s">
        <v>74</v>
      </c>
      <c r="F803" t="s">
        <v>15782</v>
      </c>
      <c r="G803" t="s">
        <v>74</v>
      </c>
      <c r="H803" t="s">
        <v>74</v>
      </c>
      <c r="I803" t="s">
        <v>15783</v>
      </c>
      <c r="J803" t="s">
        <v>2088</v>
      </c>
      <c r="K803" t="s">
        <v>74</v>
      </c>
      <c r="L803" t="s">
        <v>74</v>
      </c>
      <c r="M803" t="s">
        <v>80</v>
      </c>
      <c r="N803" t="s">
        <v>138</v>
      </c>
      <c r="O803" t="s">
        <v>74</v>
      </c>
      <c r="P803" t="s">
        <v>74</v>
      </c>
      <c r="Q803" t="s">
        <v>74</v>
      </c>
      <c r="R803" t="s">
        <v>74</v>
      </c>
      <c r="S803" t="s">
        <v>74</v>
      </c>
      <c r="T803" t="s">
        <v>74</v>
      </c>
      <c r="U803" t="s">
        <v>15784</v>
      </c>
      <c r="V803" t="s">
        <v>15785</v>
      </c>
      <c r="W803" t="s">
        <v>15786</v>
      </c>
      <c r="X803" t="s">
        <v>15787</v>
      </c>
      <c r="Y803" t="s">
        <v>15788</v>
      </c>
      <c r="Z803" t="s">
        <v>15789</v>
      </c>
      <c r="AA803" t="s">
        <v>15790</v>
      </c>
      <c r="AB803" t="s">
        <v>15791</v>
      </c>
      <c r="AC803" t="s">
        <v>15792</v>
      </c>
      <c r="AD803" t="s">
        <v>15793</v>
      </c>
      <c r="AE803" t="s">
        <v>15794</v>
      </c>
      <c r="AF803" t="s">
        <v>74</v>
      </c>
      <c r="AG803">
        <v>94</v>
      </c>
      <c r="AH803">
        <v>36</v>
      </c>
      <c r="AI803">
        <v>37</v>
      </c>
      <c r="AJ803">
        <v>2</v>
      </c>
      <c r="AK803">
        <v>10</v>
      </c>
      <c r="AL803" t="s">
        <v>2099</v>
      </c>
      <c r="AM803" t="s">
        <v>2100</v>
      </c>
      <c r="AN803" t="s">
        <v>2101</v>
      </c>
      <c r="AO803" t="s">
        <v>2102</v>
      </c>
      <c r="AP803" t="s">
        <v>2103</v>
      </c>
      <c r="AQ803" t="s">
        <v>74</v>
      </c>
      <c r="AR803" t="s">
        <v>2088</v>
      </c>
      <c r="AS803" t="s">
        <v>2104</v>
      </c>
      <c r="AT803" t="s">
        <v>15777</v>
      </c>
      <c r="AU803">
        <v>2019</v>
      </c>
      <c r="AV803">
        <v>13</v>
      </c>
      <c r="AW803">
        <v>10</v>
      </c>
      <c r="AX803" t="s">
        <v>74</v>
      </c>
      <c r="AY803" t="s">
        <v>74</v>
      </c>
      <c r="AZ803" t="s">
        <v>74</v>
      </c>
      <c r="BA803" t="s">
        <v>74</v>
      </c>
      <c r="BB803">
        <v>2537</v>
      </c>
      <c r="BC803">
        <v>2556</v>
      </c>
      <c r="BD803" t="s">
        <v>74</v>
      </c>
      <c r="BE803" t="s">
        <v>15795</v>
      </c>
      <c r="BF803" t="str">
        <f>HYPERLINK("http://dx.doi.org/10.5194/tc-13-2537-2019","http://dx.doi.org/10.5194/tc-13-2537-2019")</f>
        <v>http://dx.doi.org/10.5194/tc-13-2537-2019</v>
      </c>
      <c r="BG803" t="s">
        <v>74</v>
      </c>
      <c r="BH803" t="s">
        <v>74</v>
      </c>
      <c r="BI803">
        <v>20</v>
      </c>
      <c r="BJ803" t="s">
        <v>462</v>
      </c>
      <c r="BK803" t="s">
        <v>294</v>
      </c>
      <c r="BL803" t="s">
        <v>463</v>
      </c>
      <c r="BM803" t="s">
        <v>15796</v>
      </c>
      <c r="BN803" t="s">
        <v>74</v>
      </c>
      <c r="BO803" t="s">
        <v>976</v>
      </c>
      <c r="BP803" t="s">
        <v>74</v>
      </c>
      <c r="BQ803" t="s">
        <v>74</v>
      </c>
      <c r="BR803" t="s">
        <v>108</v>
      </c>
      <c r="BS803" t="s">
        <v>15797</v>
      </c>
      <c r="BT803" t="str">
        <f>HYPERLINK("https%3A%2F%2Fwww.webofscience.com%2Fwos%2Fwoscc%2Ffull-record%2FWOS:000488767000001","View Full Record in Web of Science")</f>
        <v>View Full Record in Web of Science</v>
      </c>
    </row>
    <row r="804" spans="1:72" x14ac:dyDescent="0.15">
      <c r="A804" t="s">
        <v>133</v>
      </c>
      <c r="B804" t="s">
        <v>15798</v>
      </c>
      <c r="C804" t="s">
        <v>74</v>
      </c>
      <c r="D804" t="s">
        <v>74</v>
      </c>
      <c r="E804" t="s">
        <v>74</v>
      </c>
      <c r="F804" t="s">
        <v>15799</v>
      </c>
      <c r="G804" t="s">
        <v>74</v>
      </c>
      <c r="H804" t="s">
        <v>74</v>
      </c>
      <c r="I804" t="s">
        <v>15800</v>
      </c>
      <c r="J804" t="s">
        <v>15801</v>
      </c>
      <c r="K804" t="s">
        <v>74</v>
      </c>
      <c r="L804" t="s">
        <v>74</v>
      </c>
      <c r="M804" t="s">
        <v>80</v>
      </c>
      <c r="N804" t="s">
        <v>138</v>
      </c>
      <c r="O804" t="s">
        <v>74</v>
      </c>
      <c r="P804" t="s">
        <v>74</v>
      </c>
      <c r="Q804" t="s">
        <v>74</v>
      </c>
      <c r="R804" t="s">
        <v>74</v>
      </c>
      <c r="S804" t="s">
        <v>74</v>
      </c>
      <c r="T804" t="s">
        <v>15802</v>
      </c>
      <c r="U804" t="s">
        <v>15803</v>
      </c>
      <c r="V804" t="s">
        <v>15804</v>
      </c>
      <c r="W804" t="s">
        <v>15805</v>
      </c>
      <c r="X804" t="s">
        <v>15806</v>
      </c>
      <c r="Y804" t="s">
        <v>15807</v>
      </c>
      <c r="Z804" t="s">
        <v>15808</v>
      </c>
      <c r="AA804" t="s">
        <v>15809</v>
      </c>
      <c r="AB804" t="s">
        <v>15810</v>
      </c>
      <c r="AC804" t="s">
        <v>15811</v>
      </c>
      <c r="AD804" t="s">
        <v>15812</v>
      </c>
      <c r="AE804" t="s">
        <v>15813</v>
      </c>
      <c r="AF804" t="s">
        <v>74</v>
      </c>
      <c r="AG804">
        <v>53</v>
      </c>
      <c r="AH804">
        <v>9</v>
      </c>
      <c r="AI804">
        <v>10</v>
      </c>
      <c r="AJ804">
        <v>2</v>
      </c>
      <c r="AK804">
        <v>38</v>
      </c>
      <c r="AL804" t="s">
        <v>284</v>
      </c>
      <c r="AM804" t="s">
        <v>285</v>
      </c>
      <c r="AN804" t="s">
        <v>286</v>
      </c>
      <c r="AO804" t="s">
        <v>15814</v>
      </c>
      <c r="AP804" t="s">
        <v>15815</v>
      </c>
      <c r="AQ804" t="s">
        <v>74</v>
      </c>
      <c r="AR804" t="s">
        <v>15816</v>
      </c>
      <c r="AS804" t="s">
        <v>15817</v>
      </c>
      <c r="AT804" t="s">
        <v>15777</v>
      </c>
      <c r="AU804">
        <v>2019</v>
      </c>
      <c r="AV804">
        <v>208</v>
      </c>
      <c r="AW804" t="s">
        <v>74</v>
      </c>
      <c r="AX804" t="s">
        <v>74</v>
      </c>
      <c r="AY804" t="s">
        <v>74</v>
      </c>
      <c r="AZ804" t="s">
        <v>74</v>
      </c>
      <c r="BA804" t="s">
        <v>74</v>
      </c>
      <c r="BB804" t="s">
        <v>74</v>
      </c>
      <c r="BC804" t="s">
        <v>74</v>
      </c>
      <c r="BD804">
        <v>103483</v>
      </c>
      <c r="BE804" t="s">
        <v>15818</v>
      </c>
      <c r="BF804" t="str">
        <f>HYPERLINK("http://dx.doi.org/10.1016/j.jprot.2019.103483","http://dx.doi.org/10.1016/j.jprot.2019.103483")</f>
        <v>http://dx.doi.org/10.1016/j.jprot.2019.103483</v>
      </c>
      <c r="BG804" t="s">
        <v>74</v>
      </c>
      <c r="BH804" t="s">
        <v>74</v>
      </c>
      <c r="BI804">
        <v>15</v>
      </c>
      <c r="BJ804" t="s">
        <v>14779</v>
      </c>
      <c r="BK804" t="s">
        <v>294</v>
      </c>
      <c r="BL804" t="s">
        <v>14780</v>
      </c>
      <c r="BM804" t="s">
        <v>15819</v>
      </c>
      <c r="BN804">
        <v>31401172</v>
      </c>
      <c r="BO804" t="s">
        <v>74</v>
      </c>
      <c r="BP804" t="s">
        <v>74</v>
      </c>
      <c r="BQ804" t="s">
        <v>74</v>
      </c>
      <c r="BR804" t="s">
        <v>108</v>
      </c>
      <c r="BS804" t="s">
        <v>15820</v>
      </c>
      <c r="BT804" t="str">
        <f>HYPERLINK("https%3A%2F%2Fwww.webofscience.com%2Fwos%2Fwoscc%2Ffull-record%2FWOS:000487172100005","View Full Record in Web of Science")</f>
        <v>View Full Record in Web of Science</v>
      </c>
    </row>
    <row r="805" spans="1:72" x14ac:dyDescent="0.15">
      <c r="A805" t="s">
        <v>133</v>
      </c>
      <c r="B805" t="s">
        <v>15821</v>
      </c>
      <c r="C805" t="s">
        <v>74</v>
      </c>
      <c r="D805" t="s">
        <v>74</v>
      </c>
      <c r="E805" t="s">
        <v>74</v>
      </c>
      <c r="F805" t="s">
        <v>15822</v>
      </c>
      <c r="G805" t="s">
        <v>74</v>
      </c>
      <c r="H805" t="s">
        <v>74</v>
      </c>
      <c r="I805" t="s">
        <v>15823</v>
      </c>
      <c r="J805" t="s">
        <v>8945</v>
      </c>
      <c r="K805" t="s">
        <v>74</v>
      </c>
      <c r="L805" t="s">
        <v>74</v>
      </c>
      <c r="M805" t="s">
        <v>80</v>
      </c>
      <c r="N805" t="s">
        <v>138</v>
      </c>
      <c r="O805" t="s">
        <v>74</v>
      </c>
      <c r="P805" t="s">
        <v>74</v>
      </c>
      <c r="Q805" t="s">
        <v>74</v>
      </c>
      <c r="R805" t="s">
        <v>74</v>
      </c>
      <c r="S805" t="s">
        <v>74</v>
      </c>
      <c r="T805" t="s">
        <v>15824</v>
      </c>
      <c r="U805" t="s">
        <v>15825</v>
      </c>
      <c r="V805" t="s">
        <v>15826</v>
      </c>
      <c r="W805" t="s">
        <v>15827</v>
      </c>
      <c r="X805" t="s">
        <v>15828</v>
      </c>
      <c r="Y805" t="s">
        <v>15829</v>
      </c>
      <c r="Z805" t="s">
        <v>15830</v>
      </c>
      <c r="AA805" t="s">
        <v>15831</v>
      </c>
      <c r="AB805" t="s">
        <v>15832</v>
      </c>
      <c r="AC805" t="s">
        <v>15833</v>
      </c>
      <c r="AD805" t="s">
        <v>15834</v>
      </c>
      <c r="AE805" t="s">
        <v>15835</v>
      </c>
      <c r="AF805" t="s">
        <v>74</v>
      </c>
      <c r="AG805">
        <v>68</v>
      </c>
      <c r="AH805">
        <v>33</v>
      </c>
      <c r="AI805">
        <v>35</v>
      </c>
      <c r="AJ805">
        <v>1</v>
      </c>
      <c r="AK805">
        <v>37</v>
      </c>
      <c r="AL805" t="s">
        <v>284</v>
      </c>
      <c r="AM805" t="s">
        <v>285</v>
      </c>
      <c r="AN805" t="s">
        <v>286</v>
      </c>
      <c r="AO805" t="s">
        <v>8958</v>
      </c>
      <c r="AP805" t="s">
        <v>8959</v>
      </c>
      <c r="AQ805" t="s">
        <v>74</v>
      </c>
      <c r="AR805" t="s">
        <v>8960</v>
      </c>
      <c r="AS805" t="s">
        <v>8961</v>
      </c>
      <c r="AT805" t="s">
        <v>15777</v>
      </c>
      <c r="AU805">
        <v>2019</v>
      </c>
      <c r="AV805">
        <v>523</v>
      </c>
      <c r="AW805" t="s">
        <v>74</v>
      </c>
      <c r="AX805" t="s">
        <v>74</v>
      </c>
      <c r="AY805" t="s">
        <v>74</v>
      </c>
      <c r="AZ805" t="s">
        <v>74</v>
      </c>
      <c r="BA805" t="s">
        <v>74</v>
      </c>
      <c r="BB805">
        <v>162</v>
      </c>
      <c r="BC805">
        <v>178</v>
      </c>
      <c r="BD805" t="s">
        <v>74</v>
      </c>
      <c r="BE805" t="s">
        <v>15836</v>
      </c>
      <c r="BF805" t="str">
        <f>HYPERLINK("http://dx.doi.org/10.1016/j.chemgeo.2019.03.038","http://dx.doi.org/10.1016/j.chemgeo.2019.03.038")</f>
        <v>http://dx.doi.org/10.1016/j.chemgeo.2019.03.038</v>
      </c>
      <c r="BG805" t="s">
        <v>74</v>
      </c>
      <c r="BH805" t="s">
        <v>74</v>
      </c>
      <c r="BI805">
        <v>17</v>
      </c>
      <c r="BJ805" t="s">
        <v>1067</v>
      </c>
      <c r="BK805" t="s">
        <v>294</v>
      </c>
      <c r="BL805" t="s">
        <v>1067</v>
      </c>
      <c r="BM805" t="s">
        <v>15837</v>
      </c>
      <c r="BN805" t="s">
        <v>74</v>
      </c>
      <c r="BO805" t="s">
        <v>7296</v>
      </c>
      <c r="BP805" t="s">
        <v>74</v>
      </c>
      <c r="BQ805" t="s">
        <v>74</v>
      </c>
      <c r="BR805" t="s">
        <v>108</v>
      </c>
      <c r="BS805" t="s">
        <v>15838</v>
      </c>
      <c r="BT805" t="str">
        <f>HYPERLINK("https%3A%2F%2Fwww.webofscience.com%2Fwos%2Fwoscc%2Ffull-record%2FWOS:000480333200014","View Full Record in Web of Science")</f>
        <v>View Full Record in Web of Science</v>
      </c>
    </row>
    <row r="806" spans="1:72" x14ac:dyDescent="0.15">
      <c r="A806" t="s">
        <v>133</v>
      </c>
      <c r="B806" t="s">
        <v>15839</v>
      </c>
      <c r="C806" t="s">
        <v>74</v>
      </c>
      <c r="D806" t="s">
        <v>74</v>
      </c>
      <c r="E806" t="s">
        <v>74</v>
      </c>
      <c r="F806" t="s">
        <v>15840</v>
      </c>
      <c r="G806" t="s">
        <v>74</v>
      </c>
      <c r="H806" t="s">
        <v>74</v>
      </c>
      <c r="I806" t="s">
        <v>15841</v>
      </c>
      <c r="J806" t="s">
        <v>7909</v>
      </c>
      <c r="K806" t="s">
        <v>74</v>
      </c>
      <c r="L806" t="s">
        <v>74</v>
      </c>
      <c r="M806" t="s">
        <v>80</v>
      </c>
      <c r="N806" t="s">
        <v>138</v>
      </c>
      <c r="O806" t="s">
        <v>74</v>
      </c>
      <c r="P806" t="s">
        <v>74</v>
      </c>
      <c r="Q806" t="s">
        <v>74</v>
      </c>
      <c r="R806" t="s">
        <v>74</v>
      </c>
      <c r="S806" t="s">
        <v>74</v>
      </c>
      <c r="T806" t="s">
        <v>15842</v>
      </c>
      <c r="U806" t="s">
        <v>15843</v>
      </c>
      <c r="V806" t="s">
        <v>15844</v>
      </c>
      <c r="W806" t="s">
        <v>15845</v>
      </c>
      <c r="X806" t="s">
        <v>9814</v>
      </c>
      <c r="Y806" t="s">
        <v>15846</v>
      </c>
      <c r="Z806" t="s">
        <v>15847</v>
      </c>
      <c r="AA806" t="s">
        <v>74</v>
      </c>
      <c r="AB806" t="s">
        <v>15848</v>
      </c>
      <c r="AC806" t="s">
        <v>15849</v>
      </c>
      <c r="AD806" t="s">
        <v>15849</v>
      </c>
      <c r="AE806" t="s">
        <v>15850</v>
      </c>
      <c r="AF806" t="s">
        <v>74</v>
      </c>
      <c r="AG806">
        <v>72</v>
      </c>
      <c r="AH806">
        <v>23</v>
      </c>
      <c r="AI806">
        <v>25</v>
      </c>
      <c r="AJ806">
        <v>3</v>
      </c>
      <c r="AK806">
        <v>27</v>
      </c>
      <c r="AL806" t="s">
        <v>4680</v>
      </c>
      <c r="AM806" t="s">
        <v>1730</v>
      </c>
      <c r="AN806" t="s">
        <v>4681</v>
      </c>
      <c r="AO806" t="s">
        <v>7921</v>
      </c>
      <c r="AP806" t="s">
        <v>7922</v>
      </c>
      <c r="AQ806" t="s">
        <v>74</v>
      </c>
      <c r="AR806" t="s">
        <v>7923</v>
      </c>
      <c r="AS806" t="s">
        <v>7924</v>
      </c>
      <c r="AT806" t="s">
        <v>15777</v>
      </c>
      <c r="AU806">
        <v>2019</v>
      </c>
      <c r="AV806">
        <v>225</v>
      </c>
      <c r="AW806" t="s">
        <v>74</v>
      </c>
      <c r="AX806" t="s">
        <v>74</v>
      </c>
      <c r="AY806" t="s">
        <v>74</v>
      </c>
      <c r="AZ806" t="s">
        <v>74</v>
      </c>
      <c r="BA806" t="s">
        <v>74</v>
      </c>
      <c r="BB806" t="s">
        <v>74</v>
      </c>
      <c r="BC806" t="s">
        <v>74</v>
      </c>
      <c r="BD806">
        <v>106247</v>
      </c>
      <c r="BE806" t="s">
        <v>15851</v>
      </c>
      <c r="BF806" t="str">
        <f>HYPERLINK("http://dx.doi.org/10.1016/j.ecss.2019.106247","http://dx.doi.org/10.1016/j.ecss.2019.106247")</f>
        <v>http://dx.doi.org/10.1016/j.ecss.2019.106247</v>
      </c>
      <c r="BG806" t="s">
        <v>74</v>
      </c>
      <c r="BH806" t="s">
        <v>74</v>
      </c>
      <c r="BI806">
        <v>14</v>
      </c>
      <c r="BJ806" t="s">
        <v>1814</v>
      </c>
      <c r="BK806" t="s">
        <v>294</v>
      </c>
      <c r="BL806" t="s">
        <v>1814</v>
      </c>
      <c r="BM806" t="s">
        <v>15852</v>
      </c>
      <c r="BN806" t="s">
        <v>74</v>
      </c>
      <c r="BO806" t="s">
        <v>74</v>
      </c>
      <c r="BP806" t="s">
        <v>74</v>
      </c>
      <c r="BQ806" t="s">
        <v>74</v>
      </c>
      <c r="BR806" t="s">
        <v>108</v>
      </c>
      <c r="BS806" t="s">
        <v>15853</v>
      </c>
      <c r="BT806" t="str">
        <f>HYPERLINK("https%3A%2F%2Fwww.webofscience.com%2Fwos%2Fwoscc%2Ffull-record%2FWOS:000478712800020","View Full Record in Web of Science")</f>
        <v>View Full Record in Web of Science</v>
      </c>
    </row>
    <row r="807" spans="1:72" x14ac:dyDescent="0.15">
      <c r="A807" t="s">
        <v>133</v>
      </c>
      <c r="B807" t="s">
        <v>15854</v>
      </c>
      <c r="C807" t="s">
        <v>74</v>
      </c>
      <c r="D807" t="s">
        <v>74</v>
      </c>
      <c r="E807" t="s">
        <v>74</v>
      </c>
      <c r="F807" t="s">
        <v>15855</v>
      </c>
      <c r="G807" t="s">
        <v>74</v>
      </c>
      <c r="H807" t="s">
        <v>74</v>
      </c>
      <c r="I807" t="s">
        <v>15856</v>
      </c>
      <c r="J807" t="s">
        <v>2623</v>
      </c>
      <c r="K807" t="s">
        <v>74</v>
      </c>
      <c r="L807" t="s">
        <v>74</v>
      </c>
      <c r="M807" t="s">
        <v>80</v>
      </c>
      <c r="N807" t="s">
        <v>138</v>
      </c>
      <c r="O807" t="s">
        <v>74</v>
      </c>
      <c r="P807" t="s">
        <v>74</v>
      </c>
      <c r="Q807" t="s">
        <v>74</v>
      </c>
      <c r="R807" t="s">
        <v>74</v>
      </c>
      <c r="S807" t="s">
        <v>74</v>
      </c>
      <c r="T807" t="s">
        <v>74</v>
      </c>
      <c r="U807" t="s">
        <v>15857</v>
      </c>
      <c r="V807" t="s">
        <v>15858</v>
      </c>
      <c r="W807" t="s">
        <v>15859</v>
      </c>
      <c r="X807" t="s">
        <v>15860</v>
      </c>
      <c r="Y807" t="s">
        <v>15861</v>
      </c>
      <c r="Z807" t="s">
        <v>15862</v>
      </c>
      <c r="AA807" t="s">
        <v>15863</v>
      </c>
      <c r="AB807" t="s">
        <v>15864</v>
      </c>
      <c r="AC807" t="s">
        <v>15865</v>
      </c>
      <c r="AD807" t="s">
        <v>15866</v>
      </c>
      <c r="AE807" t="s">
        <v>15867</v>
      </c>
      <c r="AF807" t="s">
        <v>74</v>
      </c>
      <c r="AG807">
        <v>91</v>
      </c>
      <c r="AH807">
        <v>26</v>
      </c>
      <c r="AI807">
        <v>27</v>
      </c>
      <c r="AJ807">
        <v>0</v>
      </c>
      <c r="AK807">
        <v>18</v>
      </c>
      <c r="AL807" t="s">
        <v>2038</v>
      </c>
      <c r="AM807" t="s">
        <v>1730</v>
      </c>
      <c r="AN807" t="s">
        <v>2039</v>
      </c>
      <c r="AO807" t="s">
        <v>2636</v>
      </c>
      <c r="AP807" t="s">
        <v>74</v>
      </c>
      <c r="AQ807" t="s">
        <v>74</v>
      </c>
      <c r="AR807" t="s">
        <v>2637</v>
      </c>
      <c r="AS807" t="s">
        <v>2638</v>
      </c>
      <c r="AT807" t="s">
        <v>15868</v>
      </c>
      <c r="AU807">
        <v>2019</v>
      </c>
      <c r="AV807">
        <v>9</v>
      </c>
      <c r="AW807" t="s">
        <v>74</v>
      </c>
      <c r="AX807" t="s">
        <v>74</v>
      </c>
      <c r="AY807" t="s">
        <v>74</v>
      </c>
      <c r="AZ807" t="s">
        <v>74</v>
      </c>
      <c r="BA807" t="s">
        <v>74</v>
      </c>
      <c r="BB807" t="s">
        <v>74</v>
      </c>
      <c r="BC807" t="s">
        <v>74</v>
      </c>
      <c r="BD807">
        <v>13988</v>
      </c>
      <c r="BE807" t="s">
        <v>15869</v>
      </c>
      <c r="BF807" t="str">
        <f>HYPERLINK("http://dx.doi.org/10.1038/s41598-019-50497-2","http://dx.doi.org/10.1038/s41598-019-50497-2")</f>
        <v>http://dx.doi.org/10.1038/s41598-019-50497-2</v>
      </c>
      <c r="BG807" t="s">
        <v>74</v>
      </c>
      <c r="BH807" t="s">
        <v>74</v>
      </c>
      <c r="BI807">
        <v>12</v>
      </c>
      <c r="BJ807" t="s">
        <v>1245</v>
      </c>
      <c r="BK807" t="s">
        <v>294</v>
      </c>
      <c r="BL807" t="s">
        <v>1246</v>
      </c>
      <c r="BM807" t="s">
        <v>15870</v>
      </c>
      <c r="BN807">
        <v>31562374</v>
      </c>
      <c r="BO807" t="s">
        <v>693</v>
      </c>
      <c r="BP807" t="s">
        <v>74</v>
      </c>
      <c r="BQ807" t="s">
        <v>74</v>
      </c>
      <c r="BR807" t="s">
        <v>108</v>
      </c>
      <c r="BS807" t="s">
        <v>15871</v>
      </c>
      <c r="BT807" t="str">
        <f>HYPERLINK("https%3A%2F%2Fwww.webofscience.com%2Fwos%2Fwoscc%2Ffull-record%2FWOS:000488222500040","View Full Record in Web of Science")</f>
        <v>View Full Record in Web of Science</v>
      </c>
    </row>
    <row r="808" spans="1:72" x14ac:dyDescent="0.15">
      <c r="A808" t="s">
        <v>133</v>
      </c>
      <c r="B808" t="s">
        <v>15872</v>
      </c>
      <c r="C808" t="s">
        <v>74</v>
      </c>
      <c r="D808" t="s">
        <v>74</v>
      </c>
      <c r="E808" t="s">
        <v>74</v>
      </c>
      <c r="F808" t="s">
        <v>15873</v>
      </c>
      <c r="G808" t="s">
        <v>74</v>
      </c>
      <c r="H808" t="s">
        <v>74</v>
      </c>
      <c r="I808" t="s">
        <v>15874</v>
      </c>
      <c r="J808" t="s">
        <v>2685</v>
      </c>
      <c r="K808" t="s">
        <v>74</v>
      </c>
      <c r="L808" t="s">
        <v>74</v>
      </c>
      <c r="M808" t="s">
        <v>80</v>
      </c>
      <c r="N808" t="s">
        <v>138</v>
      </c>
      <c r="O808" t="s">
        <v>74</v>
      </c>
      <c r="P808" t="s">
        <v>74</v>
      </c>
      <c r="Q808" t="s">
        <v>74</v>
      </c>
      <c r="R808" t="s">
        <v>74</v>
      </c>
      <c r="S808" t="s">
        <v>74</v>
      </c>
      <c r="T808" t="s">
        <v>15875</v>
      </c>
      <c r="U808" t="s">
        <v>15876</v>
      </c>
      <c r="V808" t="s">
        <v>15877</v>
      </c>
      <c r="W808" t="s">
        <v>15878</v>
      </c>
      <c r="X808" t="s">
        <v>15879</v>
      </c>
      <c r="Y808" t="s">
        <v>15880</v>
      </c>
      <c r="Z808" t="s">
        <v>15881</v>
      </c>
      <c r="AA808" t="s">
        <v>15882</v>
      </c>
      <c r="AB808" t="s">
        <v>15883</v>
      </c>
      <c r="AC808" t="s">
        <v>15884</v>
      </c>
      <c r="AD808" t="s">
        <v>15885</v>
      </c>
      <c r="AE808" t="s">
        <v>15886</v>
      </c>
      <c r="AF808" t="s">
        <v>74</v>
      </c>
      <c r="AG808">
        <v>66</v>
      </c>
      <c r="AH808">
        <v>3</v>
      </c>
      <c r="AI808">
        <v>3</v>
      </c>
      <c r="AJ808">
        <v>1</v>
      </c>
      <c r="AK808">
        <v>5</v>
      </c>
      <c r="AL808" t="s">
        <v>314</v>
      </c>
      <c r="AM808" t="s">
        <v>315</v>
      </c>
      <c r="AN808" t="s">
        <v>316</v>
      </c>
      <c r="AO808" t="s">
        <v>2695</v>
      </c>
      <c r="AP808" t="s">
        <v>2696</v>
      </c>
      <c r="AQ808" t="s">
        <v>74</v>
      </c>
      <c r="AR808" t="s">
        <v>2697</v>
      </c>
      <c r="AS808" t="s">
        <v>2698</v>
      </c>
      <c r="AT808" t="s">
        <v>15887</v>
      </c>
      <c r="AU808">
        <v>2019</v>
      </c>
      <c r="AV808">
        <v>627</v>
      </c>
      <c r="AW808" t="s">
        <v>74</v>
      </c>
      <c r="AX808" t="s">
        <v>74</v>
      </c>
      <c r="AY808" t="s">
        <v>74</v>
      </c>
      <c r="AZ808" t="s">
        <v>74</v>
      </c>
      <c r="BA808" t="s">
        <v>74</v>
      </c>
      <c r="BB808">
        <v>179</v>
      </c>
      <c r="BC808">
        <v>194</v>
      </c>
      <c r="BD808" t="s">
        <v>74</v>
      </c>
      <c r="BE808" t="s">
        <v>15888</v>
      </c>
      <c r="BF808" t="str">
        <f>HYPERLINK("http://dx.doi.org/10.3354/meps13072","http://dx.doi.org/10.3354/meps13072")</f>
        <v>http://dx.doi.org/10.3354/meps13072</v>
      </c>
      <c r="BG808" t="s">
        <v>74</v>
      </c>
      <c r="BH808" t="s">
        <v>74</v>
      </c>
      <c r="BI808">
        <v>16</v>
      </c>
      <c r="BJ808" t="s">
        <v>2701</v>
      </c>
      <c r="BK808" t="s">
        <v>294</v>
      </c>
      <c r="BL808" t="s">
        <v>2702</v>
      </c>
      <c r="BM808" t="s">
        <v>15889</v>
      </c>
      <c r="BN808" t="s">
        <v>74</v>
      </c>
      <c r="BO808" t="s">
        <v>666</v>
      </c>
      <c r="BP808" t="s">
        <v>74</v>
      </c>
      <c r="BQ808" t="s">
        <v>74</v>
      </c>
      <c r="BR808" t="s">
        <v>108</v>
      </c>
      <c r="BS808" t="s">
        <v>15890</v>
      </c>
      <c r="BT808" t="str">
        <f>HYPERLINK("https%3A%2F%2Fwww.webofscience.com%2Fwos%2Fwoscc%2Ffull-record%2FWOS:000521165900014","View Full Record in Web of Science")</f>
        <v>View Full Record in Web of Science</v>
      </c>
    </row>
    <row r="809" spans="1:72" x14ac:dyDescent="0.15">
      <c r="A809" t="s">
        <v>133</v>
      </c>
      <c r="B809" t="s">
        <v>15891</v>
      </c>
      <c r="C809" t="s">
        <v>74</v>
      </c>
      <c r="D809" t="s">
        <v>74</v>
      </c>
      <c r="E809" t="s">
        <v>74</v>
      </c>
      <c r="F809" t="s">
        <v>15892</v>
      </c>
      <c r="G809" t="s">
        <v>74</v>
      </c>
      <c r="H809" t="s">
        <v>74</v>
      </c>
      <c r="I809" t="s">
        <v>15893</v>
      </c>
      <c r="J809" t="s">
        <v>2623</v>
      </c>
      <c r="K809" t="s">
        <v>74</v>
      </c>
      <c r="L809" t="s">
        <v>74</v>
      </c>
      <c r="M809" t="s">
        <v>80</v>
      </c>
      <c r="N809" t="s">
        <v>138</v>
      </c>
      <c r="O809" t="s">
        <v>74</v>
      </c>
      <c r="P809" t="s">
        <v>74</v>
      </c>
      <c r="Q809" t="s">
        <v>74</v>
      </c>
      <c r="R809" t="s">
        <v>74</v>
      </c>
      <c r="S809" t="s">
        <v>74</v>
      </c>
      <c r="T809" t="s">
        <v>74</v>
      </c>
      <c r="U809" t="s">
        <v>15894</v>
      </c>
      <c r="V809" t="s">
        <v>15895</v>
      </c>
      <c r="W809" t="s">
        <v>15896</v>
      </c>
      <c r="X809" t="s">
        <v>15897</v>
      </c>
      <c r="Y809" t="s">
        <v>15898</v>
      </c>
      <c r="Z809" t="s">
        <v>15899</v>
      </c>
      <c r="AA809" t="s">
        <v>15900</v>
      </c>
      <c r="AB809" t="s">
        <v>15901</v>
      </c>
      <c r="AC809" t="s">
        <v>74</v>
      </c>
      <c r="AD809" t="s">
        <v>74</v>
      </c>
      <c r="AE809" t="s">
        <v>74</v>
      </c>
      <c r="AF809" t="s">
        <v>74</v>
      </c>
      <c r="AG809">
        <v>97</v>
      </c>
      <c r="AH809">
        <v>7</v>
      </c>
      <c r="AI809">
        <v>8</v>
      </c>
      <c r="AJ809">
        <v>0</v>
      </c>
      <c r="AK809">
        <v>8</v>
      </c>
      <c r="AL809" t="s">
        <v>2038</v>
      </c>
      <c r="AM809" t="s">
        <v>1730</v>
      </c>
      <c r="AN809" t="s">
        <v>2039</v>
      </c>
      <c r="AO809" t="s">
        <v>2636</v>
      </c>
      <c r="AP809" t="s">
        <v>74</v>
      </c>
      <c r="AQ809" t="s">
        <v>74</v>
      </c>
      <c r="AR809" t="s">
        <v>2637</v>
      </c>
      <c r="AS809" t="s">
        <v>2638</v>
      </c>
      <c r="AT809" t="s">
        <v>15887</v>
      </c>
      <c r="AU809">
        <v>2019</v>
      </c>
      <c r="AV809">
        <v>9</v>
      </c>
      <c r="AW809" t="s">
        <v>74</v>
      </c>
      <c r="AX809" t="s">
        <v>74</v>
      </c>
      <c r="AY809" t="s">
        <v>74</v>
      </c>
      <c r="AZ809" t="s">
        <v>74</v>
      </c>
      <c r="BA809" t="s">
        <v>74</v>
      </c>
      <c r="BB809" t="s">
        <v>74</v>
      </c>
      <c r="BC809" t="s">
        <v>74</v>
      </c>
      <c r="BD809">
        <v>13921</v>
      </c>
      <c r="BE809" t="s">
        <v>15902</v>
      </c>
      <c r="BF809" t="str">
        <f>HYPERLINK("http://dx.doi.org/10.1038/s41598-019-50230-z","http://dx.doi.org/10.1038/s41598-019-50230-z")</f>
        <v>http://dx.doi.org/10.1038/s41598-019-50230-z</v>
      </c>
      <c r="BG809" t="s">
        <v>74</v>
      </c>
      <c r="BH809" t="s">
        <v>74</v>
      </c>
      <c r="BI809">
        <v>16</v>
      </c>
      <c r="BJ809" t="s">
        <v>1245</v>
      </c>
      <c r="BK809" t="s">
        <v>294</v>
      </c>
      <c r="BL809" t="s">
        <v>1246</v>
      </c>
      <c r="BM809" t="s">
        <v>15903</v>
      </c>
      <c r="BN809">
        <v>31558737</v>
      </c>
      <c r="BO809" t="s">
        <v>1688</v>
      </c>
      <c r="BP809" t="s">
        <v>74</v>
      </c>
      <c r="BQ809" t="s">
        <v>74</v>
      </c>
      <c r="BR809" t="s">
        <v>108</v>
      </c>
      <c r="BS809" t="s">
        <v>15904</v>
      </c>
      <c r="BT809" t="str">
        <f>HYPERLINK("https%3A%2F%2Fwww.webofscience.com%2Fwos%2Fwoscc%2Ffull-record%2FWOS:000488221800014","View Full Record in Web of Science")</f>
        <v>View Full Record in Web of Science</v>
      </c>
    </row>
    <row r="810" spans="1:72" x14ac:dyDescent="0.15">
      <c r="A810" t="s">
        <v>133</v>
      </c>
      <c r="B810" t="s">
        <v>15905</v>
      </c>
      <c r="C810" t="s">
        <v>74</v>
      </c>
      <c r="D810" t="s">
        <v>74</v>
      </c>
      <c r="E810" t="s">
        <v>74</v>
      </c>
      <c r="F810" t="s">
        <v>15906</v>
      </c>
      <c r="G810" t="s">
        <v>74</v>
      </c>
      <c r="H810" t="s">
        <v>74</v>
      </c>
      <c r="I810" t="s">
        <v>15907</v>
      </c>
      <c r="J810" t="s">
        <v>2685</v>
      </c>
      <c r="K810" t="s">
        <v>74</v>
      </c>
      <c r="L810" t="s">
        <v>74</v>
      </c>
      <c r="M810" t="s">
        <v>80</v>
      </c>
      <c r="N810" t="s">
        <v>138</v>
      </c>
      <c r="O810" t="s">
        <v>74</v>
      </c>
      <c r="P810" t="s">
        <v>74</v>
      </c>
      <c r="Q810" t="s">
        <v>74</v>
      </c>
      <c r="R810" t="s">
        <v>74</v>
      </c>
      <c r="S810" t="s">
        <v>74</v>
      </c>
      <c r="T810" t="s">
        <v>15908</v>
      </c>
      <c r="U810" t="s">
        <v>15909</v>
      </c>
      <c r="V810" t="s">
        <v>15910</v>
      </c>
      <c r="W810" t="s">
        <v>15911</v>
      </c>
      <c r="X810" t="s">
        <v>3815</v>
      </c>
      <c r="Y810" t="s">
        <v>15912</v>
      </c>
      <c r="Z810" t="s">
        <v>15913</v>
      </c>
      <c r="AA810" t="s">
        <v>15914</v>
      </c>
      <c r="AB810" t="s">
        <v>15915</v>
      </c>
      <c r="AC810" t="s">
        <v>74</v>
      </c>
      <c r="AD810" t="s">
        <v>74</v>
      </c>
      <c r="AE810" t="s">
        <v>74</v>
      </c>
      <c r="AF810" t="s">
        <v>74</v>
      </c>
      <c r="AG810">
        <v>74</v>
      </c>
      <c r="AH810">
        <v>5</v>
      </c>
      <c r="AI810">
        <v>5</v>
      </c>
      <c r="AJ810">
        <v>4</v>
      </c>
      <c r="AK810">
        <v>14</v>
      </c>
      <c r="AL810" t="s">
        <v>314</v>
      </c>
      <c r="AM810" t="s">
        <v>315</v>
      </c>
      <c r="AN810" t="s">
        <v>316</v>
      </c>
      <c r="AO810" t="s">
        <v>2695</v>
      </c>
      <c r="AP810" t="s">
        <v>2696</v>
      </c>
      <c r="AQ810" t="s">
        <v>74</v>
      </c>
      <c r="AR810" t="s">
        <v>2697</v>
      </c>
      <c r="AS810" t="s">
        <v>2698</v>
      </c>
      <c r="AT810" t="s">
        <v>15887</v>
      </c>
      <c r="AU810">
        <v>2019</v>
      </c>
      <c r="AV810">
        <v>627</v>
      </c>
      <c r="AW810" t="s">
        <v>74</v>
      </c>
      <c r="AX810" t="s">
        <v>74</v>
      </c>
      <c r="AY810" t="s">
        <v>74</v>
      </c>
      <c r="AZ810" t="s">
        <v>74</v>
      </c>
      <c r="BA810" t="s">
        <v>74</v>
      </c>
      <c r="BB810">
        <v>141</v>
      </c>
      <c r="BC810">
        <v>154</v>
      </c>
      <c r="BD810" t="s">
        <v>74</v>
      </c>
      <c r="BE810" t="s">
        <v>15916</v>
      </c>
      <c r="BF810" t="str">
        <f>HYPERLINK("http://dx.doi.org/10.3354/meps13095","http://dx.doi.org/10.3354/meps13095")</f>
        <v>http://dx.doi.org/10.3354/meps13095</v>
      </c>
      <c r="BG810" t="s">
        <v>74</v>
      </c>
      <c r="BH810" t="s">
        <v>74</v>
      </c>
      <c r="BI810">
        <v>14</v>
      </c>
      <c r="BJ810" t="s">
        <v>2701</v>
      </c>
      <c r="BK810" t="s">
        <v>294</v>
      </c>
      <c r="BL810" t="s">
        <v>2702</v>
      </c>
      <c r="BM810" t="s">
        <v>15889</v>
      </c>
      <c r="BN810" t="s">
        <v>74</v>
      </c>
      <c r="BO810" t="s">
        <v>12239</v>
      </c>
      <c r="BP810" t="s">
        <v>74</v>
      </c>
      <c r="BQ810" t="s">
        <v>74</v>
      </c>
      <c r="BR810" t="s">
        <v>108</v>
      </c>
      <c r="BS810" t="s">
        <v>15917</v>
      </c>
      <c r="BT810" t="str">
        <f>HYPERLINK("https%3A%2F%2Fwww.webofscience.com%2Fwos%2Fwoscc%2Ffull-record%2FWOS:000521165900011","View Full Record in Web of Science")</f>
        <v>View Full Record in Web of Science</v>
      </c>
    </row>
    <row r="811" spans="1:72" x14ac:dyDescent="0.15">
      <c r="A811" t="s">
        <v>133</v>
      </c>
      <c r="B811" t="s">
        <v>15918</v>
      </c>
      <c r="C811" t="s">
        <v>74</v>
      </c>
      <c r="D811" t="s">
        <v>74</v>
      </c>
      <c r="E811" t="s">
        <v>74</v>
      </c>
      <c r="F811" t="s">
        <v>15918</v>
      </c>
      <c r="G811" t="s">
        <v>74</v>
      </c>
      <c r="H811" t="s">
        <v>74</v>
      </c>
      <c r="I811" t="s">
        <v>15919</v>
      </c>
      <c r="J811" t="s">
        <v>8625</v>
      </c>
      <c r="K811" t="s">
        <v>74</v>
      </c>
      <c r="L811" t="s">
        <v>74</v>
      </c>
      <c r="M811" t="s">
        <v>80</v>
      </c>
      <c r="N811" t="s">
        <v>1333</v>
      </c>
      <c r="O811" t="s">
        <v>74</v>
      </c>
      <c r="P811" t="s">
        <v>74</v>
      </c>
      <c r="Q811" t="s">
        <v>74</v>
      </c>
      <c r="R811" t="s">
        <v>74</v>
      </c>
      <c r="S811" t="s">
        <v>74</v>
      </c>
      <c r="T811" t="s">
        <v>74</v>
      </c>
      <c r="U811" t="s">
        <v>74</v>
      </c>
      <c r="V811" t="s">
        <v>74</v>
      </c>
      <c r="W811" t="s">
        <v>74</v>
      </c>
      <c r="X811" t="s">
        <v>74</v>
      </c>
      <c r="Y811" t="s">
        <v>74</v>
      </c>
      <c r="Z811" t="s">
        <v>74</v>
      </c>
      <c r="AA811" t="s">
        <v>74</v>
      </c>
      <c r="AB811" t="s">
        <v>74</v>
      </c>
      <c r="AC811" t="s">
        <v>74</v>
      </c>
      <c r="AD811" t="s">
        <v>74</v>
      </c>
      <c r="AE811" t="s">
        <v>74</v>
      </c>
      <c r="AF811" t="s">
        <v>74</v>
      </c>
      <c r="AG811">
        <v>0</v>
      </c>
      <c r="AH811">
        <v>0</v>
      </c>
      <c r="AI811">
        <v>0</v>
      </c>
      <c r="AJ811">
        <v>0</v>
      </c>
      <c r="AK811">
        <v>0</v>
      </c>
      <c r="AL811" t="s">
        <v>2635</v>
      </c>
      <c r="AM811" t="s">
        <v>841</v>
      </c>
      <c r="AN811" t="s">
        <v>842</v>
      </c>
      <c r="AO811" t="s">
        <v>8631</v>
      </c>
      <c r="AP811" t="s">
        <v>8632</v>
      </c>
      <c r="AQ811" t="s">
        <v>74</v>
      </c>
      <c r="AR811" t="s">
        <v>8625</v>
      </c>
      <c r="AS811" t="s">
        <v>8633</v>
      </c>
      <c r="AT811" t="s">
        <v>15887</v>
      </c>
      <c r="AU811">
        <v>2019</v>
      </c>
      <c r="AV811">
        <v>573</v>
      </c>
      <c r="AW811">
        <v>7775</v>
      </c>
      <c r="AX811" t="s">
        <v>74</v>
      </c>
      <c r="AY811" t="s">
        <v>74</v>
      </c>
      <c r="AZ811" t="s">
        <v>74</v>
      </c>
      <c r="BA811" t="s">
        <v>74</v>
      </c>
      <c r="BB811" t="s">
        <v>74</v>
      </c>
      <c r="BC811" t="s">
        <v>74</v>
      </c>
      <c r="BD811" t="s">
        <v>74</v>
      </c>
      <c r="BE811" t="s">
        <v>74</v>
      </c>
      <c r="BF811" t="s">
        <v>74</v>
      </c>
      <c r="BG811" t="s">
        <v>74</v>
      </c>
      <c r="BH811" t="s">
        <v>74</v>
      </c>
      <c r="BI811">
        <v>2</v>
      </c>
      <c r="BJ811" t="s">
        <v>1245</v>
      </c>
      <c r="BK811" t="s">
        <v>360</v>
      </c>
      <c r="BL811" t="s">
        <v>1246</v>
      </c>
      <c r="BM811" t="s">
        <v>15920</v>
      </c>
      <c r="BN811" t="s">
        <v>74</v>
      </c>
      <c r="BO811" t="s">
        <v>74</v>
      </c>
      <c r="BP811" t="s">
        <v>74</v>
      </c>
      <c r="BQ811" t="s">
        <v>74</v>
      </c>
      <c r="BR811" t="s">
        <v>108</v>
      </c>
      <c r="BS811" t="s">
        <v>15921</v>
      </c>
      <c r="BT811" t="str">
        <f>HYPERLINK("https%3A%2F%2Fwww.webofscience.com%2Fwos%2Fwoscc%2Ffull-record%2FWOS:000488247600004","View Full Record in Web of Science")</f>
        <v>View Full Record in Web of Science</v>
      </c>
    </row>
    <row r="812" spans="1:72" x14ac:dyDescent="0.15">
      <c r="A812" t="s">
        <v>133</v>
      </c>
      <c r="B812" t="s">
        <v>15922</v>
      </c>
      <c r="C812" t="s">
        <v>74</v>
      </c>
      <c r="D812" t="s">
        <v>74</v>
      </c>
      <c r="E812" t="s">
        <v>74</v>
      </c>
      <c r="F812" t="s">
        <v>15923</v>
      </c>
      <c r="G812" t="s">
        <v>74</v>
      </c>
      <c r="H812" t="s">
        <v>74</v>
      </c>
      <c r="I812" t="s">
        <v>15924</v>
      </c>
      <c r="J812" t="s">
        <v>2623</v>
      </c>
      <c r="K812" t="s">
        <v>74</v>
      </c>
      <c r="L812" t="s">
        <v>74</v>
      </c>
      <c r="M812" t="s">
        <v>80</v>
      </c>
      <c r="N812" t="s">
        <v>138</v>
      </c>
      <c r="O812" t="s">
        <v>74</v>
      </c>
      <c r="P812" t="s">
        <v>74</v>
      </c>
      <c r="Q812" t="s">
        <v>74</v>
      </c>
      <c r="R812" t="s">
        <v>74</v>
      </c>
      <c r="S812" t="s">
        <v>74</v>
      </c>
      <c r="T812" t="s">
        <v>74</v>
      </c>
      <c r="U812" t="s">
        <v>15925</v>
      </c>
      <c r="V812" t="s">
        <v>15926</v>
      </c>
      <c r="W812" t="s">
        <v>15927</v>
      </c>
      <c r="X812" t="s">
        <v>15928</v>
      </c>
      <c r="Y812" t="s">
        <v>15929</v>
      </c>
      <c r="Z812" t="s">
        <v>15930</v>
      </c>
      <c r="AA812" t="s">
        <v>15931</v>
      </c>
      <c r="AB812" t="s">
        <v>15932</v>
      </c>
      <c r="AC812" t="s">
        <v>15933</v>
      </c>
      <c r="AD812" t="s">
        <v>8695</v>
      </c>
      <c r="AE812" t="s">
        <v>15934</v>
      </c>
      <c r="AF812" t="s">
        <v>74</v>
      </c>
      <c r="AG812">
        <v>74</v>
      </c>
      <c r="AH812">
        <v>55</v>
      </c>
      <c r="AI812">
        <v>67</v>
      </c>
      <c r="AJ812">
        <v>6</v>
      </c>
      <c r="AK812">
        <v>23</v>
      </c>
      <c r="AL812" t="s">
        <v>2038</v>
      </c>
      <c r="AM812" t="s">
        <v>1730</v>
      </c>
      <c r="AN812" t="s">
        <v>2039</v>
      </c>
      <c r="AO812" t="s">
        <v>2636</v>
      </c>
      <c r="AP812" t="s">
        <v>74</v>
      </c>
      <c r="AQ812" t="s">
        <v>74</v>
      </c>
      <c r="AR812" t="s">
        <v>2637</v>
      </c>
      <c r="AS812" t="s">
        <v>2638</v>
      </c>
      <c r="AT812" t="s">
        <v>15935</v>
      </c>
      <c r="AU812">
        <v>2019</v>
      </c>
      <c r="AV812">
        <v>9</v>
      </c>
      <c r="AW812" t="s">
        <v>74</v>
      </c>
      <c r="AX812" t="s">
        <v>74</v>
      </c>
      <c r="AY812" t="s">
        <v>74</v>
      </c>
      <c r="AZ812" t="s">
        <v>74</v>
      </c>
      <c r="BA812" t="s">
        <v>74</v>
      </c>
      <c r="BB812" t="s">
        <v>74</v>
      </c>
      <c r="BC812" t="s">
        <v>74</v>
      </c>
      <c r="BD812">
        <v>13823</v>
      </c>
      <c r="BE812" t="s">
        <v>15936</v>
      </c>
      <c r="BF812" t="str">
        <f>HYPERLINK("http://dx.doi.org/10.1038/s41598-019-50343-5","http://dx.doi.org/10.1038/s41598-019-50343-5")</f>
        <v>http://dx.doi.org/10.1038/s41598-019-50343-5</v>
      </c>
      <c r="BG812" t="s">
        <v>74</v>
      </c>
      <c r="BH812" t="s">
        <v>74</v>
      </c>
      <c r="BI812">
        <v>14</v>
      </c>
      <c r="BJ812" t="s">
        <v>1245</v>
      </c>
      <c r="BK812" t="s">
        <v>294</v>
      </c>
      <c r="BL812" t="s">
        <v>1246</v>
      </c>
      <c r="BM812" t="s">
        <v>15937</v>
      </c>
      <c r="BN812">
        <v>31554854</v>
      </c>
      <c r="BO812" t="s">
        <v>1791</v>
      </c>
      <c r="BP812" t="s">
        <v>74</v>
      </c>
      <c r="BQ812" t="s">
        <v>74</v>
      </c>
      <c r="BR812" t="s">
        <v>108</v>
      </c>
      <c r="BS812" t="s">
        <v>15938</v>
      </c>
      <c r="BT812" t="str">
        <f>HYPERLINK("https%3A%2F%2Fwww.webofscience.com%2Fwos%2Fwoscc%2Ffull-record%2FWOS:000487586600014","View Full Record in Web of Science")</f>
        <v>View Full Record in Web of Science</v>
      </c>
    </row>
    <row r="813" spans="1:72" x14ac:dyDescent="0.15">
      <c r="A813" t="s">
        <v>133</v>
      </c>
      <c r="B813" t="s">
        <v>15939</v>
      </c>
      <c r="C813" t="s">
        <v>74</v>
      </c>
      <c r="D813" t="s">
        <v>74</v>
      </c>
      <c r="E813" t="s">
        <v>74</v>
      </c>
      <c r="F813" t="s">
        <v>15940</v>
      </c>
      <c r="G813" t="s">
        <v>74</v>
      </c>
      <c r="H813" t="s">
        <v>74</v>
      </c>
      <c r="I813" t="s">
        <v>15941</v>
      </c>
      <c r="J813" t="s">
        <v>15942</v>
      </c>
      <c r="K813" t="s">
        <v>74</v>
      </c>
      <c r="L813" t="s">
        <v>74</v>
      </c>
      <c r="M813" t="s">
        <v>80</v>
      </c>
      <c r="N813" t="s">
        <v>138</v>
      </c>
      <c r="O813" t="s">
        <v>74</v>
      </c>
      <c r="P813" t="s">
        <v>74</v>
      </c>
      <c r="Q813" t="s">
        <v>74</v>
      </c>
      <c r="R813" t="s">
        <v>74</v>
      </c>
      <c r="S813" t="s">
        <v>74</v>
      </c>
      <c r="T813" t="s">
        <v>15943</v>
      </c>
      <c r="U813" t="s">
        <v>15944</v>
      </c>
      <c r="V813" t="s">
        <v>15945</v>
      </c>
      <c r="W813" t="s">
        <v>15946</v>
      </c>
      <c r="X813" t="s">
        <v>15947</v>
      </c>
      <c r="Y813" t="s">
        <v>15948</v>
      </c>
      <c r="Z813" t="s">
        <v>15949</v>
      </c>
      <c r="AA813" t="s">
        <v>15950</v>
      </c>
      <c r="AB813" t="s">
        <v>15951</v>
      </c>
      <c r="AC813" t="s">
        <v>74</v>
      </c>
      <c r="AD813" t="s">
        <v>74</v>
      </c>
      <c r="AE813" t="s">
        <v>74</v>
      </c>
      <c r="AF813" t="s">
        <v>74</v>
      </c>
      <c r="AG813">
        <v>47</v>
      </c>
      <c r="AH813">
        <v>12</v>
      </c>
      <c r="AI813">
        <v>12</v>
      </c>
      <c r="AJ813">
        <v>1</v>
      </c>
      <c r="AK813">
        <v>3</v>
      </c>
      <c r="AL813" t="s">
        <v>1833</v>
      </c>
      <c r="AM813" t="s">
        <v>1834</v>
      </c>
      <c r="AN813" t="s">
        <v>1835</v>
      </c>
      <c r="AO813" t="s">
        <v>15952</v>
      </c>
      <c r="AP813" t="s">
        <v>74</v>
      </c>
      <c r="AQ813" t="s">
        <v>74</v>
      </c>
      <c r="AR813" t="s">
        <v>15953</v>
      </c>
      <c r="AS813" t="s">
        <v>15954</v>
      </c>
      <c r="AT813" t="s">
        <v>15935</v>
      </c>
      <c r="AU813">
        <v>2019</v>
      </c>
      <c r="AV813">
        <v>117</v>
      </c>
      <c r="AW813">
        <v>6</v>
      </c>
      <c r="AX813" t="s">
        <v>74</v>
      </c>
      <c r="AY813" t="s">
        <v>74</v>
      </c>
      <c r="AZ813" t="s">
        <v>74</v>
      </c>
      <c r="BA813" t="s">
        <v>74</v>
      </c>
      <c r="BB813">
        <v>1002</v>
      </c>
      <c r="BC813">
        <v>1013</v>
      </c>
      <c r="BD813" t="s">
        <v>74</v>
      </c>
      <c r="BE813" t="s">
        <v>15955</v>
      </c>
      <c r="BF813" t="str">
        <f>HYPERLINK("http://dx.doi.org/10.18520/cs/v117/i6/1002-1013","http://dx.doi.org/10.18520/cs/v117/i6/1002-1013")</f>
        <v>http://dx.doi.org/10.18520/cs/v117/i6/1002-1013</v>
      </c>
      <c r="BG813" t="s">
        <v>74</v>
      </c>
      <c r="BH813" t="s">
        <v>74</v>
      </c>
      <c r="BI813">
        <v>12</v>
      </c>
      <c r="BJ813" t="s">
        <v>1245</v>
      </c>
      <c r="BK813" t="s">
        <v>294</v>
      </c>
      <c r="BL813" t="s">
        <v>1246</v>
      </c>
      <c r="BM813" t="s">
        <v>15956</v>
      </c>
      <c r="BN813" t="s">
        <v>74</v>
      </c>
      <c r="BO813" t="s">
        <v>107</v>
      </c>
      <c r="BP813" t="s">
        <v>74</v>
      </c>
      <c r="BQ813" t="s">
        <v>74</v>
      </c>
      <c r="BR813" t="s">
        <v>108</v>
      </c>
      <c r="BS813" t="s">
        <v>15957</v>
      </c>
      <c r="BT813" t="str">
        <f>HYPERLINK("https%3A%2F%2Fwww.webofscience.com%2Fwos%2Fwoscc%2Ffull-record%2FWOS:000487750900027","View Full Record in Web of Science")</f>
        <v>View Full Record in Web of Science</v>
      </c>
    </row>
    <row r="814" spans="1:72" x14ac:dyDescent="0.15">
      <c r="A814" t="s">
        <v>133</v>
      </c>
      <c r="B814" t="s">
        <v>15958</v>
      </c>
      <c r="C814" t="s">
        <v>74</v>
      </c>
      <c r="D814" t="s">
        <v>74</v>
      </c>
      <c r="E814" t="s">
        <v>74</v>
      </c>
      <c r="F814" t="s">
        <v>15959</v>
      </c>
      <c r="G814" t="s">
        <v>74</v>
      </c>
      <c r="H814" t="s">
        <v>74</v>
      </c>
      <c r="I814" t="s">
        <v>15960</v>
      </c>
      <c r="J814" t="s">
        <v>3199</v>
      </c>
      <c r="K814" t="s">
        <v>74</v>
      </c>
      <c r="L814" t="s">
        <v>74</v>
      </c>
      <c r="M814" t="s">
        <v>80</v>
      </c>
      <c r="N814" t="s">
        <v>3200</v>
      </c>
      <c r="O814" t="s">
        <v>74</v>
      </c>
      <c r="P814" t="s">
        <v>74</v>
      </c>
      <c r="Q814" t="s">
        <v>74</v>
      </c>
      <c r="R814" t="s">
        <v>74</v>
      </c>
      <c r="S814" t="s">
        <v>74</v>
      </c>
      <c r="T814" t="s">
        <v>74</v>
      </c>
      <c r="U814" t="s">
        <v>15961</v>
      </c>
      <c r="V814" t="s">
        <v>15962</v>
      </c>
      <c r="W814" t="s">
        <v>15963</v>
      </c>
      <c r="X814" t="s">
        <v>15964</v>
      </c>
      <c r="Y814" t="s">
        <v>15965</v>
      </c>
      <c r="Z814" t="s">
        <v>15966</v>
      </c>
      <c r="AA814" t="s">
        <v>15967</v>
      </c>
      <c r="AB814" t="s">
        <v>15968</v>
      </c>
      <c r="AC814" t="s">
        <v>15969</v>
      </c>
      <c r="AD814" t="s">
        <v>15970</v>
      </c>
      <c r="AE814" t="s">
        <v>15971</v>
      </c>
      <c r="AF814" t="s">
        <v>74</v>
      </c>
      <c r="AG814">
        <v>90</v>
      </c>
      <c r="AH814">
        <v>104</v>
      </c>
      <c r="AI814">
        <v>110</v>
      </c>
      <c r="AJ814">
        <v>0</v>
      </c>
      <c r="AK814">
        <v>23</v>
      </c>
      <c r="AL814" t="s">
        <v>2099</v>
      </c>
      <c r="AM814" t="s">
        <v>2100</v>
      </c>
      <c r="AN814" t="s">
        <v>2101</v>
      </c>
      <c r="AO814" t="s">
        <v>3211</v>
      </c>
      <c r="AP814" t="s">
        <v>3212</v>
      </c>
      <c r="AQ814" t="s">
        <v>74</v>
      </c>
      <c r="AR814" t="s">
        <v>3213</v>
      </c>
      <c r="AS814" t="s">
        <v>3214</v>
      </c>
      <c r="AT814" t="s">
        <v>15935</v>
      </c>
      <c r="AU814">
        <v>2019</v>
      </c>
      <c r="AV814">
        <v>11</v>
      </c>
      <c r="AW814">
        <v>3</v>
      </c>
      <c r="AX814" t="s">
        <v>74</v>
      </c>
      <c r="AY814" t="s">
        <v>74</v>
      </c>
      <c r="AZ814" t="s">
        <v>74</v>
      </c>
      <c r="BA814" t="s">
        <v>74</v>
      </c>
      <c r="BB814">
        <v>1437</v>
      </c>
      <c r="BC814">
        <v>1461</v>
      </c>
      <c r="BD814" t="s">
        <v>74</v>
      </c>
      <c r="BE814" t="s">
        <v>15972</v>
      </c>
      <c r="BF814" t="str">
        <f>HYPERLINK("http://dx.doi.org/10.5194/essd-11-1437-2019","http://dx.doi.org/10.5194/essd-11-1437-2019")</f>
        <v>http://dx.doi.org/10.5194/essd-11-1437-2019</v>
      </c>
      <c r="BG814" t="s">
        <v>74</v>
      </c>
      <c r="BH814" t="s">
        <v>74</v>
      </c>
      <c r="BI814">
        <v>25</v>
      </c>
      <c r="BJ814" t="s">
        <v>3217</v>
      </c>
      <c r="BK814" t="s">
        <v>294</v>
      </c>
      <c r="BL814" t="s">
        <v>3218</v>
      </c>
      <c r="BM814" t="s">
        <v>15973</v>
      </c>
      <c r="BN814" t="s">
        <v>74</v>
      </c>
      <c r="BO814" t="s">
        <v>12662</v>
      </c>
      <c r="BP814" t="s">
        <v>74</v>
      </c>
      <c r="BQ814" t="s">
        <v>74</v>
      </c>
      <c r="BR814" t="s">
        <v>108</v>
      </c>
      <c r="BS814" t="s">
        <v>15974</v>
      </c>
      <c r="BT814" t="str">
        <f>HYPERLINK("https%3A%2F%2Fwww.webofscience.com%2Fwos%2Fwoscc%2Ffull-record%2FWOS:000488023300001","View Full Record in Web of Science")</f>
        <v>View Full Record in Web of Science</v>
      </c>
    </row>
    <row r="815" spans="1:72" x14ac:dyDescent="0.15">
      <c r="A815" t="s">
        <v>133</v>
      </c>
      <c r="B815" t="s">
        <v>15975</v>
      </c>
      <c r="C815" t="s">
        <v>74</v>
      </c>
      <c r="D815" t="s">
        <v>74</v>
      </c>
      <c r="E815" t="s">
        <v>74</v>
      </c>
      <c r="F815" t="s">
        <v>15976</v>
      </c>
      <c r="G815" t="s">
        <v>74</v>
      </c>
      <c r="H815" t="s">
        <v>74</v>
      </c>
      <c r="I815" t="s">
        <v>15977</v>
      </c>
      <c r="J815" t="s">
        <v>2623</v>
      </c>
      <c r="K815" t="s">
        <v>74</v>
      </c>
      <c r="L815" t="s">
        <v>74</v>
      </c>
      <c r="M815" t="s">
        <v>80</v>
      </c>
      <c r="N815" t="s">
        <v>138</v>
      </c>
      <c r="O815" t="s">
        <v>74</v>
      </c>
      <c r="P815" t="s">
        <v>74</v>
      </c>
      <c r="Q815" t="s">
        <v>74</v>
      </c>
      <c r="R815" t="s">
        <v>74</v>
      </c>
      <c r="S815" t="s">
        <v>74</v>
      </c>
      <c r="T815" t="s">
        <v>74</v>
      </c>
      <c r="U815" t="s">
        <v>15978</v>
      </c>
      <c r="V815" t="s">
        <v>15979</v>
      </c>
      <c r="W815" t="s">
        <v>15980</v>
      </c>
      <c r="X815" t="s">
        <v>15981</v>
      </c>
      <c r="Y815" t="s">
        <v>15982</v>
      </c>
      <c r="Z815" t="s">
        <v>15983</v>
      </c>
      <c r="AA815" t="s">
        <v>15984</v>
      </c>
      <c r="AB815" t="s">
        <v>15985</v>
      </c>
      <c r="AC815" t="s">
        <v>15986</v>
      </c>
      <c r="AD815" t="s">
        <v>15987</v>
      </c>
      <c r="AE815" t="s">
        <v>15988</v>
      </c>
      <c r="AF815" t="s">
        <v>74</v>
      </c>
      <c r="AG815">
        <v>65</v>
      </c>
      <c r="AH815">
        <v>16</v>
      </c>
      <c r="AI815">
        <v>16</v>
      </c>
      <c r="AJ815">
        <v>0</v>
      </c>
      <c r="AK815">
        <v>11</v>
      </c>
      <c r="AL815" t="s">
        <v>2038</v>
      </c>
      <c r="AM815" t="s">
        <v>1730</v>
      </c>
      <c r="AN815" t="s">
        <v>2039</v>
      </c>
      <c r="AO815" t="s">
        <v>2636</v>
      </c>
      <c r="AP815" t="s">
        <v>74</v>
      </c>
      <c r="AQ815" t="s">
        <v>74</v>
      </c>
      <c r="AR815" t="s">
        <v>2637</v>
      </c>
      <c r="AS815" t="s">
        <v>2638</v>
      </c>
      <c r="AT815" t="s">
        <v>15935</v>
      </c>
      <c r="AU815">
        <v>2019</v>
      </c>
      <c r="AV815">
        <v>9</v>
      </c>
      <c r="AW815" t="s">
        <v>74</v>
      </c>
      <c r="AX815" t="s">
        <v>74</v>
      </c>
      <c r="AY815" t="s">
        <v>74</v>
      </c>
      <c r="AZ815" t="s">
        <v>74</v>
      </c>
      <c r="BA815" t="s">
        <v>74</v>
      </c>
      <c r="BB815" t="s">
        <v>74</v>
      </c>
      <c r="BC815" t="s">
        <v>74</v>
      </c>
      <c r="BD815">
        <v>13894</v>
      </c>
      <c r="BE815" t="s">
        <v>15989</v>
      </c>
      <c r="BF815" t="str">
        <f>HYPERLINK("http://dx.doi.org/10.1038/s41598-019-50282-1","http://dx.doi.org/10.1038/s41598-019-50282-1")</f>
        <v>http://dx.doi.org/10.1038/s41598-019-50282-1</v>
      </c>
      <c r="BG815" t="s">
        <v>74</v>
      </c>
      <c r="BH815" t="s">
        <v>74</v>
      </c>
      <c r="BI815">
        <v>11</v>
      </c>
      <c r="BJ815" t="s">
        <v>1245</v>
      </c>
      <c r="BK815" t="s">
        <v>294</v>
      </c>
      <c r="BL815" t="s">
        <v>1246</v>
      </c>
      <c r="BM815" t="s">
        <v>15990</v>
      </c>
      <c r="BN815">
        <v>31554872</v>
      </c>
      <c r="BO815" t="s">
        <v>2934</v>
      </c>
      <c r="BP815" t="s">
        <v>74</v>
      </c>
      <c r="BQ815" t="s">
        <v>74</v>
      </c>
      <c r="BR815" t="s">
        <v>108</v>
      </c>
      <c r="BS815" t="s">
        <v>15991</v>
      </c>
      <c r="BT815" t="str">
        <f>HYPERLINK("https%3A%2F%2Fwww.webofscience.com%2Fwos%2Fwoscc%2Ffull-record%2FWOS:000487587800006","View Full Record in Web of Science")</f>
        <v>View Full Record in Web of Science</v>
      </c>
    </row>
    <row r="816" spans="1:72" x14ac:dyDescent="0.15">
      <c r="A816" t="s">
        <v>133</v>
      </c>
      <c r="B816" t="s">
        <v>15992</v>
      </c>
      <c r="C816" t="s">
        <v>74</v>
      </c>
      <c r="D816" t="s">
        <v>74</v>
      </c>
      <c r="E816" t="s">
        <v>74</v>
      </c>
      <c r="F816" t="s">
        <v>15993</v>
      </c>
      <c r="G816" t="s">
        <v>74</v>
      </c>
      <c r="H816" t="s">
        <v>74</v>
      </c>
      <c r="I816" t="s">
        <v>15994</v>
      </c>
      <c r="J816" t="s">
        <v>15995</v>
      </c>
      <c r="K816" t="s">
        <v>74</v>
      </c>
      <c r="L816" t="s">
        <v>74</v>
      </c>
      <c r="M816" t="s">
        <v>80</v>
      </c>
      <c r="N816" t="s">
        <v>138</v>
      </c>
      <c r="O816" t="s">
        <v>74</v>
      </c>
      <c r="P816" t="s">
        <v>74</v>
      </c>
      <c r="Q816" t="s">
        <v>74</v>
      </c>
      <c r="R816" t="s">
        <v>74</v>
      </c>
      <c r="S816" t="s">
        <v>74</v>
      </c>
      <c r="T816" t="s">
        <v>74</v>
      </c>
      <c r="U816" t="s">
        <v>15996</v>
      </c>
      <c r="V816" t="s">
        <v>15997</v>
      </c>
      <c r="W816" t="s">
        <v>15998</v>
      </c>
      <c r="X816" t="s">
        <v>15999</v>
      </c>
      <c r="Y816" t="s">
        <v>16000</v>
      </c>
      <c r="Z816" t="s">
        <v>16001</v>
      </c>
      <c r="AA816" t="s">
        <v>16002</v>
      </c>
      <c r="AB816" t="s">
        <v>16003</v>
      </c>
      <c r="AC816" t="s">
        <v>16004</v>
      </c>
      <c r="AD816" t="s">
        <v>16005</v>
      </c>
      <c r="AE816" t="s">
        <v>16006</v>
      </c>
      <c r="AF816" t="s">
        <v>74</v>
      </c>
      <c r="AG816">
        <v>108</v>
      </c>
      <c r="AH816">
        <v>19</v>
      </c>
      <c r="AI816">
        <v>20</v>
      </c>
      <c r="AJ816">
        <v>5</v>
      </c>
      <c r="AK816">
        <v>23</v>
      </c>
      <c r="AL816" t="s">
        <v>2099</v>
      </c>
      <c r="AM816" t="s">
        <v>2100</v>
      </c>
      <c r="AN816" t="s">
        <v>2101</v>
      </c>
      <c r="AO816" t="s">
        <v>16007</v>
      </c>
      <c r="AP816" t="s">
        <v>16008</v>
      </c>
      <c r="AQ816" t="s">
        <v>74</v>
      </c>
      <c r="AR816" t="s">
        <v>15995</v>
      </c>
      <c r="AS816" t="s">
        <v>16009</v>
      </c>
      <c r="AT816" t="s">
        <v>16010</v>
      </c>
      <c r="AU816">
        <v>2019</v>
      </c>
      <c r="AV816">
        <v>16</v>
      </c>
      <c r="AW816">
        <v>18</v>
      </c>
      <c r="AX816" t="s">
        <v>74</v>
      </c>
      <c r="AY816" t="s">
        <v>74</v>
      </c>
      <c r="AZ816" t="s">
        <v>74</v>
      </c>
      <c r="BA816" t="s">
        <v>74</v>
      </c>
      <c r="BB816">
        <v>3583</v>
      </c>
      <c r="BC816">
        <v>3603</v>
      </c>
      <c r="BD816" t="s">
        <v>74</v>
      </c>
      <c r="BE816" t="s">
        <v>16011</v>
      </c>
      <c r="BF816" t="str">
        <f>HYPERLINK("http://dx.doi.org/10.5194/bg-16-3583-2019","http://dx.doi.org/10.5194/bg-16-3583-2019")</f>
        <v>http://dx.doi.org/10.5194/bg-16-3583-2019</v>
      </c>
      <c r="BG816" t="s">
        <v>74</v>
      </c>
      <c r="BH816" t="s">
        <v>74</v>
      </c>
      <c r="BI816">
        <v>21</v>
      </c>
      <c r="BJ816" t="s">
        <v>159</v>
      </c>
      <c r="BK816" t="s">
        <v>294</v>
      </c>
      <c r="BL816" t="s">
        <v>161</v>
      </c>
      <c r="BM816" t="s">
        <v>16012</v>
      </c>
      <c r="BN816" t="s">
        <v>74</v>
      </c>
      <c r="BO816" t="s">
        <v>976</v>
      </c>
      <c r="BP816" t="s">
        <v>74</v>
      </c>
      <c r="BQ816" t="s">
        <v>74</v>
      </c>
      <c r="BR816" t="s">
        <v>108</v>
      </c>
      <c r="BS816" t="s">
        <v>16013</v>
      </c>
      <c r="BT816" t="str">
        <f>HYPERLINK("https%3A%2F%2Fwww.webofscience.com%2Fwos%2Fwoscc%2Ffull-record%2FWOS:000487996500001","View Full Record in Web of Science")</f>
        <v>View Full Record in Web of Science</v>
      </c>
    </row>
    <row r="817" spans="1:72" x14ac:dyDescent="0.15">
      <c r="A817" t="s">
        <v>133</v>
      </c>
      <c r="B817" t="s">
        <v>16014</v>
      </c>
      <c r="C817" t="s">
        <v>74</v>
      </c>
      <c r="D817" t="s">
        <v>74</v>
      </c>
      <c r="E817" t="s">
        <v>74</v>
      </c>
      <c r="F817" t="s">
        <v>16015</v>
      </c>
      <c r="G817" t="s">
        <v>74</v>
      </c>
      <c r="H817" t="s">
        <v>74</v>
      </c>
      <c r="I817" t="s">
        <v>16016</v>
      </c>
      <c r="J817" t="s">
        <v>2723</v>
      </c>
      <c r="K817" t="s">
        <v>74</v>
      </c>
      <c r="L817" t="s">
        <v>74</v>
      </c>
      <c r="M817" t="s">
        <v>80</v>
      </c>
      <c r="N817" t="s">
        <v>138</v>
      </c>
      <c r="O817" t="s">
        <v>74</v>
      </c>
      <c r="P817" t="s">
        <v>74</v>
      </c>
      <c r="Q817" t="s">
        <v>74</v>
      </c>
      <c r="R817" t="s">
        <v>74</v>
      </c>
      <c r="S817" t="s">
        <v>74</v>
      </c>
      <c r="T817" t="s">
        <v>16017</v>
      </c>
      <c r="U817" t="s">
        <v>16018</v>
      </c>
      <c r="V817" t="s">
        <v>16019</v>
      </c>
      <c r="W817" t="s">
        <v>16020</v>
      </c>
      <c r="X817" t="s">
        <v>16021</v>
      </c>
      <c r="Y817" t="s">
        <v>16022</v>
      </c>
      <c r="Z817" t="s">
        <v>16023</v>
      </c>
      <c r="AA817" t="s">
        <v>16024</v>
      </c>
      <c r="AB817" t="s">
        <v>16025</v>
      </c>
      <c r="AC817" t="s">
        <v>16026</v>
      </c>
      <c r="AD817" t="s">
        <v>16027</v>
      </c>
      <c r="AE817" t="s">
        <v>16028</v>
      </c>
      <c r="AF817" t="s">
        <v>74</v>
      </c>
      <c r="AG817">
        <v>81</v>
      </c>
      <c r="AH817">
        <v>12</v>
      </c>
      <c r="AI817">
        <v>12</v>
      </c>
      <c r="AJ817">
        <v>1</v>
      </c>
      <c r="AK817">
        <v>7</v>
      </c>
      <c r="AL817" t="s">
        <v>2587</v>
      </c>
      <c r="AM817" t="s">
        <v>2588</v>
      </c>
      <c r="AN817" t="s">
        <v>2589</v>
      </c>
      <c r="AO817" t="s">
        <v>74</v>
      </c>
      <c r="AP817" t="s">
        <v>2734</v>
      </c>
      <c r="AQ817" t="s">
        <v>74</v>
      </c>
      <c r="AR817" t="s">
        <v>2735</v>
      </c>
      <c r="AS817" t="s">
        <v>2736</v>
      </c>
      <c r="AT817" t="s">
        <v>16010</v>
      </c>
      <c r="AU817">
        <v>2019</v>
      </c>
      <c r="AV817">
        <v>6</v>
      </c>
      <c r="AW817" t="s">
        <v>74</v>
      </c>
      <c r="AX817" t="s">
        <v>74</v>
      </c>
      <c r="AY817" t="s">
        <v>74</v>
      </c>
      <c r="AZ817" t="s">
        <v>74</v>
      </c>
      <c r="BA817" t="s">
        <v>74</v>
      </c>
      <c r="BB817" t="s">
        <v>74</v>
      </c>
      <c r="BC817" t="s">
        <v>74</v>
      </c>
      <c r="BD817">
        <v>595</v>
      </c>
      <c r="BE817" t="s">
        <v>16029</v>
      </c>
      <c r="BF817" t="str">
        <f>HYPERLINK("http://dx.doi.org/10.3389/fmars.2019.00595","http://dx.doi.org/10.3389/fmars.2019.00595")</f>
        <v>http://dx.doi.org/10.3389/fmars.2019.00595</v>
      </c>
      <c r="BG817" t="s">
        <v>74</v>
      </c>
      <c r="BH817" t="s">
        <v>74</v>
      </c>
      <c r="BI817">
        <v>19</v>
      </c>
      <c r="BJ817" t="s">
        <v>2738</v>
      </c>
      <c r="BK817" t="s">
        <v>294</v>
      </c>
      <c r="BL817" t="s">
        <v>2739</v>
      </c>
      <c r="BM817" t="s">
        <v>16030</v>
      </c>
      <c r="BN817" t="s">
        <v>74</v>
      </c>
      <c r="BO817" t="s">
        <v>693</v>
      </c>
      <c r="BP817" t="s">
        <v>74</v>
      </c>
      <c r="BQ817" t="s">
        <v>74</v>
      </c>
      <c r="BR817" t="s">
        <v>108</v>
      </c>
      <c r="BS817" t="s">
        <v>16031</v>
      </c>
      <c r="BT817" t="str">
        <f>HYPERLINK("https%3A%2F%2Fwww.webofscience.com%2Fwos%2Fwoscc%2Ffull-record%2FWOS:000488121400002","View Full Record in Web of Science")</f>
        <v>View Full Record in Web of Science</v>
      </c>
    </row>
    <row r="818" spans="1:72" x14ac:dyDescent="0.15">
      <c r="A818" t="s">
        <v>133</v>
      </c>
      <c r="B818" t="s">
        <v>16032</v>
      </c>
      <c r="C818" t="s">
        <v>74</v>
      </c>
      <c r="D818" t="s">
        <v>74</v>
      </c>
      <c r="E818" t="s">
        <v>74</v>
      </c>
      <c r="F818" t="s">
        <v>16033</v>
      </c>
      <c r="G818" t="s">
        <v>74</v>
      </c>
      <c r="H818" t="s">
        <v>74</v>
      </c>
      <c r="I818" t="s">
        <v>16034</v>
      </c>
      <c r="J818" t="s">
        <v>2623</v>
      </c>
      <c r="K818" t="s">
        <v>74</v>
      </c>
      <c r="L818" t="s">
        <v>74</v>
      </c>
      <c r="M818" t="s">
        <v>80</v>
      </c>
      <c r="N818" t="s">
        <v>138</v>
      </c>
      <c r="O818" t="s">
        <v>74</v>
      </c>
      <c r="P818" t="s">
        <v>74</v>
      </c>
      <c r="Q818" t="s">
        <v>74</v>
      </c>
      <c r="R818" t="s">
        <v>74</v>
      </c>
      <c r="S818" t="s">
        <v>74</v>
      </c>
      <c r="T818" t="s">
        <v>74</v>
      </c>
      <c r="U818" t="s">
        <v>16035</v>
      </c>
      <c r="V818" t="s">
        <v>16036</v>
      </c>
      <c r="W818" t="s">
        <v>16037</v>
      </c>
      <c r="X818" t="s">
        <v>16038</v>
      </c>
      <c r="Y818" t="s">
        <v>16039</v>
      </c>
      <c r="Z818" t="s">
        <v>16040</v>
      </c>
      <c r="AA818" t="s">
        <v>16041</v>
      </c>
      <c r="AB818" t="s">
        <v>16042</v>
      </c>
      <c r="AC818" t="s">
        <v>16043</v>
      </c>
      <c r="AD818" t="s">
        <v>16044</v>
      </c>
      <c r="AE818" t="s">
        <v>16045</v>
      </c>
      <c r="AF818" t="s">
        <v>74</v>
      </c>
      <c r="AG818">
        <v>82</v>
      </c>
      <c r="AH818">
        <v>7</v>
      </c>
      <c r="AI818">
        <v>7</v>
      </c>
      <c r="AJ818">
        <v>1</v>
      </c>
      <c r="AK818">
        <v>10</v>
      </c>
      <c r="AL818" t="s">
        <v>2038</v>
      </c>
      <c r="AM818" t="s">
        <v>1730</v>
      </c>
      <c r="AN818" t="s">
        <v>2039</v>
      </c>
      <c r="AO818" t="s">
        <v>2636</v>
      </c>
      <c r="AP818" t="s">
        <v>74</v>
      </c>
      <c r="AQ818" t="s">
        <v>74</v>
      </c>
      <c r="AR818" t="s">
        <v>2637</v>
      </c>
      <c r="AS818" t="s">
        <v>2638</v>
      </c>
      <c r="AT818" t="s">
        <v>16010</v>
      </c>
      <c r="AU818">
        <v>2019</v>
      </c>
      <c r="AV818">
        <v>9</v>
      </c>
      <c r="AW818" t="s">
        <v>74</v>
      </c>
      <c r="AX818" t="s">
        <v>74</v>
      </c>
      <c r="AY818" t="s">
        <v>74</v>
      </c>
      <c r="AZ818" t="s">
        <v>74</v>
      </c>
      <c r="BA818" t="s">
        <v>74</v>
      </c>
      <c r="BB818" t="s">
        <v>74</v>
      </c>
      <c r="BC818" t="s">
        <v>74</v>
      </c>
      <c r="BD818">
        <v>13799</v>
      </c>
      <c r="BE818" t="s">
        <v>16046</v>
      </c>
      <c r="BF818" t="str">
        <f>HYPERLINK("http://dx.doi.org/10.1038/s41598-019-48871-1","http://dx.doi.org/10.1038/s41598-019-48871-1")</f>
        <v>http://dx.doi.org/10.1038/s41598-019-48871-1</v>
      </c>
      <c r="BG818" t="s">
        <v>74</v>
      </c>
      <c r="BH818" t="s">
        <v>74</v>
      </c>
      <c r="BI818">
        <v>12</v>
      </c>
      <c r="BJ818" t="s">
        <v>1245</v>
      </c>
      <c r="BK818" t="s">
        <v>294</v>
      </c>
      <c r="BL818" t="s">
        <v>1246</v>
      </c>
      <c r="BM818" t="s">
        <v>16047</v>
      </c>
      <c r="BN818">
        <v>31551483</v>
      </c>
      <c r="BO818" t="s">
        <v>693</v>
      </c>
      <c r="BP818" t="s">
        <v>74</v>
      </c>
      <c r="BQ818" t="s">
        <v>74</v>
      </c>
      <c r="BR818" t="s">
        <v>108</v>
      </c>
      <c r="BS818" t="s">
        <v>16048</v>
      </c>
      <c r="BT818" t="str">
        <f>HYPERLINK("https%3A%2F%2Fwww.webofscience.com%2Fwos%2Fwoscc%2Ffull-record%2FWOS:000487365800014","View Full Record in Web of Science")</f>
        <v>View Full Record in Web of Science</v>
      </c>
    </row>
    <row r="819" spans="1:72" x14ac:dyDescent="0.15">
      <c r="A819" t="s">
        <v>133</v>
      </c>
      <c r="B819" t="s">
        <v>16049</v>
      </c>
      <c r="C819" t="s">
        <v>74</v>
      </c>
      <c r="D819" t="s">
        <v>74</v>
      </c>
      <c r="E819" t="s">
        <v>74</v>
      </c>
      <c r="F819" t="s">
        <v>16050</v>
      </c>
      <c r="G819" t="s">
        <v>74</v>
      </c>
      <c r="H819" t="s">
        <v>74</v>
      </c>
      <c r="I819" t="s">
        <v>16051</v>
      </c>
      <c r="J819" t="s">
        <v>16052</v>
      </c>
      <c r="K819" t="s">
        <v>74</v>
      </c>
      <c r="L819" t="s">
        <v>74</v>
      </c>
      <c r="M819" t="s">
        <v>80</v>
      </c>
      <c r="N819" t="s">
        <v>138</v>
      </c>
      <c r="O819" t="s">
        <v>74</v>
      </c>
      <c r="P819" t="s">
        <v>74</v>
      </c>
      <c r="Q819" t="s">
        <v>74</v>
      </c>
      <c r="R819" t="s">
        <v>74</v>
      </c>
      <c r="S819" t="s">
        <v>74</v>
      </c>
      <c r="T819" t="s">
        <v>16053</v>
      </c>
      <c r="U819" t="s">
        <v>16054</v>
      </c>
      <c r="V819" t="s">
        <v>16055</v>
      </c>
      <c r="W819" t="s">
        <v>16056</v>
      </c>
      <c r="X819" t="s">
        <v>16057</v>
      </c>
      <c r="Y819" t="s">
        <v>16058</v>
      </c>
      <c r="Z819" t="s">
        <v>8417</v>
      </c>
      <c r="AA819" t="s">
        <v>16059</v>
      </c>
      <c r="AB819" t="s">
        <v>16060</v>
      </c>
      <c r="AC819" t="s">
        <v>16061</v>
      </c>
      <c r="AD819" t="s">
        <v>16062</v>
      </c>
      <c r="AE819" t="s">
        <v>16063</v>
      </c>
      <c r="AF819" t="s">
        <v>74</v>
      </c>
      <c r="AG819">
        <v>66</v>
      </c>
      <c r="AH819">
        <v>2</v>
      </c>
      <c r="AI819">
        <v>2</v>
      </c>
      <c r="AJ819">
        <v>1</v>
      </c>
      <c r="AK819">
        <v>14</v>
      </c>
      <c r="AL819" t="s">
        <v>1211</v>
      </c>
      <c r="AM819" t="s">
        <v>1212</v>
      </c>
      <c r="AN819" t="s">
        <v>16064</v>
      </c>
      <c r="AO819" t="s">
        <v>16065</v>
      </c>
      <c r="AP819" t="s">
        <v>16066</v>
      </c>
      <c r="AQ819" t="s">
        <v>74</v>
      </c>
      <c r="AR819" t="s">
        <v>16052</v>
      </c>
      <c r="AS819" t="s">
        <v>16067</v>
      </c>
      <c r="AT819" t="s">
        <v>16068</v>
      </c>
      <c r="AU819">
        <v>2019</v>
      </c>
      <c r="AV819">
        <v>418</v>
      </c>
      <c r="AW819">
        <v>1</v>
      </c>
      <c r="AX819" t="s">
        <v>74</v>
      </c>
      <c r="AY819" t="s">
        <v>74</v>
      </c>
      <c r="AZ819" t="s">
        <v>74</v>
      </c>
      <c r="BA819" t="s">
        <v>74</v>
      </c>
      <c r="BB819">
        <v>42</v>
      </c>
      <c r="BC819">
        <v>56</v>
      </c>
      <c r="BD819" t="s">
        <v>74</v>
      </c>
      <c r="BE819" t="s">
        <v>16069</v>
      </c>
      <c r="BF819" t="str">
        <f>HYPERLINK("http://dx.doi.org/10.11646/phytotaxa.418.1.2","http://dx.doi.org/10.11646/phytotaxa.418.1.2")</f>
        <v>http://dx.doi.org/10.11646/phytotaxa.418.1.2</v>
      </c>
      <c r="BG819" t="s">
        <v>74</v>
      </c>
      <c r="BH819" t="s">
        <v>74</v>
      </c>
      <c r="BI819">
        <v>15</v>
      </c>
      <c r="BJ819" t="s">
        <v>6734</v>
      </c>
      <c r="BK819" t="s">
        <v>294</v>
      </c>
      <c r="BL819" t="s">
        <v>6734</v>
      </c>
      <c r="BM819" t="s">
        <v>16070</v>
      </c>
      <c r="BN819" t="s">
        <v>74</v>
      </c>
      <c r="BO819" t="s">
        <v>74</v>
      </c>
      <c r="BP819" t="s">
        <v>74</v>
      </c>
      <c r="BQ819" t="s">
        <v>74</v>
      </c>
      <c r="BR819" t="s">
        <v>108</v>
      </c>
      <c r="BS819" t="s">
        <v>16071</v>
      </c>
      <c r="BT819" t="str">
        <f>HYPERLINK("https%3A%2F%2Fwww.webofscience.com%2Fwos%2Fwoscc%2Ffull-record%2FWOS:000487686500002","View Full Record in Web of Science")</f>
        <v>View Full Record in Web of Science</v>
      </c>
    </row>
    <row r="820" spans="1:72" x14ac:dyDescent="0.15">
      <c r="A820" t="s">
        <v>133</v>
      </c>
      <c r="B820" t="s">
        <v>16072</v>
      </c>
      <c r="C820" t="s">
        <v>74</v>
      </c>
      <c r="D820" t="s">
        <v>74</v>
      </c>
      <c r="E820" t="s">
        <v>74</v>
      </c>
      <c r="F820" t="s">
        <v>16073</v>
      </c>
      <c r="G820" t="s">
        <v>74</v>
      </c>
      <c r="H820" t="s">
        <v>74</v>
      </c>
      <c r="I820" t="s">
        <v>16074</v>
      </c>
      <c r="J820" t="s">
        <v>16075</v>
      </c>
      <c r="K820" t="s">
        <v>74</v>
      </c>
      <c r="L820" t="s">
        <v>74</v>
      </c>
      <c r="M820" t="s">
        <v>80</v>
      </c>
      <c r="N820" t="s">
        <v>138</v>
      </c>
      <c r="O820" t="s">
        <v>74</v>
      </c>
      <c r="P820" t="s">
        <v>74</v>
      </c>
      <c r="Q820" t="s">
        <v>74</v>
      </c>
      <c r="R820" t="s">
        <v>74</v>
      </c>
      <c r="S820" t="s">
        <v>74</v>
      </c>
      <c r="T820" t="s">
        <v>16076</v>
      </c>
      <c r="U820" t="s">
        <v>16077</v>
      </c>
      <c r="V820" t="s">
        <v>16078</v>
      </c>
      <c r="W820" t="s">
        <v>16079</v>
      </c>
      <c r="X820" t="s">
        <v>16080</v>
      </c>
      <c r="Y820" t="s">
        <v>16081</v>
      </c>
      <c r="Z820" t="s">
        <v>16082</v>
      </c>
      <c r="AA820" t="s">
        <v>74</v>
      </c>
      <c r="AB820" t="s">
        <v>16083</v>
      </c>
      <c r="AC820" t="s">
        <v>16084</v>
      </c>
      <c r="AD820" t="s">
        <v>16085</v>
      </c>
      <c r="AE820" t="s">
        <v>16086</v>
      </c>
      <c r="AF820" t="s">
        <v>74</v>
      </c>
      <c r="AG820">
        <v>65</v>
      </c>
      <c r="AH820">
        <v>59</v>
      </c>
      <c r="AI820">
        <v>60</v>
      </c>
      <c r="AJ820">
        <v>0</v>
      </c>
      <c r="AK820">
        <v>5</v>
      </c>
      <c r="AL820" t="s">
        <v>16087</v>
      </c>
      <c r="AM820" t="s">
        <v>16088</v>
      </c>
      <c r="AN820" t="s">
        <v>16089</v>
      </c>
      <c r="AO820" t="s">
        <v>16090</v>
      </c>
      <c r="AP820" t="s">
        <v>74</v>
      </c>
      <c r="AQ820" t="s">
        <v>74</v>
      </c>
      <c r="AR820" t="s">
        <v>16091</v>
      </c>
      <c r="AS820" t="s">
        <v>16092</v>
      </c>
      <c r="AT820" t="s">
        <v>16093</v>
      </c>
      <c r="AU820">
        <v>2019</v>
      </c>
      <c r="AV820">
        <v>630</v>
      </c>
      <c r="AW820" t="s">
        <v>74</v>
      </c>
      <c r="AX820" t="s">
        <v>74</v>
      </c>
      <c r="AY820" t="s">
        <v>74</v>
      </c>
      <c r="AZ820" t="s">
        <v>74</v>
      </c>
      <c r="BA820" t="s">
        <v>74</v>
      </c>
      <c r="BB820" t="s">
        <v>74</v>
      </c>
      <c r="BC820" t="s">
        <v>74</v>
      </c>
      <c r="BD820" t="s">
        <v>16094</v>
      </c>
      <c r="BE820" t="s">
        <v>16095</v>
      </c>
      <c r="BF820" t="str">
        <f>HYPERLINK("http://dx.doi.org/10.1051/0004-6361/201834851","http://dx.doi.org/10.1051/0004-6361/201834851")</f>
        <v>http://dx.doi.org/10.1051/0004-6361/201834851</v>
      </c>
      <c r="BG820" t="s">
        <v>74</v>
      </c>
      <c r="BH820" t="s">
        <v>74</v>
      </c>
      <c r="BI820">
        <v>14</v>
      </c>
      <c r="BJ820" t="s">
        <v>1571</v>
      </c>
      <c r="BK820" t="s">
        <v>294</v>
      </c>
      <c r="BL820" t="s">
        <v>1571</v>
      </c>
      <c r="BM820" t="s">
        <v>16096</v>
      </c>
      <c r="BN820" t="s">
        <v>74</v>
      </c>
      <c r="BO820" t="s">
        <v>1026</v>
      </c>
      <c r="BP820" t="s">
        <v>74</v>
      </c>
      <c r="BQ820" t="s">
        <v>74</v>
      </c>
      <c r="BR820" t="s">
        <v>108</v>
      </c>
      <c r="BS820" t="s">
        <v>16097</v>
      </c>
      <c r="BT820" t="str">
        <f>HYPERLINK("https%3A%2F%2Fwww.webofscience.com%2Fwos%2Fwoscc%2Ffull-record%2FWOS:000486989400026","View Full Record in Web of Science")</f>
        <v>View Full Record in Web of Science</v>
      </c>
    </row>
    <row r="821" spans="1:72" x14ac:dyDescent="0.15">
      <c r="A821" t="s">
        <v>133</v>
      </c>
      <c r="B821" t="s">
        <v>16098</v>
      </c>
      <c r="C821" t="s">
        <v>74</v>
      </c>
      <c r="D821" t="s">
        <v>74</v>
      </c>
      <c r="E821" t="s">
        <v>74</v>
      </c>
      <c r="F821" t="s">
        <v>16099</v>
      </c>
      <c r="G821" t="s">
        <v>74</v>
      </c>
      <c r="H821" t="s">
        <v>74</v>
      </c>
      <c r="I821" t="s">
        <v>16100</v>
      </c>
      <c r="J821" t="s">
        <v>2026</v>
      </c>
      <c r="K821" t="s">
        <v>74</v>
      </c>
      <c r="L821" t="s">
        <v>74</v>
      </c>
      <c r="M821" t="s">
        <v>80</v>
      </c>
      <c r="N821" t="s">
        <v>138</v>
      </c>
      <c r="O821" t="s">
        <v>74</v>
      </c>
      <c r="P821" t="s">
        <v>74</v>
      </c>
      <c r="Q821" t="s">
        <v>74</v>
      </c>
      <c r="R821" t="s">
        <v>74</v>
      </c>
      <c r="S821" t="s">
        <v>74</v>
      </c>
      <c r="T821" t="s">
        <v>74</v>
      </c>
      <c r="U821" t="s">
        <v>16101</v>
      </c>
      <c r="V821" t="s">
        <v>16102</v>
      </c>
      <c r="W821" t="s">
        <v>16103</v>
      </c>
      <c r="X821" t="s">
        <v>16104</v>
      </c>
      <c r="Y821" t="s">
        <v>16105</v>
      </c>
      <c r="Z821" t="s">
        <v>16106</v>
      </c>
      <c r="AA821" t="s">
        <v>16107</v>
      </c>
      <c r="AB821" t="s">
        <v>16108</v>
      </c>
      <c r="AC821" t="s">
        <v>16109</v>
      </c>
      <c r="AD821" t="s">
        <v>16110</v>
      </c>
      <c r="AE821" t="s">
        <v>16111</v>
      </c>
      <c r="AF821" t="s">
        <v>74</v>
      </c>
      <c r="AG821">
        <v>45</v>
      </c>
      <c r="AH821">
        <v>54</v>
      </c>
      <c r="AI821">
        <v>68</v>
      </c>
      <c r="AJ821">
        <v>6</v>
      </c>
      <c r="AK821">
        <v>30</v>
      </c>
      <c r="AL821" t="s">
        <v>2038</v>
      </c>
      <c r="AM821" t="s">
        <v>1730</v>
      </c>
      <c r="AN821" t="s">
        <v>2039</v>
      </c>
      <c r="AO821" t="s">
        <v>2040</v>
      </c>
      <c r="AP821" t="s">
        <v>74</v>
      </c>
      <c r="AQ821" t="s">
        <v>74</v>
      </c>
      <c r="AR821" t="s">
        <v>2041</v>
      </c>
      <c r="AS821" t="s">
        <v>2042</v>
      </c>
      <c r="AT821" t="s">
        <v>16093</v>
      </c>
      <c r="AU821">
        <v>2019</v>
      </c>
      <c r="AV821">
        <v>10</v>
      </c>
      <c r="AW821" t="s">
        <v>74</v>
      </c>
      <c r="AX821" t="s">
        <v>74</v>
      </c>
      <c r="AY821" t="s">
        <v>74</v>
      </c>
      <c r="AZ821" t="s">
        <v>74</v>
      </c>
      <c r="BA821" t="s">
        <v>74</v>
      </c>
      <c r="BB821" t="s">
        <v>74</v>
      </c>
      <c r="BC821" t="s">
        <v>74</v>
      </c>
      <c r="BD821">
        <v>4311</v>
      </c>
      <c r="BE821" t="s">
        <v>16112</v>
      </c>
      <c r="BF821" t="str">
        <f>HYPERLINK("http://dx.doi.org/10.1038/s41467-019-12039-2","http://dx.doi.org/10.1038/s41467-019-12039-2")</f>
        <v>http://dx.doi.org/10.1038/s41467-019-12039-2</v>
      </c>
      <c r="BG821" t="s">
        <v>74</v>
      </c>
      <c r="BH821" t="s">
        <v>74</v>
      </c>
      <c r="BI821">
        <v>8</v>
      </c>
      <c r="BJ821" t="s">
        <v>1245</v>
      </c>
      <c r="BK821" t="s">
        <v>294</v>
      </c>
      <c r="BL821" t="s">
        <v>1246</v>
      </c>
      <c r="BM821" t="s">
        <v>16113</v>
      </c>
      <c r="BN821">
        <v>31541114</v>
      </c>
      <c r="BO821" t="s">
        <v>1791</v>
      </c>
      <c r="BP821" t="s">
        <v>74</v>
      </c>
      <c r="BQ821" t="s">
        <v>74</v>
      </c>
      <c r="BR821" t="s">
        <v>108</v>
      </c>
      <c r="BS821" t="s">
        <v>16114</v>
      </c>
      <c r="BT821" t="str">
        <f>HYPERLINK("https%3A%2F%2Fwww.webofscience.com%2Fwos%2Fwoscc%2Ffull-record%2FWOS:000486995200021","View Full Record in Web of Science")</f>
        <v>View Full Record in Web of Science</v>
      </c>
    </row>
    <row r="822" spans="1:72" x14ac:dyDescent="0.15">
      <c r="A822" t="s">
        <v>133</v>
      </c>
      <c r="B822" t="s">
        <v>16115</v>
      </c>
      <c r="C822" t="s">
        <v>74</v>
      </c>
      <c r="D822" t="s">
        <v>74</v>
      </c>
      <c r="E822" t="s">
        <v>74</v>
      </c>
      <c r="F822" t="s">
        <v>16116</v>
      </c>
      <c r="G822" t="s">
        <v>74</v>
      </c>
      <c r="H822" t="s">
        <v>74</v>
      </c>
      <c r="I822" t="s">
        <v>16117</v>
      </c>
      <c r="J822" t="s">
        <v>7274</v>
      </c>
      <c r="K822" t="s">
        <v>74</v>
      </c>
      <c r="L822" t="s">
        <v>74</v>
      </c>
      <c r="M822" t="s">
        <v>80</v>
      </c>
      <c r="N822" t="s">
        <v>138</v>
      </c>
      <c r="O822" t="s">
        <v>74</v>
      </c>
      <c r="P822" t="s">
        <v>74</v>
      </c>
      <c r="Q822" t="s">
        <v>74</v>
      </c>
      <c r="R822" t="s">
        <v>74</v>
      </c>
      <c r="S822" t="s">
        <v>74</v>
      </c>
      <c r="T822" t="s">
        <v>74</v>
      </c>
      <c r="U822" t="s">
        <v>16118</v>
      </c>
      <c r="V822" t="s">
        <v>16119</v>
      </c>
      <c r="W822" t="s">
        <v>16120</v>
      </c>
      <c r="X822" t="s">
        <v>16121</v>
      </c>
      <c r="Y822" t="s">
        <v>16122</v>
      </c>
      <c r="Z822" t="s">
        <v>16123</v>
      </c>
      <c r="AA822" t="s">
        <v>16124</v>
      </c>
      <c r="AB822" t="s">
        <v>16125</v>
      </c>
      <c r="AC822" t="s">
        <v>16126</v>
      </c>
      <c r="AD822" t="s">
        <v>16127</v>
      </c>
      <c r="AE822" t="s">
        <v>16128</v>
      </c>
      <c r="AF822" t="s">
        <v>74</v>
      </c>
      <c r="AG822">
        <v>103</v>
      </c>
      <c r="AH822">
        <v>8</v>
      </c>
      <c r="AI822">
        <v>9</v>
      </c>
      <c r="AJ822">
        <v>0</v>
      </c>
      <c r="AK822">
        <v>26</v>
      </c>
      <c r="AL822" t="s">
        <v>284</v>
      </c>
      <c r="AM822" t="s">
        <v>285</v>
      </c>
      <c r="AN822" t="s">
        <v>286</v>
      </c>
      <c r="AO822" t="s">
        <v>7287</v>
      </c>
      <c r="AP822" t="s">
        <v>7288</v>
      </c>
      <c r="AQ822" t="s">
        <v>74</v>
      </c>
      <c r="AR822" t="s">
        <v>7289</v>
      </c>
      <c r="AS822" t="s">
        <v>7290</v>
      </c>
      <c r="AT822" t="s">
        <v>16093</v>
      </c>
      <c r="AU822">
        <v>2019</v>
      </c>
      <c r="AV822">
        <v>215</v>
      </c>
      <c r="AW822" t="s">
        <v>74</v>
      </c>
      <c r="AX822" t="s">
        <v>74</v>
      </c>
      <c r="AY822" t="s">
        <v>74</v>
      </c>
      <c r="AZ822" t="s">
        <v>74</v>
      </c>
      <c r="BA822" t="s">
        <v>74</v>
      </c>
      <c r="BB822" t="s">
        <v>74</v>
      </c>
      <c r="BC822" t="s">
        <v>74</v>
      </c>
      <c r="BD822">
        <v>103672</v>
      </c>
      <c r="BE822" t="s">
        <v>16129</v>
      </c>
      <c r="BF822" t="str">
        <f>HYPERLINK("http://dx.doi.org/10.1016/j.marchem.2019.103672","http://dx.doi.org/10.1016/j.marchem.2019.103672")</f>
        <v>http://dx.doi.org/10.1016/j.marchem.2019.103672</v>
      </c>
      <c r="BG822" t="s">
        <v>74</v>
      </c>
      <c r="BH822" t="s">
        <v>74</v>
      </c>
      <c r="BI822">
        <v>11</v>
      </c>
      <c r="BJ822" t="s">
        <v>7293</v>
      </c>
      <c r="BK822" t="s">
        <v>294</v>
      </c>
      <c r="BL822" t="s">
        <v>7294</v>
      </c>
      <c r="BM822" t="s">
        <v>16130</v>
      </c>
      <c r="BN822" t="s">
        <v>74</v>
      </c>
      <c r="BO822" t="s">
        <v>7596</v>
      </c>
      <c r="BP822" t="s">
        <v>74</v>
      </c>
      <c r="BQ822" t="s">
        <v>74</v>
      </c>
      <c r="BR822" t="s">
        <v>108</v>
      </c>
      <c r="BS822" t="s">
        <v>16131</v>
      </c>
      <c r="BT822" t="str">
        <f>HYPERLINK("https%3A%2F%2Fwww.webofscience.com%2Fwos%2Fwoscc%2Ffull-record%2FWOS:000484876200006","View Full Record in Web of Science")</f>
        <v>View Full Record in Web of Science</v>
      </c>
    </row>
    <row r="823" spans="1:72" x14ac:dyDescent="0.15">
      <c r="A823" t="s">
        <v>133</v>
      </c>
      <c r="B823" t="s">
        <v>16132</v>
      </c>
      <c r="C823" t="s">
        <v>74</v>
      </c>
      <c r="D823" t="s">
        <v>74</v>
      </c>
      <c r="E823" t="s">
        <v>74</v>
      </c>
      <c r="F823" t="s">
        <v>16133</v>
      </c>
      <c r="G823" t="s">
        <v>74</v>
      </c>
      <c r="H823" t="s">
        <v>74</v>
      </c>
      <c r="I823" t="s">
        <v>16134</v>
      </c>
      <c r="J823" t="s">
        <v>7274</v>
      </c>
      <c r="K823" t="s">
        <v>74</v>
      </c>
      <c r="L823" t="s">
        <v>74</v>
      </c>
      <c r="M823" t="s">
        <v>80</v>
      </c>
      <c r="N823" t="s">
        <v>138</v>
      </c>
      <c r="O823" t="s">
        <v>74</v>
      </c>
      <c r="P823" t="s">
        <v>74</v>
      </c>
      <c r="Q823" t="s">
        <v>74</v>
      </c>
      <c r="R823" t="s">
        <v>74</v>
      </c>
      <c r="S823" t="s">
        <v>74</v>
      </c>
      <c r="T823" t="s">
        <v>74</v>
      </c>
      <c r="U823" t="s">
        <v>16135</v>
      </c>
      <c r="V823" t="s">
        <v>16136</v>
      </c>
      <c r="W823" t="s">
        <v>16137</v>
      </c>
      <c r="X823" t="s">
        <v>8074</v>
      </c>
      <c r="Y823" t="s">
        <v>16138</v>
      </c>
      <c r="Z823" t="s">
        <v>16139</v>
      </c>
      <c r="AA823" t="s">
        <v>16140</v>
      </c>
      <c r="AB823" t="s">
        <v>16141</v>
      </c>
      <c r="AC823" t="s">
        <v>16142</v>
      </c>
      <c r="AD823" t="s">
        <v>16143</v>
      </c>
      <c r="AE823" t="s">
        <v>16144</v>
      </c>
      <c r="AF823" t="s">
        <v>74</v>
      </c>
      <c r="AG823">
        <v>100</v>
      </c>
      <c r="AH823">
        <v>11</v>
      </c>
      <c r="AI823">
        <v>11</v>
      </c>
      <c r="AJ823">
        <v>1</v>
      </c>
      <c r="AK823">
        <v>43</v>
      </c>
      <c r="AL823" t="s">
        <v>284</v>
      </c>
      <c r="AM823" t="s">
        <v>285</v>
      </c>
      <c r="AN823" t="s">
        <v>286</v>
      </c>
      <c r="AO823" t="s">
        <v>7287</v>
      </c>
      <c r="AP823" t="s">
        <v>7288</v>
      </c>
      <c r="AQ823" t="s">
        <v>74</v>
      </c>
      <c r="AR823" t="s">
        <v>7289</v>
      </c>
      <c r="AS823" t="s">
        <v>7290</v>
      </c>
      <c r="AT823" t="s">
        <v>16093</v>
      </c>
      <c r="AU823">
        <v>2019</v>
      </c>
      <c r="AV823">
        <v>215</v>
      </c>
      <c r="AW823" t="s">
        <v>74</v>
      </c>
      <c r="AX823" t="s">
        <v>74</v>
      </c>
      <c r="AY823" t="s">
        <v>74</v>
      </c>
      <c r="AZ823" t="s">
        <v>74</v>
      </c>
      <c r="BA823" t="s">
        <v>74</v>
      </c>
      <c r="BB823" t="s">
        <v>74</v>
      </c>
      <c r="BC823" t="s">
        <v>74</v>
      </c>
      <c r="BD823">
        <v>103669</v>
      </c>
      <c r="BE823" t="s">
        <v>16145</v>
      </c>
      <c r="BF823" t="str">
        <f>HYPERLINK("http://dx.doi.org/10.1016/j.marchem.2019.103669","http://dx.doi.org/10.1016/j.marchem.2019.103669")</f>
        <v>http://dx.doi.org/10.1016/j.marchem.2019.103669</v>
      </c>
      <c r="BG823" t="s">
        <v>74</v>
      </c>
      <c r="BH823" t="s">
        <v>74</v>
      </c>
      <c r="BI823">
        <v>11</v>
      </c>
      <c r="BJ823" t="s">
        <v>7293</v>
      </c>
      <c r="BK823" t="s">
        <v>294</v>
      </c>
      <c r="BL823" t="s">
        <v>7294</v>
      </c>
      <c r="BM823" t="s">
        <v>16130</v>
      </c>
      <c r="BN823" t="s">
        <v>74</v>
      </c>
      <c r="BO823" t="s">
        <v>1482</v>
      </c>
      <c r="BP823" t="s">
        <v>74</v>
      </c>
      <c r="BQ823" t="s">
        <v>74</v>
      </c>
      <c r="BR823" t="s">
        <v>108</v>
      </c>
      <c r="BS823" t="s">
        <v>16146</v>
      </c>
      <c r="BT823" t="str">
        <f>HYPERLINK("https%3A%2F%2Fwww.webofscience.com%2Fwos%2Fwoscc%2Ffull-record%2FWOS:000484876200004","View Full Record in Web of Science")</f>
        <v>View Full Record in Web of Science</v>
      </c>
    </row>
    <row r="824" spans="1:72" x14ac:dyDescent="0.15">
      <c r="A824" t="s">
        <v>133</v>
      </c>
      <c r="B824" t="s">
        <v>16147</v>
      </c>
      <c r="C824" t="s">
        <v>74</v>
      </c>
      <c r="D824" t="s">
        <v>74</v>
      </c>
      <c r="E824" t="s">
        <v>74</v>
      </c>
      <c r="F824" t="s">
        <v>16148</v>
      </c>
      <c r="G824" t="s">
        <v>74</v>
      </c>
      <c r="H824" t="s">
        <v>74</v>
      </c>
      <c r="I824" t="s">
        <v>16149</v>
      </c>
      <c r="J824" t="s">
        <v>16150</v>
      </c>
      <c r="K824" t="s">
        <v>74</v>
      </c>
      <c r="L824" t="s">
        <v>74</v>
      </c>
      <c r="M824" t="s">
        <v>80</v>
      </c>
      <c r="N824" t="s">
        <v>3074</v>
      </c>
      <c r="O824" t="s">
        <v>74</v>
      </c>
      <c r="P824" t="s">
        <v>74</v>
      </c>
      <c r="Q824" t="s">
        <v>74</v>
      </c>
      <c r="R824" t="s">
        <v>74</v>
      </c>
      <c r="S824" t="s">
        <v>74</v>
      </c>
      <c r="T824" t="s">
        <v>16151</v>
      </c>
      <c r="U824" t="s">
        <v>16152</v>
      </c>
      <c r="V824" t="s">
        <v>16153</v>
      </c>
      <c r="W824" t="s">
        <v>16154</v>
      </c>
      <c r="X824" t="s">
        <v>16155</v>
      </c>
      <c r="Y824" t="s">
        <v>16156</v>
      </c>
      <c r="Z824" t="s">
        <v>16157</v>
      </c>
      <c r="AA824" t="s">
        <v>16158</v>
      </c>
      <c r="AB824" t="s">
        <v>16159</v>
      </c>
      <c r="AC824" t="s">
        <v>16160</v>
      </c>
      <c r="AD824" t="s">
        <v>16161</v>
      </c>
      <c r="AE824" t="s">
        <v>16160</v>
      </c>
      <c r="AF824" t="s">
        <v>74</v>
      </c>
      <c r="AG824">
        <v>40</v>
      </c>
      <c r="AH824">
        <v>46</v>
      </c>
      <c r="AI824">
        <v>48</v>
      </c>
      <c r="AJ824">
        <v>2</v>
      </c>
      <c r="AK824">
        <v>28</v>
      </c>
      <c r="AL824" t="s">
        <v>429</v>
      </c>
      <c r="AM824" t="s">
        <v>430</v>
      </c>
      <c r="AN824" t="s">
        <v>431</v>
      </c>
      <c r="AO824" t="s">
        <v>16162</v>
      </c>
      <c r="AP824" t="s">
        <v>74</v>
      </c>
      <c r="AQ824" t="s">
        <v>74</v>
      </c>
      <c r="AR824" t="s">
        <v>16163</v>
      </c>
      <c r="AS824" t="s">
        <v>16164</v>
      </c>
      <c r="AT824" t="s">
        <v>291</v>
      </c>
      <c r="AU824">
        <v>2020</v>
      </c>
      <c r="AV824">
        <v>13</v>
      </c>
      <c r="AW824">
        <v>1</v>
      </c>
      <c r="AX824" t="s">
        <v>74</v>
      </c>
      <c r="AY824" t="s">
        <v>74</v>
      </c>
      <c r="AZ824" t="s">
        <v>74</v>
      </c>
      <c r="BA824" t="s">
        <v>74</v>
      </c>
      <c r="BB824" t="s">
        <v>74</v>
      </c>
      <c r="BC824" t="s">
        <v>74</v>
      </c>
      <c r="BD824" t="s">
        <v>16165</v>
      </c>
      <c r="BE824" t="s">
        <v>16166</v>
      </c>
      <c r="BF824" t="str">
        <f>HYPERLINK("http://dx.doi.org/10.1111/conl.12676","http://dx.doi.org/10.1111/conl.12676")</f>
        <v>http://dx.doi.org/10.1111/conl.12676</v>
      </c>
      <c r="BG824" t="s">
        <v>74</v>
      </c>
      <c r="BH824" t="s">
        <v>16167</v>
      </c>
      <c r="BI824">
        <v>10</v>
      </c>
      <c r="BJ824" t="s">
        <v>322</v>
      </c>
      <c r="BK824" t="s">
        <v>294</v>
      </c>
      <c r="BL824" t="s">
        <v>323</v>
      </c>
      <c r="BM824" t="s">
        <v>16168</v>
      </c>
      <c r="BN824" t="s">
        <v>74</v>
      </c>
      <c r="BO824" t="s">
        <v>693</v>
      </c>
      <c r="BP824" t="s">
        <v>74</v>
      </c>
      <c r="BQ824" t="s">
        <v>74</v>
      </c>
      <c r="BR824" t="s">
        <v>108</v>
      </c>
      <c r="BS824" t="s">
        <v>16169</v>
      </c>
      <c r="BT824" t="str">
        <f>HYPERLINK("https%3A%2F%2Fwww.webofscience.com%2Fwos%2Fwoscc%2Ffull-record%2FWOS:000487364900001","View Full Record in Web of Science")</f>
        <v>View Full Record in Web of Science</v>
      </c>
    </row>
    <row r="825" spans="1:72" x14ac:dyDescent="0.15">
      <c r="A825" t="s">
        <v>133</v>
      </c>
      <c r="B825" t="s">
        <v>16170</v>
      </c>
      <c r="C825" t="s">
        <v>74</v>
      </c>
      <c r="D825" t="s">
        <v>74</v>
      </c>
      <c r="E825" t="s">
        <v>74</v>
      </c>
      <c r="F825" t="s">
        <v>16171</v>
      </c>
      <c r="G825" t="s">
        <v>74</v>
      </c>
      <c r="H825" t="s">
        <v>74</v>
      </c>
      <c r="I825" t="s">
        <v>16172</v>
      </c>
      <c r="J825" t="s">
        <v>16173</v>
      </c>
      <c r="K825" t="s">
        <v>74</v>
      </c>
      <c r="L825" t="s">
        <v>74</v>
      </c>
      <c r="M825" t="s">
        <v>80</v>
      </c>
      <c r="N825" t="s">
        <v>138</v>
      </c>
      <c r="O825" t="s">
        <v>74</v>
      </c>
      <c r="P825" t="s">
        <v>74</v>
      </c>
      <c r="Q825" t="s">
        <v>74</v>
      </c>
      <c r="R825" t="s">
        <v>74</v>
      </c>
      <c r="S825" t="s">
        <v>74</v>
      </c>
      <c r="T825" t="s">
        <v>16174</v>
      </c>
      <c r="U825" t="s">
        <v>16175</v>
      </c>
      <c r="V825" t="s">
        <v>16176</v>
      </c>
      <c r="W825" t="s">
        <v>16177</v>
      </c>
      <c r="X825" t="s">
        <v>16178</v>
      </c>
      <c r="Y825" t="s">
        <v>16179</v>
      </c>
      <c r="Z825" t="s">
        <v>16180</v>
      </c>
      <c r="AA825" t="s">
        <v>16181</v>
      </c>
      <c r="AB825" t="s">
        <v>16182</v>
      </c>
      <c r="AC825" t="s">
        <v>16183</v>
      </c>
      <c r="AD825" t="s">
        <v>16184</v>
      </c>
      <c r="AE825" t="s">
        <v>16185</v>
      </c>
      <c r="AF825" t="s">
        <v>74</v>
      </c>
      <c r="AG825">
        <v>90</v>
      </c>
      <c r="AH825">
        <v>10</v>
      </c>
      <c r="AI825">
        <v>11</v>
      </c>
      <c r="AJ825">
        <v>0</v>
      </c>
      <c r="AK825">
        <v>22</v>
      </c>
      <c r="AL825" t="s">
        <v>429</v>
      </c>
      <c r="AM825" t="s">
        <v>430</v>
      </c>
      <c r="AN825" t="s">
        <v>431</v>
      </c>
      <c r="AO825" t="s">
        <v>16186</v>
      </c>
      <c r="AP825" t="s">
        <v>16187</v>
      </c>
      <c r="AQ825" t="s">
        <v>74</v>
      </c>
      <c r="AR825" t="s">
        <v>16173</v>
      </c>
      <c r="AS825" t="s">
        <v>16188</v>
      </c>
      <c r="AT825" t="s">
        <v>3457</v>
      </c>
      <c r="AU825">
        <v>2019</v>
      </c>
      <c r="AV825">
        <v>42</v>
      </c>
      <c r="AW825">
        <v>11</v>
      </c>
      <c r="AX825" t="s">
        <v>74</v>
      </c>
      <c r="AY825" t="s">
        <v>74</v>
      </c>
      <c r="AZ825" t="s">
        <v>74</v>
      </c>
      <c r="BA825" t="s">
        <v>74</v>
      </c>
      <c r="BB825">
        <v>1948</v>
      </c>
      <c r="BC825">
        <v>1959</v>
      </c>
      <c r="BD825" t="s">
        <v>74</v>
      </c>
      <c r="BE825" t="s">
        <v>16189</v>
      </c>
      <c r="BF825" t="str">
        <f>HYPERLINK("http://dx.doi.org/10.1111/ecog.04560","http://dx.doi.org/10.1111/ecog.04560")</f>
        <v>http://dx.doi.org/10.1111/ecog.04560</v>
      </c>
      <c r="BG825" t="s">
        <v>74</v>
      </c>
      <c r="BH825" t="s">
        <v>16167</v>
      </c>
      <c r="BI825">
        <v>12</v>
      </c>
      <c r="BJ825" t="s">
        <v>3524</v>
      </c>
      <c r="BK825" t="s">
        <v>294</v>
      </c>
      <c r="BL825" t="s">
        <v>295</v>
      </c>
      <c r="BM825" t="s">
        <v>16190</v>
      </c>
      <c r="BN825" t="s">
        <v>74</v>
      </c>
      <c r="BO825" t="s">
        <v>559</v>
      </c>
      <c r="BP825" t="s">
        <v>74</v>
      </c>
      <c r="BQ825" t="s">
        <v>74</v>
      </c>
      <c r="BR825" t="s">
        <v>108</v>
      </c>
      <c r="BS825" t="s">
        <v>16191</v>
      </c>
      <c r="BT825" t="str">
        <f>HYPERLINK("https%3A%2F%2Fwww.webofscience.com%2Fwos%2Fwoscc%2Ffull-record%2FWOS:000487484700001","View Full Record in Web of Science")</f>
        <v>View Full Record in Web of Science</v>
      </c>
    </row>
    <row r="826" spans="1:72" x14ac:dyDescent="0.15">
      <c r="A826" t="s">
        <v>133</v>
      </c>
      <c r="B826" t="s">
        <v>16192</v>
      </c>
      <c r="C826" t="s">
        <v>74</v>
      </c>
      <c r="D826" t="s">
        <v>74</v>
      </c>
      <c r="E826" t="s">
        <v>74</v>
      </c>
      <c r="F826" t="s">
        <v>16193</v>
      </c>
      <c r="G826" t="s">
        <v>74</v>
      </c>
      <c r="H826" t="s">
        <v>74</v>
      </c>
      <c r="I826" t="s">
        <v>16194</v>
      </c>
      <c r="J826" t="s">
        <v>16195</v>
      </c>
      <c r="K826" t="s">
        <v>74</v>
      </c>
      <c r="L826" t="s">
        <v>74</v>
      </c>
      <c r="M826" t="s">
        <v>80</v>
      </c>
      <c r="N826" t="s">
        <v>138</v>
      </c>
      <c r="O826" t="s">
        <v>74</v>
      </c>
      <c r="P826" t="s">
        <v>74</v>
      </c>
      <c r="Q826" t="s">
        <v>74</v>
      </c>
      <c r="R826" t="s">
        <v>74</v>
      </c>
      <c r="S826" t="s">
        <v>74</v>
      </c>
      <c r="T826" t="s">
        <v>74</v>
      </c>
      <c r="U826" t="s">
        <v>16196</v>
      </c>
      <c r="V826" t="s">
        <v>16197</v>
      </c>
      <c r="W826" t="s">
        <v>16198</v>
      </c>
      <c r="X826" t="s">
        <v>16199</v>
      </c>
      <c r="Y826" t="s">
        <v>16200</v>
      </c>
      <c r="Z826" t="s">
        <v>16201</v>
      </c>
      <c r="AA826" t="s">
        <v>16202</v>
      </c>
      <c r="AB826" t="s">
        <v>16203</v>
      </c>
      <c r="AC826" t="s">
        <v>16204</v>
      </c>
      <c r="AD826" t="s">
        <v>16205</v>
      </c>
      <c r="AE826" t="s">
        <v>16206</v>
      </c>
      <c r="AF826" t="s">
        <v>74</v>
      </c>
      <c r="AG826">
        <v>189</v>
      </c>
      <c r="AH826">
        <v>46</v>
      </c>
      <c r="AI826">
        <v>49</v>
      </c>
      <c r="AJ826">
        <v>4</v>
      </c>
      <c r="AK826">
        <v>18</v>
      </c>
      <c r="AL826" t="s">
        <v>942</v>
      </c>
      <c r="AM826" t="s">
        <v>606</v>
      </c>
      <c r="AN826" t="s">
        <v>943</v>
      </c>
      <c r="AO826" t="s">
        <v>16207</v>
      </c>
      <c r="AP826" t="s">
        <v>16208</v>
      </c>
      <c r="AQ826" t="s">
        <v>74</v>
      </c>
      <c r="AR826" t="s">
        <v>16195</v>
      </c>
      <c r="AS826" t="s">
        <v>16209</v>
      </c>
      <c r="AT826" t="s">
        <v>16093</v>
      </c>
      <c r="AU826">
        <v>2019</v>
      </c>
      <c r="AV826">
        <v>1</v>
      </c>
      <c r="AW826">
        <v>1</v>
      </c>
      <c r="AX826" t="s">
        <v>74</v>
      </c>
      <c r="AY826" t="s">
        <v>74</v>
      </c>
      <c r="AZ826" t="s">
        <v>74</v>
      </c>
      <c r="BA826" t="s">
        <v>74</v>
      </c>
      <c r="BB826">
        <v>95</v>
      </c>
      <c r="BC826">
        <v>113</v>
      </c>
      <c r="BD826" t="s">
        <v>74</v>
      </c>
      <c r="BE826" t="s">
        <v>16210</v>
      </c>
      <c r="BF826" t="str">
        <f>HYPERLINK("http://dx.doi.org/10.1016/j.oneear.2019.08.014","http://dx.doi.org/10.1016/j.oneear.2019.08.014")</f>
        <v>http://dx.doi.org/10.1016/j.oneear.2019.08.014</v>
      </c>
      <c r="BG826" t="s">
        <v>74</v>
      </c>
      <c r="BH826" t="s">
        <v>74</v>
      </c>
      <c r="BI826">
        <v>19</v>
      </c>
      <c r="BJ826" t="s">
        <v>16211</v>
      </c>
      <c r="BK826" t="s">
        <v>360</v>
      </c>
      <c r="BL826" t="s">
        <v>16212</v>
      </c>
      <c r="BM826" t="s">
        <v>16213</v>
      </c>
      <c r="BN826" t="s">
        <v>74</v>
      </c>
      <c r="BO826" t="s">
        <v>9511</v>
      </c>
      <c r="BP826" t="s">
        <v>74</v>
      </c>
      <c r="BQ826" t="s">
        <v>74</v>
      </c>
      <c r="BR826" t="s">
        <v>108</v>
      </c>
      <c r="BS826" t="s">
        <v>16214</v>
      </c>
      <c r="BT826" t="str">
        <f>HYPERLINK("https%3A%2F%2Fwww.webofscience.com%2Fwos%2Fwoscc%2Ffull-record%2FWOS:000644704800021","View Full Record in Web of Science")</f>
        <v>View Full Record in Web of Science</v>
      </c>
    </row>
    <row r="827" spans="1:72" x14ac:dyDescent="0.15">
      <c r="A827" t="s">
        <v>133</v>
      </c>
      <c r="B827" t="s">
        <v>16215</v>
      </c>
      <c r="C827" t="s">
        <v>74</v>
      </c>
      <c r="D827" t="s">
        <v>74</v>
      </c>
      <c r="E827" t="s">
        <v>74</v>
      </c>
      <c r="F827" t="s">
        <v>16216</v>
      </c>
      <c r="G827" t="s">
        <v>74</v>
      </c>
      <c r="H827" t="s">
        <v>74</v>
      </c>
      <c r="I827" t="s">
        <v>16217</v>
      </c>
      <c r="J827" t="s">
        <v>16218</v>
      </c>
      <c r="K827" t="s">
        <v>74</v>
      </c>
      <c r="L827" t="s">
        <v>74</v>
      </c>
      <c r="M827" t="s">
        <v>80</v>
      </c>
      <c r="N827" t="s">
        <v>138</v>
      </c>
      <c r="O827" t="s">
        <v>74</v>
      </c>
      <c r="P827" t="s">
        <v>74</v>
      </c>
      <c r="Q827" t="s">
        <v>74</v>
      </c>
      <c r="R827" t="s">
        <v>74</v>
      </c>
      <c r="S827" t="s">
        <v>74</v>
      </c>
      <c r="T827" t="s">
        <v>16219</v>
      </c>
      <c r="U827" t="s">
        <v>16220</v>
      </c>
      <c r="V827" t="s">
        <v>16221</v>
      </c>
      <c r="W827" t="s">
        <v>16222</v>
      </c>
      <c r="X827" t="s">
        <v>16223</v>
      </c>
      <c r="Y827" t="s">
        <v>16224</v>
      </c>
      <c r="Z827" t="s">
        <v>16225</v>
      </c>
      <c r="AA827" t="s">
        <v>74</v>
      </c>
      <c r="AB827" t="s">
        <v>16226</v>
      </c>
      <c r="AC827" t="s">
        <v>16227</v>
      </c>
      <c r="AD827" t="s">
        <v>7088</v>
      </c>
      <c r="AE827" t="s">
        <v>16228</v>
      </c>
      <c r="AF827" t="s">
        <v>74</v>
      </c>
      <c r="AG827">
        <v>23</v>
      </c>
      <c r="AH827">
        <v>5</v>
      </c>
      <c r="AI827">
        <v>6</v>
      </c>
      <c r="AJ827">
        <v>0</v>
      </c>
      <c r="AK827">
        <v>9</v>
      </c>
      <c r="AL827" t="s">
        <v>16229</v>
      </c>
      <c r="AM827" t="s">
        <v>1730</v>
      </c>
      <c r="AN827" t="s">
        <v>16230</v>
      </c>
      <c r="AO827" t="s">
        <v>16231</v>
      </c>
      <c r="AP827" t="s">
        <v>16232</v>
      </c>
      <c r="AQ827" t="s">
        <v>74</v>
      </c>
      <c r="AR827" t="s">
        <v>16218</v>
      </c>
      <c r="AS827" t="s">
        <v>16233</v>
      </c>
      <c r="AT827" t="s">
        <v>291</v>
      </c>
      <c r="AU827">
        <v>2020</v>
      </c>
      <c r="AV827">
        <v>30</v>
      </c>
      <c r="AW827">
        <v>1</v>
      </c>
      <c r="AX827" t="s">
        <v>74</v>
      </c>
      <c r="AY827" t="s">
        <v>74</v>
      </c>
      <c r="AZ827" t="s">
        <v>74</v>
      </c>
      <c r="BA827" t="s">
        <v>74</v>
      </c>
      <c r="BB827">
        <v>190</v>
      </c>
      <c r="BC827">
        <v>196</v>
      </c>
      <c r="BD827">
        <v>959683619875814</v>
      </c>
      <c r="BE827" t="s">
        <v>16234</v>
      </c>
      <c r="BF827" t="str">
        <f>HYPERLINK("http://dx.doi.org/10.1177/0959683619875814","http://dx.doi.org/10.1177/0959683619875814")</f>
        <v>http://dx.doi.org/10.1177/0959683619875814</v>
      </c>
      <c r="BG827" t="s">
        <v>74</v>
      </c>
      <c r="BH827" t="s">
        <v>16167</v>
      </c>
      <c r="BI827">
        <v>7</v>
      </c>
      <c r="BJ827" t="s">
        <v>462</v>
      </c>
      <c r="BK827" t="s">
        <v>294</v>
      </c>
      <c r="BL827" t="s">
        <v>463</v>
      </c>
      <c r="BM827" t="s">
        <v>16235</v>
      </c>
      <c r="BN827" t="s">
        <v>74</v>
      </c>
      <c r="BO827" t="s">
        <v>588</v>
      </c>
      <c r="BP827" t="s">
        <v>74</v>
      </c>
      <c r="BQ827" t="s">
        <v>74</v>
      </c>
      <c r="BR827" t="s">
        <v>108</v>
      </c>
      <c r="BS827" t="s">
        <v>16236</v>
      </c>
      <c r="BT827" t="str">
        <f>HYPERLINK("https%3A%2F%2Fwww.webofscience.com%2Fwos%2Fwoscc%2Ffull-record%2FWOS:000490100800001","View Full Record in Web of Science")</f>
        <v>View Full Record in Web of Science</v>
      </c>
    </row>
    <row r="828" spans="1:72" x14ac:dyDescent="0.15">
      <c r="A828" t="s">
        <v>133</v>
      </c>
      <c r="B828" t="s">
        <v>16237</v>
      </c>
      <c r="C828" t="s">
        <v>74</v>
      </c>
      <c r="D828" t="s">
        <v>74</v>
      </c>
      <c r="E828" t="s">
        <v>74</v>
      </c>
      <c r="F828" t="s">
        <v>16238</v>
      </c>
      <c r="G828" t="s">
        <v>74</v>
      </c>
      <c r="H828" t="s">
        <v>74</v>
      </c>
      <c r="I828" t="s">
        <v>16239</v>
      </c>
      <c r="J828" t="s">
        <v>16240</v>
      </c>
      <c r="K828" t="s">
        <v>74</v>
      </c>
      <c r="L828" t="s">
        <v>74</v>
      </c>
      <c r="M828" t="s">
        <v>80</v>
      </c>
      <c r="N828" t="s">
        <v>138</v>
      </c>
      <c r="O828" t="s">
        <v>74</v>
      </c>
      <c r="P828" t="s">
        <v>74</v>
      </c>
      <c r="Q828" t="s">
        <v>74</v>
      </c>
      <c r="R828" t="s">
        <v>74</v>
      </c>
      <c r="S828" t="s">
        <v>74</v>
      </c>
      <c r="T828" t="s">
        <v>16241</v>
      </c>
      <c r="U828" t="s">
        <v>16242</v>
      </c>
      <c r="V828" t="s">
        <v>16243</v>
      </c>
      <c r="W828" t="s">
        <v>16244</v>
      </c>
      <c r="X828" t="s">
        <v>74</v>
      </c>
      <c r="Y828" t="s">
        <v>16245</v>
      </c>
      <c r="Z828" t="s">
        <v>16246</v>
      </c>
      <c r="AA828" t="s">
        <v>16247</v>
      </c>
      <c r="AB828" t="s">
        <v>16248</v>
      </c>
      <c r="AC828" t="s">
        <v>16249</v>
      </c>
      <c r="AD828" t="s">
        <v>16250</v>
      </c>
      <c r="AE828" t="s">
        <v>16251</v>
      </c>
      <c r="AF828" t="s">
        <v>74</v>
      </c>
      <c r="AG828">
        <v>97</v>
      </c>
      <c r="AH828">
        <v>0</v>
      </c>
      <c r="AI828">
        <v>0</v>
      </c>
      <c r="AJ828">
        <v>0</v>
      </c>
      <c r="AK828">
        <v>13</v>
      </c>
      <c r="AL828" t="s">
        <v>7611</v>
      </c>
      <c r="AM828" t="s">
        <v>1265</v>
      </c>
      <c r="AN828" t="s">
        <v>7612</v>
      </c>
      <c r="AO828" t="s">
        <v>16252</v>
      </c>
      <c r="AP828" t="s">
        <v>74</v>
      </c>
      <c r="AQ828" t="s">
        <v>74</v>
      </c>
      <c r="AR828" t="s">
        <v>16253</v>
      </c>
      <c r="AS828" t="s">
        <v>16254</v>
      </c>
      <c r="AT828" t="s">
        <v>16255</v>
      </c>
      <c r="AU828">
        <v>2019</v>
      </c>
      <c r="AV828">
        <v>3</v>
      </c>
      <c r="AW828">
        <v>9</v>
      </c>
      <c r="AX828" t="s">
        <v>74</v>
      </c>
      <c r="AY828" t="s">
        <v>74</v>
      </c>
      <c r="AZ828" t="s">
        <v>555</v>
      </c>
      <c r="BA828" t="s">
        <v>74</v>
      </c>
      <c r="BB828">
        <v>1955</v>
      </c>
      <c r="BC828">
        <v>1965</v>
      </c>
      <c r="BD828" t="s">
        <v>74</v>
      </c>
      <c r="BE828" t="s">
        <v>16256</v>
      </c>
      <c r="BF828" t="str">
        <f>HYPERLINK("http://dx.doi.org/10.1021/acsearthspacechem.9b00131","http://dx.doi.org/10.1021/acsearthspacechem.9b00131")</f>
        <v>http://dx.doi.org/10.1021/acsearthspacechem.9b00131</v>
      </c>
      <c r="BG828" t="s">
        <v>74</v>
      </c>
      <c r="BH828" t="s">
        <v>74</v>
      </c>
      <c r="BI828">
        <v>21</v>
      </c>
      <c r="BJ828" t="s">
        <v>16257</v>
      </c>
      <c r="BK828" t="s">
        <v>294</v>
      </c>
      <c r="BL828" t="s">
        <v>16258</v>
      </c>
      <c r="BM828" t="s">
        <v>16259</v>
      </c>
      <c r="BN828" t="s">
        <v>74</v>
      </c>
      <c r="BO828" t="s">
        <v>74</v>
      </c>
      <c r="BP828" t="s">
        <v>74</v>
      </c>
      <c r="BQ828" t="s">
        <v>74</v>
      </c>
      <c r="BR828" t="s">
        <v>108</v>
      </c>
      <c r="BS828" t="s">
        <v>16260</v>
      </c>
      <c r="BT828" t="str">
        <f>HYPERLINK("https%3A%2F%2Fwww.webofscience.com%2Fwos%2Fwoscc%2Ffull-record%2FWOS:000487179500021","View Full Record in Web of Science")</f>
        <v>View Full Record in Web of Science</v>
      </c>
    </row>
    <row r="829" spans="1:72" x14ac:dyDescent="0.15">
      <c r="A829" t="s">
        <v>133</v>
      </c>
      <c r="B829" t="s">
        <v>16261</v>
      </c>
      <c r="C829" t="s">
        <v>74</v>
      </c>
      <c r="D829" t="s">
        <v>74</v>
      </c>
      <c r="E829" t="s">
        <v>74</v>
      </c>
      <c r="F829" t="s">
        <v>16262</v>
      </c>
      <c r="G829" t="s">
        <v>74</v>
      </c>
      <c r="H829" t="s">
        <v>74</v>
      </c>
      <c r="I829" t="s">
        <v>16263</v>
      </c>
      <c r="J829" t="s">
        <v>16264</v>
      </c>
      <c r="K829" t="s">
        <v>74</v>
      </c>
      <c r="L829" t="s">
        <v>74</v>
      </c>
      <c r="M829" t="s">
        <v>80</v>
      </c>
      <c r="N829" t="s">
        <v>138</v>
      </c>
      <c r="O829" t="s">
        <v>74</v>
      </c>
      <c r="P829" t="s">
        <v>74</v>
      </c>
      <c r="Q829" t="s">
        <v>74</v>
      </c>
      <c r="R829" t="s">
        <v>74</v>
      </c>
      <c r="S829" t="s">
        <v>74</v>
      </c>
      <c r="T829" t="s">
        <v>74</v>
      </c>
      <c r="U829" t="s">
        <v>16265</v>
      </c>
      <c r="V829" t="s">
        <v>16266</v>
      </c>
      <c r="W829" t="s">
        <v>16267</v>
      </c>
      <c r="X829" t="s">
        <v>12916</v>
      </c>
      <c r="Y829" t="s">
        <v>16268</v>
      </c>
      <c r="Z829" t="s">
        <v>16269</v>
      </c>
      <c r="AA829" t="s">
        <v>74</v>
      </c>
      <c r="AB829" t="s">
        <v>16270</v>
      </c>
      <c r="AC829" t="s">
        <v>74</v>
      </c>
      <c r="AD829" t="s">
        <v>74</v>
      </c>
      <c r="AE829" t="s">
        <v>74</v>
      </c>
      <c r="AF829" t="s">
        <v>74</v>
      </c>
      <c r="AG829">
        <v>72</v>
      </c>
      <c r="AH829">
        <v>5</v>
      </c>
      <c r="AI829">
        <v>5</v>
      </c>
      <c r="AJ829">
        <v>4</v>
      </c>
      <c r="AK829">
        <v>28</v>
      </c>
      <c r="AL829" t="s">
        <v>1758</v>
      </c>
      <c r="AM829" t="s">
        <v>1759</v>
      </c>
      <c r="AN829" t="s">
        <v>1760</v>
      </c>
      <c r="AO829" t="s">
        <v>16271</v>
      </c>
      <c r="AP829" t="s">
        <v>16272</v>
      </c>
      <c r="AQ829" t="s">
        <v>74</v>
      </c>
      <c r="AR829" t="s">
        <v>16273</v>
      </c>
      <c r="AS829" t="s">
        <v>16274</v>
      </c>
      <c r="AT829" t="s">
        <v>16275</v>
      </c>
      <c r="AU829">
        <v>2020</v>
      </c>
      <c r="AV829">
        <v>41</v>
      </c>
      <c r="AW829">
        <v>4</v>
      </c>
      <c r="AX829" t="s">
        <v>74</v>
      </c>
      <c r="AY829" t="s">
        <v>74</v>
      </c>
      <c r="AZ829" t="s">
        <v>74</v>
      </c>
      <c r="BA829" t="s">
        <v>74</v>
      </c>
      <c r="BB829">
        <v>1389</v>
      </c>
      <c r="BC829">
        <v>1414</v>
      </c>
      <c r="BD829" t="s">
        <v>74</v>
      </c>
      <c r="BE829" t="s">
        <v>16276</v>
      </c>
      <c r="BF829" t="str">
        <f>HYPERLINK("http://dx.doi.org/10.1080/01431161.2019.1667550","http://dx.doi.org/10.1080/01431161.2019.1667550")</f>
        <v>http://dx.doi.org/10.1080/01431161.2019.1667550</v>
      </c>
      <c r="BG829" t="s">
        <v>74</v>
      </c>
      <c r="BH829" t="s">
        <v>16167</v>
      </c>
      <c r="BI829">
        <v>26</v>
      </c>
      <c r="BJ829" t="s">
        <v>9041</v>
      </c>
      <c r="BK829" t="s">
        <v>294</v>
      </c>
      <c r="BL829" t="s">
        <v>9041</v>
      </c>
      <c r="BM829" t="s">
        <v>16277</v>
      </c>
      <c r="BN829" t="s">
        <v>74</v>
      </c>
      <c r="BO829" t="s">
        <v>74</v>
      </c>
      <c r="BP829" t="s">
        <v>74</v>
      </c>
      <c r="BQ829" t="s">
        <v>74</v>
      </c>
      <c r="BR829" t="s">
        <v>108</v>
      </c>
      <c r="BS829" t="s">
        <v>16278</v>
      </c>
      <c r="BT829" t="str">
        <f>HYPERLINK("https%3A%2F%2Fwww.webofscience.com%2Fwos%2Fwoscc%2Ffull-record%2FWOS:000486974500001","View Full Record in Web of Science")</f>
        <v>View Full Record in Web of Science</v>
      </c>
    </row>
    <row r="830" spans="1:72" x14ac:dyDescent="0.15">
      <c r="A830" t="s">
        <v>133</v>
      </c>
      <c r="B830" t="s">
        <v>16279</v>
      </c>
      <c r="C830" t="s">
        <v>74</v>
      </c>
      <c r="D830" t="s">
        <v>74</v>
      </c>
      <c r="E830" t="s">
        <v>74</v>
      </c>
      <c r="F830" t="s">
        <v>16280</v>
      </c>
      <c r="G830" t="s">
        <v>74</v>
      </c>
      <c r="H830" t="s">
        <v>74</v>
      </c>
      <c r="I830" t="s">
        <v>16281</v>
      </c>
      <c r="J830" t="s">
        <v>2623</v>
      </c>
      <c r="K830" t="s">
        <v>74</v>
      </c>
      <c r="L830" t="s">
        <v>74</v>
      </c>
      <c r="M830" t="s">
        <v>80</v>
      </c>
      <c r="N830" t="s">
        <v>138</v>
      </c>
      <c r="O830" t="s">
        <v>74</v>
      </c>
      <c r="P830" t="s">
        <v>74</v>
      </c>
      <c r="Q830" t="s">
        <v>74</v>
      </c>
      <c r="R830" t="s">
        <v>74</v>
      </c>
      <c r="S830" t="s">
        <v>74</v>
      </c>
      <c r="T830" t="s">
        <v>74</v>
      </c>
      <c r="U830" t="s">
        <v>16282</v>
      </c>
      <c r="V830" t="s">
        <v>16283</v>
      </c>
      <c r="W830" t="s">
        <v>16284</v>
      </c>
      <c r="X830" t="s">
        <v>16285</v>
      </c>
      <c r="Y830" t="s">
        <v>16286</v>
      </c>
      <c r="Z830" t="s">
        <v>16287</v>
      </c>
      <c r="AA830" t="s">
        <v>16288</v>
      </c>
      <c r="AB830" t="s">
        <v>16289</v>
      </c>
      <c r="AC830" t="s">
        <v>16290</v>
      </c>
      <c r="AD830" t="s">
        <v>16291</v>
      </c>
      <c r="AE830" t="s">
        <v>16292</v>
      </c>
      <c r="AF830" t="s">
        <v>74</v>
      </c>
      <c r="AG830">
        <v>63</v>
      </c>
      <c r="AH830">
        <v>39</v>
      </c>
      <c r="AI830">
        <v>41</v>
      </c>
      <c r="AJ830">
        <v>0</v>
      </c>
      <c r="AK830">
        <v>12</v>
      </c>
      <c r="AL830" t="s">
        <v>2038</v>
      </c>
      <c r="AM830" t="s">
        <v>1730</v>
      </c>
      <c r="AN830" t="s">
        <v>2039</v>
      </c>
      <c r="AO830" t="s">
        <v>2636</v>
      </c>
      <c r="AP830" t="s">
        <v>74</v>
      </c>
      <c r="AQ830" t="s">
        <v>74</v>
      </c>
      <c r="AR830" t="s">
        <v>2637</v>
      </c>
      <c r="AS830" t="s">
        <v>2638</v>
      </c>
      <c r="AT830" t="s">
        <v>16255</v>
      </c>
      <c r="AU830">
        <v>2019</v>
      </c>
      <c r="AV830">
        <v>9</v>
      </c>
      <c r="AW830" t="s">
        <v>74</v>
      </c>
      <c r="AX830" t="s">
        <v>74</v>
      </c>
      <c r="AY830" t="s">
        <v>74</v>
      </c>
      <c r="AZ830" t="s">
        <v>74</v>
      </c>
      <c r="BA830" t="s">
        <v>74</v>
      </c>
      <c r="BB830" t="s">
        <v>74</v>
      </c>
      <c r="BC830" t="s">
        <v>74</v>
      </c>
      <c r="BD830">
        <v>13580</v>
      </c>
      <c r="BE830" t="s">
        <v>16293</v>
      </c>
      <c r="BF830" t="str">
        <f>HYPERLINK("http://dx.doi.org/10.1038/s41598-019-50107-1","http://dx.doi.org/10.1038/s41598-019-50107-1")</f>
        <v>http://dx.doi.org/10.1038/s41598-019-50107-1</v>
      </c>
      <c r="BG830" t="s">
        <v>74</v>
      </c>
      <c r="BH830" t="s">
        <v>74</v>
      </c>
      <c r="BI830">
        <v>12</v>
      </c>
      <c r="BJ830" t="s">
        <v>1245</v>
      </c>
      <c r="BK830" t="s">
        <v>294</v>
      </c>
      <c r="BL830" t="s">
        <v>1246</v>
      </c>
      <c r="BM830" t="s">
        <v>16294</v>
      </c>
      <c r="BN830">
        <v>31537907</v>
      </c>
      <c r="BO830" t="s">
        <v>2934</v>
      </c>
      <c r="BP830" t="s">
        <v>74</v>
      </c>
      <c r="BQ830" t="s">
        <v>74</v>
      </c>
      <c r="BR830" t="s">
        <v>108</v>
      </c>
      <c r="BS830" t="s">
        <v>16295</v>
      </c>
      <c r="BT830" t="str">
        <f>HYPERLINK("https%3A%2F%2Fwww.webofscience.com%2Fwos%2Fwoscc%2Ffull-record%2FWOS:000486568400015","View Full Record in Web of Science")</f>
        <v>View Full Record in Web of Science</v>
      </c>
    </row>
    <row r="831" spans="1:72" x14ac:dyDescent="0.15">
      <c r="A831" t="s">
        <v>133</v>
      </c>
      <c r="B831" t="s">
        <v>16296</v>
      </c>
      <c r="C831" t="s">
        <v>74</v>
      </c>
      <c r="D831" t="s">
        <v>74</v>
      </c>
      <c r="E831" t="s">
        <v>74</v>
      </c>
      <c r="F831" t="s">
        <v>16297</v>
      </c>
      <c r="G831" t="s">
        <v>74</v>
      </c>
      <c r="H831" t="s">
        <v>74</v>
      </c>
      <c r="I831" t="s">
        <v>16298</v>
      </c>
      <c r="J831" t="s">
        <v>2723</v>
      </c>
      <c r="K831" t="s">
        <v>74</v>
      </c>
      <c r="L831" t="s">
        <v>74</v>
      </c>
      <c r="M831" t="s">
        <v>80</v>
      </c>
      <c r="N831" t="s">
        <v>138</v>
      </c>
      <c r="O831" t="s">
        <v>74</v>
      </c>
      <c r="P831" t="s">
        <v>74</v>
      </c>
      <c r="Q831" t="s">
        <v>74</v>
      </c>
      <c r="R831" t="s">
        <v>74</v>
      </c>
      <c r="S831" t="s">
        <v>74</v>
      </c>
      <c r="T831" t="s">
        <v>16299</v>
      </c>
      <c r="U831" t="s">
        <v>16300</v>
      </c>
      <c r="V831" t="s">
        <v>16301</v>
      </c>
      <c r="W831" t="s">
        <v>16302</v>
      </c>
      <c r="X831" t="s">
        <v>16303</v>
      </c>
      <c r="Y831" t="s">
        <v>16304</v>
      </c>
      <c r="Z831" t="s">
        <v>16305</v>
      </c>
      <c r="AA831" t="s">
        <v>16306</v>
      </c>
      <c r="AB831" t="s">
        <v>16307</v>
      </c>
      <c r="AC831" t="s">
        <v>16308</v>
      </c>
      <c r="AD831" t="s">
        <v>16309</v>
      </c>
      <c r="AE831" t="s">
        <v>16310</v>
      </c>
      <c r="AF831" t="s">
        <v>74</v>
      </c>
      <c r="AG831">
        <v>146</v>
      </c>
      <c r="AH831">
        <v>80</v>
      </c>
      <c r="AI831">
        <v>87</v>
      </c>
      <c r="AJ831">
        <v>30</v>
      </c>
      <c r="AK831">
        <v>469</v>
      </c>
      <c r="AL831" t="s">
        <v>2587</v>
      </c>
      <c r="AM831" t="s">
        <v>2588</v>
      </c>
      <c r="AN831" t="s">
        <v>2589</v>
      </c>
      <c r="AO831" t="s">
        <v>74</v>
      </c>
      <c r="AP831" t="s">
        <v>2734</v>
      </c>
      <c r="AQ831" t="s">
        <v>74</v>
      </c>
      <c r="AR831" t="s">
        <v>2735</v>
      </c>
      <c r="AS831" t="s">
        <v>2736</v>
      </c>
      <c r="AT831" t="s">
        <v>16255</v>
      </c>
      <c r="AU831">
        <v>2019</v>
      </c>
      <c r="AV831">
        <v>6</v>
      </c>
      <c r="AW831" t="s">
        <v>74</v>
      </c>
      <c r="AX831" t="s">
        <v>74</v>
      </c>
      <c r="AY831" t="s">
        <v>74</v>
      </c>
      <c r="AZ831" t="s">
        <v>74</v>
      </c>
      <c r="BA831" t="s">
        <v>74</v>
      </c>
      <c r="BB831" t="s">
        <v>74</v>
      </c>
      <c r="BC831" t="s">
        <v>74</v>
      </c>
      <c r="BD831">
        <v>580</v>
      </c>
      <c r="BE831" t="s">
        <v>16311</v>
      </c>
      <c r="BF831" t="str">
        <f>HYPERLINK("http://dx.doi.org/10.3389/fmars.2019.00580","http://dx.doi.org/10.3389/fmars.2019.00580")</f>
        <v>http://dx.doi.org/10.3389/fmars.2019.00580</v>
      </c>
      <c r="BG831" t="s">
        <v>74</v>
      </c>
      <c r="BH831" t="s">
        <v>74</v>
      </c>
      <c r="BI831">
        <v>21</v>
      </c>
      <c r="BJ831" t="s">
        <v>2738</v>
      </c>
      <c r="BK831" t="s">
        <v>294</v>
      </c>
      <c r="BL831" t="s">
        <v>2739</v>
      </c>
      <c r="BM831" t="s">
        <v>16312</v>
      </c>
      <c r="BN831" t="s">
        <v>74</v>
      </c>
      <c r="BO831" t="s">
        <v>2934</v>
      </c>
      <c r="BP831" t="s">
        <v>74</v>
      </c>
      <c r="BQ831" t="s">
        <v>74</v>
      </c>
      <c r="BR831" t="s">
        <v>108</v>
      </c>
      <c r="BS831" t="s">
        <v>16313</v>
      </c>
      <c r="BT831" t="str">
        <f>HYPERLINK("https%3A%2F%2Fwww.webofscience.com%2Fwos%2Fwoscc%2Ffull-record%2FWOS:000486686600001","View Full Record in Web of Science")</f>
        <v>View Full Record in Web of Science</v>
      </c>
    </row>
    <row r="832" spans="1:72" x14ac:dyDescent="0.15">
      <c r="A832" t="s">
        <v>133</v>
      </c>
      <c r="B832" t="s">
        <v>16314</v>
      </c>
      <c r="C832" t="s">
        <v>74</v>
      </c>
      <c r="D832" t="s">
        <v>74</v>
      </c>
      <c r="E832" t="s">
        <v>74</v>
      </c>
      <c r="F832" t="s">
        <v>16315</v>
      </c>
      <c r="G832" t="s">
        <v>74</v>
      </c>
      <c r="H832" t="s">
        <v>74</v>
      </c>
      <c r="I832" t="s">
        <v>16316</v>
      </c>
      <c r="J832" t="s">
        <v>3266</v>
      </c>
      <c r="K832" t="s">
        <v>74</v>
      </c>
      <c r="L832" t="s">
        <v>74</v>
      </c>
      <c r="M832" t="s">
        <v>80</v>
      </c>
      <c r="N832" t="s">
        <v>138</v>
      </c>
      <c r="O832" t="s">
        <v>74</v>
      </c>
      <c r="P832" t="s">
        <v>74</v>
      </c>
      <c r="Q832" t="s">
        <v>74</v>
      </c>
      <c r="R832" t="s">
        <v>74</v>
      </c>
      <c r="S832" t="s">
        <v>74</v>
      </c>
      <c r="T832" t="s">
        <v>16317</v>
      </c>
      <c r="U832" t="s">
        <v>16318</v>
      </c>
      <c r="V832" t="s">
        <v>16319</v>
      </c>
      <c r="W832" t="s">
        <v>16320</v>
      </c>
      <c r="X832" t="s">
        <v>16321</v>
      </c>
      <c r="Y832" t="s">
        <v>16322</v>
      </c>
      <c r="Z832" t="s">
        <v>16323</v>
      </c>
      <c r="AA832" t="s">
        <v>16324</v>
      </c>
      <c r="AB832" t="s">
        <v>16325</v>
      </c>
      <c r="AC832" t="s">
        <v>16326</v>
      </c>
      <c r="AD832" t="s">
        <v>16327</v>
      </c>
      <c r="AE832" t="s">
        <v>16328</v>
      </c>
      <c r="AF832" t="s">
        <v>74</v>
      </c>
      <c r="AG832">
        <v>49</v>
      </c>
      <c r="AH832">
        <v>5</v>
      </c>
      <c r="AI832">
        <v>5</v>
      </c>
      <c r="AJ832">
        <v>0</v>
      </c>
      <c r="AK832">
        <v>10</v>
      </c>
      <c r="AL832" t="s">
        <v>3279</v>
      </c>
      <c r="AM832" t="s">
        <v>1730</v>
      </c>
      <c r="AN832" t="s">
        <v>3280</v>
      </c>
      <c r="AO832" t="s">
        <v>3281</v>
      </c>
      <c r="AP832" t="s">
        <v>74</v>
      </c>
      <c r="AQ832" t="s">
        <v>74</v>
      </c>
      <c r="AR832" t="s">
        <v>3266</v>
      </c>
      <c r="AS832" t="s">
        <v>3282</v>
      </c>
      <c r="AT832" t="s">
        <v>16255</v>
      </c>
      <c r="AU832">
        <v>2019</v>
      </c>
      <c r="AV832">
        <v>7</v>
      </c>
      <c r="AW832" t="s">
        <v>74</v>
      </c>
      <c r="AX832" t="s">
        <v>74</v>
      </c>
      <c r="AY832" t="s">
        <v>74</v>
      </c>
      <c r="AZ832" t="s">
        <v>74</v>
      </c>
      <c r="BA832" t="s">
        <v>74</v>
      </c>
      <c r="BB832" t="s">
        <v>74</v>
      </c>
      <c r="BC832" t="s">
        <v>74</v>
      </c>
      <c r="BD832" t="s">
        <v>16329</v>
      </c>
      <c r="BE832" t="s">
        <v>16330</v>
      </c>
      <c r="BF832" t="str">
        <f>HYPERLINK("http://dx.doi.org/10.7717/peerj.7610","http://dx.doi.org/10.7717/peerj.7610")</f>
        <v>http://dx.doi.org/10.7717/peerj.7610</v>
      </c>
      <c r="BG832" t="s">
        <v>74</v>
      </c>
      <c r="BH832" t="s">
        <v>74</v>
      </c>
      <c r="BI832">
        <v>16</v>
      </c>
      <c r="BJ832" t="s">
        <v>1245</v>
      </c>
      <c r="BK832" t="s">
        <v>294</v>
      </c>
      <c r="BL832" t="s">
        <v>1246</v>
      </c>
      <c r="BM832" t="s">
        <v>16331</v>
      </c>
      <c r="BN832">
        <v>31579579</v>
      </c>
      <c r="BO832" t="s">
        <v>693</v>
      </c>
      <c r="BP832" t="s">
        <v>74</v>
      </c>
      <c r="BQ832" t="s">
        <v>74</v>
      </c>
      <c r="BR832" t="s">
        <v>108</v>
      </c>
      <c r="BS832" t="s">
        <v>16332</v>
      </c>
      <c r="BT832" t="str">
        <f>HYPERLINK("https%3A%2F%2Fwww.webofscience.com%2Fwos%2Fwoscc%2Ffull-record%2FWOS:000486566300005","View Full Record in Web of Science")</f>
        <v>View Full Record in Web of Science</v>
      </c>
    </row>
    <row r="833" spans="1:72" x14ac:dyDescent="0.15">
      <c r="A833" t="s">
        <v>133</v>
      </c>
      <c r="B833" t="s">
        <v>16333</v>
      </c>
      <c r="C833" t="s">
        <v>74</v>
      </c>
      <c r="D833" t="s">
        <v>74</v>
      </c>
      <c r="E833" t="s">
        <v>74</v>
      </c>
      <c r="F833" t="s">
        <v>16334</v>
      </c>
      <c r="G833" t="s">
        <v>74</v>
      </c>
      <c r="H833" t="s">
        <v>74</v>
      </c>
      <c r="I833" t="s">
        <v>16335</v>
      </c>
      <c r="J833" t="s">
        <v>16264</v>
      </c>
      <c r="K833" t="s">
        <v>74</v>
      </c>
      <c r="L833" t="s">
        <v>74</v>
      </c>
      <c r="M833" t="s">
        <v>80</v>
      </c>
      <c r="N833" t="s">
        <v>138</v>
      </c>
      <c r="O833" t="s">
        <v>74</v>
      </c>
      <c r="P833" t="s">
        <v>74</v>
      </c>
      <c r="Q833" t="s">
        <v>74</v>
      </c>
      <c r="R833" t="s">
        <v>74</v>
      </c>
      <c r="S833" t="s">
        <v>74</v>
      </c>
      <c r="T833" t="s">
        <v>74</v>
      </c>
      <c r="U833" t="s">
        <v>16336</v>
      </c>
      <c r="V833" t="s">
        <v>16337</v>
      </c>
      <c r="W833" t="s">
        <v>16338</v>
      </c>
      <c r="X833" t="s">
        <v>2606</v>
      </c>
      <c r="Y833" t="s">
        <v>14749</v>
      </c>
      <c r="Z833" t="s">
        <v>14750</v>
      </c>
      <c r="AA833" t="s">
        <v>16339</v>
      </c>
      <c r="AB833" t="s">
        <v>74</v>
      </c>
      <c r="AC833" t="s">
        <v>16340</v>
      </c>
      <c r="AD833" t="s">
        <v>532</v>
      </c>
      <c r="AE833" t="s">
        <v>16341</v>
      </c>
      <c r="AF833" t="s">
        <v>74</v>
      </c>
      <c r="AG833">
        <v>41</v>
      </c>
      <c r="AH833">
        <v>12</v>
      </c>
      <c r="AI833">
        <v>13</v>
      </c>
      <c r="AJ833">
        <v>7</v>
      </c>
      <c r="AK833">
        <v>29</v>
      </c>
      <c r="AL833" t="s">
        <v>1758</v>
      </c>
      <c r="AM833" t="s">
        <v>1759</v>
      </c>
      <c r="AN833" t="s">
        <v>1760</v>
      </c>
      <c r="AO833" t="s">
        <v>16271</v>
      </c>
      <c r="AP833" t="s">
        <v>16272</v>
      </c>
      <c r="AQ833" t="s">
        <v>74</v>
      </c>
      <c r="AR833" t="s">
        <v>16273</v>
      </c>
      <c r="AS833" t="s">
        <v>16274</v>
      </c>
      <c r="AT833" t="s">
        <v>16275</v>
      </c>
      <c r="AU833">
        <v>2020</v>
      </c>
      <c r="AV833">
        <v>41</v>
      </c>
      <c r="AW833">
        <v>4</v>
      </c>
      <c r="AX833" t="s">
        <v>74</v>
      </c>
      <c r="AY833" t="s">
        <v>74</v>
      </c>
      <c r="AZ833" t="s">
        <v>74</v>
      </c>
      <c r="BA833" t="s">
        <v>74</v>
      </c>
      <c r="BB833">
        <v>1338</v>
      </c>
      <c r="BC833">
        <v>1348</v>
      </c>
      <c r="BD833" t="s">
        <v>74</v>
      </c>
      <c r="BE833" t="s">
        <v>16342</v>
      </c>
      <c r="BF833" t="str">
        <f>HYPERLINK("http://dx.doi.org/10.1080/01431161.2019.1666316","http://dx.doi.org/10.1080/01431161.2019.1666316")</f>
        <v>http://dx.doi.org/10.1080/01431161.2019.1666316</v>
      </c>
      <c r="BG833" t="s">
        <v>74</v>
      </c>
      <c r="BH833" t="s">
        <v>16167</v>
      </c>
      <c r="BI833">
        <v>11</v>
      </c>
      <c r="BJ833" t="s">
        <v>9041</v>
      </c>
      <c r="BK833" t="s">
        <v>294</v>
      </c>
      <c r="BL833" t="s">
        <v>9041</v>
      </c>
      <c r="BM833" t="s">
        <v>16277</v>
      </c>
      <c r="BN833" t="s">
        <v>74</v>
      </c>
      <c r="BO833" t="s">
        <v>74</v>
      </c>
      <c r="BP833" t="s">
        <v>74</v>
      </c>
      <c r="BQ833" t="s">
        <v>74</v>
      </c>
      <c r="BR833" t="s">
        <v>108</v>
      </c>
      <c r="BS833" t="s">
        <v>16343</v>
      </c>
      <c r="BT833" t="str">
        <f>HYPERLINK("https%3A%2F%2Fwww.webofscience.com%2Fwos%2Fwoscc%2Ffull-record%2FWOS:000486956800001","View Full Record in Web of Science")</f>
        <v>View Full Record in Web of Science</v>
      </c>
    </row>
    <row r="834" spans="1:72" x14ac:dyDescent="0.15">
      <c r="A834" t="s">
        <v>133</v>
      </c>
      <c r="B834" t="s">
        <v>16344</v>
      </c>
      <c r="C834" t="s">
        <v>74</v>
      </c>
      <c r="D834" t="s">
        <v>74</v>
      </c>
      <c r="E834" t="s">
        <v>74</v>
      </c>
      <c r="F834" t="s">
        <v>16345</v>
      </c>
      <c r="G834" t="s">
        <v>74</v>
      </c>
      <c r="H834" t="s">
        <v>74</v>
      </c>
      <c r="I834" t="s">
        <v>16346</v>
      </c>
      <c r="J834" t="s">
        <v>8761</v>
      </c>
      <c r="K834" t="s">
        <v>74</v>
      </c>
      <c r="L834" t="s">
        <v>74</v>
      </c>
      <c r="M834" t="s">
        <v>80</v>
      </c>
      <c r="N834" t="s">
        <v>138</v>
      </c>
      <c r="O834" t="s">
        <v>74</v>
      </c>
      <c r="P834" t="s">
        <v>74</v>
      </c>
      <c r="Q834" t="s">
        <v>74</v>
      </c>
      <c r="R834" t="s">
        <v>74</v>
      </c>
      <c r="S834" t="s">
        <v>74</v>
      </c>
      <c r="T834" t="s">
        <v>16347</v>
      </c>
      <c r="U834" t="s">
        <v>16348</v>
      </c>
      <c r="V834" t="s">
        <v>16349</v>
      </c>
      <c r="W834" t="s">
        <v>16350</v>
      </c>
      <c r="X834" t="s">
        <v>16351</v>
      </c>
      <c r="Y834" t="s">
        <v>16352</v>
      </c>
      <c r="Z834" t="s">
        <v>16353</v>
      </c>
      <c r="AA834" t="s">
        <v>16354</v>
      </c>
      <c r="AB834" t="s">
        <v>16355</v>
      </c>
      <c r="AC834" t="s">
        <v>16356</v>
      </c>
      <c r="AD834" t="s">
        <v>16357</v>
      </c>
      <c r="AE834" t="s">
        <v>16358</v>
      </c>
      <c r="AF834" t="s">
        <v>74</v>
      </c>
      <c r="AG834">
        <v>83</v>
      </c>
      <c r="AH834">
        <v>10</v>
      </c>
      <c r="AI834">
        <v>10</v>
      </c>
      <c r="AJ834">
        <v>3</v>
      </c>
      <c r="AK834">
        <v>11</v>
      </c>
      <c r="AL834" t="s">
        <v>2012</v>
      </c>
      <c r="AM834" t="s">
        <v>1730</v>
      </c>
      <c r="AN834" t="s">
        <v>2013</v>
      </c>
      <c r="AO834" t="s">
        <v>8774</v>
      </c>
      <c r="AP834" t="s">
        <v>74</v>
      </c>
      <c r="AQ834" t="s">
        <v>74</v>
      </c>
      <c r="AR834" t="s">
        <v>8775</v>
      </c>
      <c r="AS834" t="s">
        <v>8776</v>
      </c>
      <c r="AT834" t="s">
        <v>16359</v>
      </c>
      <c r="AU834">
        <v>2019</v>
      </c>
      <c r="AV834">
        <v>19</v>
      </c>
      <c r="AW834">
        <v>1</v>
      </c>
      <c r="AX834" t="s">
        <v>74</v>
      </c>
      <c r="AY834" t="s">
        <v>74</v>
      </c>
      <c r="AZ834" t="s">
        <v>74</v>
      </c>
      <c r="BA834" t="s">
        <v>74</v>
      </c>
      <c r="BB834" t="s">
        <v>74</v>
      </c>
      <c r="BC834" t="s">
        <v>74</v>
      </c>
      <c r="BD834">
        <v>180</v>
      </c>
      <c r="BE834" t="s">
        <v>16360</v>
      </c>
      <c r="BF834" t="str">
        <f>HYPERLINK("http://dx.doi.org/10.1186/s12862-019-1499-8","http://dx.doi.org/10.1186/s12862-019-1499-8")</f>
        <v>http://dx.doi.org/10.1186/s12862-019-1499-8</v>
      </c>
      <c r="BG834" t="s">
        <v>74</v>
      </c>
      <c r="BH834" t="s">
        <v>74</v>
      </c>
      <c r="BI834">
        <v>15</v>
      </c>
      <c r="BJ834" t="s">
        <v>8778</v>
      </c>
      <c r="BK834" t="s">
        <v>294</v>
      </c>
      <c r="BL834" t="s">
        <v>8778</v>
      </c>
      <c r="BM834" t="s">
        <v>16361</v>
      </c>
      <c r="BN834">
        <v>31533610</v>
      </c>
      <c r="BO834" t="s">
        <v>2934</v>
      </c>
      <c r="BP834" t="s">
        <v>74</v>
      </c>
      <c r="BQ834" t="s">
        <v>74</v>
      </c>
      <c r="BR834" t="s">
        <v>108</v>
      </c>
      <c r="BS834" t="s">
        <v>16362</v>
      </c>
      <c r="BT834" t="str">
        <f>HYPERLINK("https%3A%2F%2Fwww.webofscience.com%2Fwos%2Fwoscc%2Ffull-record%2FWOS:000541128000001","View Full Record in Web of Science")</f>
        <v>View Full Record in Web of Science</v>
      </c>
    </row>
    <row r="835" spans="1:72" x14ac:dyDescent="0.15">
      <c r="A835" t="s">
        <v>133</v>
      </c>
      <c r="B835" t="s">
        <v>16363</v>
      </c>
      <c r="C835" t="s">
        <v>74</v>
      </c>
      <c r="D835" t="s">
        <v>74</v>
      </c>
      <c r="E835" t="s">
        <v>74</v>
      </c>
      <c r="F835" t="s">
        <v>16364</v>
      </c>
      <c r="G835" t="s">
        <v>74</v>
      </c>
      <c r="H835" t="s">
        <v>74</v>
      </c>
      <c r="I835" t="s">
        <v>16365</v>
      </c>
      <c r="J835" t="s">
        <v>10470</v>
      </c>
      <c r="K835" t="s">
        <v>74</v>
      </c>
      <c r="L835" t="s">
        <v>74</v>
      </c>
      <c r="M835" t="s">
        <v>80</v>
      </c>
      <c r="N835" t="s">
        <v>138</v>
      </c>
      <c r="O835" t="s">
        <v>74</v>
      </c>
      <c r="P835" t="s">
        <v>74</v>
      </c>
      <c r="Q835" t="s">
        <v>74</v>
      </c>
      <c r="R835" t="s">
        <v>74</v>
      </c>
      <c r="S835" t="s">
        <v>74</v>
      </c>
      <c r="T835" t="s">
        <v>74</v>
      </c>
      <c r="U835" t="s">
        <v>16366</v>
      </c>
      <c r="V835" t="s">
        <v>16367</v>
      </c>
      <c r="W835" t="s">
        <v>16368</v>
      </c>
      <c r="X835" t="s">
        <v>16369</v>
      </c>
      <c r="Y835" t="s">
        <v>16370</v>
      </c>
      <c r="Z835" t="s">
        <v>74</v>
      </c>
      <c r="AA835" t="s">
        <v>74</v>
      </c>
      <c r="AB835" t="s">
        <v>16371</v>
      </c>
      <c r="AC835" t="s">
        <v>16372</v>
      </c>
      <c r="AD835" t="s">
        <v>16373</v>
      </c>
      <c r="AE835" t="s">
        <v>16374</v>
      </c>
      <c r="AF835" t="s">
        <v>74</v>
      </c>
      <c r="AG835">
        <v>76</v>
      </c>
      <c r="AH835">
        <v>13</v>
      </c>
      <c r="AI835">
        <v>14</v>
      </c>
      <c r="AJ835">
        <v>0</v>
      </c>
      <c r="AK835">
        <v>1</v>
      </c>
      <c r="AL835" t="s">
        <v>7960</v>
      </c>
      <c r="AM835" t="s">
        <v>7961</v>
      </c>
      <c r="AN835" t="s">
        <v>7962</v>
      </c>
      <c r="AO835" t="s">
        <v>10480</v>
      </c>
      <c r="AP835" t="s">
        <v>10481</v>
      </c>
      <c r="AQ835" t="s">
        <v>74</v>
      </c>
      <c r="AR835" t="s">
        <v>10482</v>
      </c>
      <c r="AS835" t="s">
        <v>10483</v>
      </c>
      <c r="AT835" t="s">
        <v>16359</v>
      </c>
      <c r="AU835">
        <v>2019</v>
      </c>
      <c r="AV835">
        <v>100</v>
      </c>
      <c r="AW835">
        <v>6</v>
      </c>
      <c r="AX835" t="s">
        <v>74</v>
      </c>
      <c r="AY835" t="s">
        <v>74</v>
      </c>
      <c r="AZ835" t="s">
        <v>74</v>
      </c>
      <c r="BA835" t="s">
        <v>74</v>
      </c>
      <c r="BB835" t="s">
        <v>74</v>
      </c>
      <c r="BC835" t="s">
        <v>74</v>
      </c>
      <c r="BD835">
        <v>63011</v>
      </c>
      <c r="BE835" t="s">
        <v>16375</v>
      </c>
      <c r="BF835" t="str">
        <f>HYPERLINK("http://dx.doi.org/10.1103/PhysRevD.100.063011","http://dx.doi.org/10.1103/PhysRevD.100.063011")</f>
        <v>http://dx.doi.org/10.1103/PhysRevD.100.063011</v>
      </c>
      <c r="BG835" t="s">
        <v>74</v>
      </c>
      <c r="BH835" t="s">
        <v>74</v>
      </c>
      <c r="BI835">
        <v>12</v>
      </c>
      <c r="BJ835" t="s">
        <v>10485</v>
      </c>
      <c r="BK835" t="s">
        <v>294</v>
      </c>
      <c r="BL835" t="s">
        <v>10486</v>
      </c>
      <c r="BM835" t="s">
        <v>16376</v>
      </c>
      <c r="BN835" t="s">
        <v>74</v>
      </c>
      <c r="BO835" t="s">
        <v>2221</v>
      </c>
      <c r="BP835" t="s">
        <v>74</v>
      </c>
      <c r="BQ835" t="s">
        <v>74</v>
      </c>
      <c r="BR835" t="s">
        <v>108</v>
      </c>
      <c r="BS835" t="s">
        <v>16377</v>
      </c>
      <c r="BT835" t="str">
        <f>HYPERLINK("https%3A%2F%2Fwww.webofscience.com%2Fwos%2Fwoscc%2Ffull-record%2FWOS:000486648600004","View Full Record in Web of Science")</f>
        <v>View Full Record in Web of Science</v>
      </c>
    </row>
    <row r="836" spans="1:72" x14ac:dyDescent="0.15">
      <c r="A836" t="s">
        <v>133</v>
      </c>
      <c r="B836" t="s">
        <v>16378</v>
      </c>
      <c r="C836" t="s">
        <v>74</v>
      </c>
      <c r="D836" t="s">
        <v>74</v>
      </c>
      <c r="E836" t="s">
        <v>74</v>
      </c>
      <c r="F836" t="s">
        <v>16379</v>
      </c>
      <c r="G836" t="s">
        <v>74</v>
      </c>
      <c r="H836" t="s">
        <v>74</v>
      </c>
      <c r="I836" t="s">
        <v>16380</v>
      </c>
      <c r="J836" t="s">
        <v>2623</v>
      </c>
      <c r="K836" t="s">
        <v>74</v>
      </c>
      <c r="L836" t="s">
        <v>74</v>
      </c>
      <c r="M836" t="s">
        <v>80</v>
      </c>
      <c r="N836" t="s">
        <v>138</v>
      </c>
      <c r="O836" t="s">
        <v>74</v>
      </c>
      <c r="P836" t="s">
        <v>74</v>
      </c>
      <c r="Q836" t="s">
        <v>74</v>
      </c>
      <c r="R836" t="s">
        <v>74</v>
      </c>
      <c r="S836" t="s">
        <v>74</v>
      </c>
      <c r="T836" t="s">
        <v>74</v>
      </c>
      <c r="U836" t="s">
        <v>16381</v>
      </c>
      <c r="V836" t="s">
        <v>16382</v>
      </c>
      <c r="W836" t="s">
        <v>16383</v>
      </c>
      <c r="X836" t="s">
        <v>16384</v>
      </c>
      <c r="Y836" t="s">
        <v>16385</v>
      </c>
      <c r="Z836" t="s">
        <v>16386</v>
      </c>
      <c r="AA836" t="s">
        <v>16387</v>
      </c>
      <c r="AB836" t="s">
        <v>16388</v>
      </c>
      <c r="AC836" t="s">
        <v>16389</v>
      </c>
      <c r="AD836" t="s">
        <v>16390</v>
      </c>
      <c r="AE836" t="s">
        <v>16391</v>
      </c>
      <c r="AF836" t="s">
        <v>74</v>
      </c>
      <c r="AG836">
        <v>67</v>
      </c>
      <c r="AH836">
        <v>24</v>
      </c>
      <c r="AI836">
        <v>26</v>
      </c>
      <c r="AJ836">
        <v>1</v>
      </c>
      <c r="AK836">
        <v>19</v>
      </c>
      <c r="AL836" t="s">
        <v>2635</v>
      </c>
      <c r="AM836" t="s">
        <v>841</v>
      </c>
      <c r="AN836" t="s">
        <v>842</v>
      </c>
      <c r="AO836" t="s">
        <v>2636</v>
      </c>
      <c r="AP836" t="s">
        <v>74</v>
      </c>
      <c r="AQ836" t="s">
        <v>74</v>
      </c>
      <c r="AR836" t="s">
        <v>2637</v>
      </c>
      <c r="AS836" t="s">
        <v>2638</v>
      </c>
      <c r="AT836" t="s">
        <v>16359</v>
      </c>
      <c r="AU836">
        <v>2019</v>
      </c>
      <c r="AV836">
        <v>9</v>
      </c>
      <c r="AW836" t="s">
        <v>74</v>
      </c>
      <c r="AX836" t="s">
        <v>74</v>
      </c>
      <c r="AY836" t="s">
        <v>74</v>
      </c>
      <c r="AZ836" t="s">
        <v>74</v>
      </c>
      <c r="BA836" t="s">
        <v>74</v>
      </c>
      <c r="BB836" t="s">
        <v>74</v>
      </c>
      <c r="BC836" t="s">
        <v>74</v>
      </c>
      <c r="BD836">
        <v>13514</v>
      </c>
      <c r="BE836" t="s">
        <v>16392</v>
      </c>
      <c r="BF836" t="str">
        <f>HYPERLINK("http://dx.doi.org/10.1038/s41598-019-49992-3","http://dx.doi.org/10.1038/s41598-019-49992-3")</f>
        <v>http://dx.doi.org/10.1038/s41598-019-49992-3</v>
      </c>
      <c r="BG836" t="s">
        <v>74</v>
      </c>
      <c r="BH836" t="s">
        <v>74</v>
      </c>
      <c r="BI836">
        <v>12</v>
      </c>
      <c r="BJ836" t="s">
        <v>1245</v>
      </c>
      <c r="BK836" t="s">
        <v>294</v>
      </c>
      <c r="BL836" t="s">
        <v>1246</v>
      </c>
      <c r="BM836" t="s">
        <v>16393</v>
      </c>
      <c r="BN836">
        <v>31534161</v>
      </c>
      <c r="BO836" t="s">
        <v>12534</v>
      </c>
      <c r="BP836" t="s">
        <v>74</v>
      </c>
      <c r="BQ836" t="s">
        <v>74</v>
      </c>
      <c r="BR836" t="s">
        <v>108</v>
      </c>
      <c r="BS836" t="s">
        <v>16394</v>
      </c>
      <c r="BT836" t="str">
        <f>HYPERLINK("https%3A%2F%2Fwww.webofscience.com%2Fwos%2Fwoscc%2Ffull-record%2FWOS:000486379300019","View Full Record in Web of Science")</f>
        <v>View Full Record in Web of Science</v>
      </c>
    </row>
    <row r="837" spans="1:72" x14ac:dyDescent="0.15">
      <c r="A837" t="s">
        <v>133</v>
      </c>
      <c r="B837" t="s">
        <v>16395</v>
      </c>
      <c r="C837" t="s">
        <v>74</v>
      </c>
      <c r="D837" t="s">
        <v>74</v>
      </c>
      <c r="E837" t="s">
        <v>74</v>
      </c>
      <c r="F837" t="s">
        <v>16396</v>
      </c>
      <c r="G837" t="s">
        <v>74</v>
      </c>
      <c r="H837" t="s">
        <v>74</v>
      </c>
      <c r="I837" t="s">
        <v>16397</v>
      </c>
      <c r="J837" t="s">
        <v>1412</v>
      </c>
      <c r="K837" t="s">
        <v>74</v>
      </c>
      <c r="L837" t="s">
        <v>74</v>
      </c>
      <c r="M837" t="s">
        <v>80</v>
      </c>
      <c r="N837" t="s">
        <v>138</v>
      </c>
      <c r="O837" t="s">
        <v>74</v>
      </c>
      <c r="P837" t="s">
        <v>74</v>
      </c>
      <c r="Q837" t="s">
        <v>74</v>
      </c>
      <c r="R837" t="s">
        <v>74</v>
      </c>
      <c r="S837" t="s">
        <v>74</v>
      </c>
      <c r="T837" t="s">
        <v>16398</v>
      </c>
      <c r="U837" t="s">
        <v>16399</v>
      </c>
      <c r="V837" t="s">
        <v>16400</v>
      </c>
      <c r="W837" t="s">
        <v>16401</v>
      </c>
      <c r="X837" t="s">
        <v>16402</v>
      </c>
      <c r="Y837" t="s">
        <v>3655</v>
      </c>
      <c r="Z837" t="s">
        <v>3656</v>
      </c>
      <c r="AA837" t="s">
        <v>16403</v>
      </c>
      <c r="AB837" t="s">
        <v>16404</v>
      </c>
      <c r="AC837" t="s">
        <v>16405</v>
      </c>
      <c r="AD837" t="s">
        <v>16406</v>
      </c>
      <c r="AE837" t="s">
        <v>16407</v>
      </c>
      <c r="AF837" t="s">
        <v>74</v>
      </c>
      <c r="AG837">
        <v>41</v>
      </c>
      <c r="AH837">
        <v>21</v>
      </c>
      <c r="AI837">
        <v>23</v>
      </c>
      <c r="AJ837">
        <v>0</v>
      </c>
      <c r="AK837">
        <v>7</v>
      </c>
      <c r="AL837" t="s">
        <v>1425</v>
      </c>
      <c r="AM837" t="s">
        <v>1265</v>
      </c>
      <c r="AN837" t="s">
        <v>1426</v>
      </c>
      <c r="AO837" t="s">
        <v>1427</v>
      </c>
      <c r="AP837" t="s">
        <v>74</v>
      </c>
      <c r="AQ837" t="s">
        <v>74</v>
      </c>
      <c r="AR837" t="s">
        <v>1429</v>
      </c>
      <c r="AS837" t="s">
        <v>1430</v>
      </c>
      <c r="AT837" t="s">
        <v>16408</v>
      </c>
      <c r="AU837">
        <v>2019</v>
      </c>
      <c r="AV837">
        <v>116</v>
      </c>
      <c r="AW837">
        <v>38</v>
      </c>
      <c r="AX837" t="s">
        <v>74</v>
      </c>
      <c r="AY837" t="s">
        <v>74</v>
      </c>
      <c r="AZ837" t="s">
        <v>74</v>
      </c>
      <c r="BA837" t="s">
        <v>74</v>
      </c>
      <c r="BB837">
        <v>18867</v>
      </c>
      <c r="BC837">
        <v>18873</v>
      </c>
      <c r="BD837" t="s">
        <v>74</v>
      </c>
      <c r="BE837" t="s">
        <v>16409</v>
      </c>
      <c r="BF837" t="str">
        <f>HYPERLINK("http://dx.doi.org/10.1073/pnas.1821646116","http://dx.doi.org/10.1073/pnas.1821646116")</f>
        <v>http://dx.doi.org/10.1073/pnas.1821646116</v>
      </c>
      <c r="BG837" t="s">
        <v>74</v>
      </c>
      <c r="BH837" t="s">
        <v>74</v>
      </c>
      <c r="BI837">
        <v>7</v>
      </c>
      <c r="BJ837" t="s">
        <v>1245</v>
      </c>
      <c r="BK837" t="s">
        <v>294</v>
      </c>
      <c r="BL837" t="s">
        <v>1246</v>
      </c>
      <c r="BM837" t="s">
        <v>16410</v>
      </c>
      <c r="BN837">
        <v>31481619</v>
      </c>
      <c r="BO837" t="s">
        <v>2403</v>
      </c>
      <c r="BP837" t="s">
        <v>74</v>
      </c>
      <c r="BQ837" t="s">
        <v>74</v>
      </c>
      <c r="BR837" t="s">
        <v>108</v>
      </c>
      <c r="BS837" t="s">
        <v>16411</v>
      </c>
      <c r="BT837" t="str">
        <f>HYPERLINK("https%3A%2F%2Fwww.webofscience.com%2Fwos%2Fwoscc%2Ffull-record%2FWOS:000486388400025","View Full Record in Web of Science")</f>
        <v>View Full Record in Web of Science</v>
      </c>
    </row>
    <row r="838" spans="1:72" x14ac:dyDescent="0.15">
      <c r="A838" t="s">
        <v>133</v>
      </c>
      <c r="B838" t="s">
        <v>16412</v>
      </c>
      <c r="C838" t="s">
        <v>74</v>
      </c>
      <c r="D838" t="s">
        <v>74</v>
      </c>
      <c r="E838" t="s">
        <v>74</v>
      </c>
      <c r="F838" t="s">
        <v>16413</v>
      </c>
      <c r="G838" t="s">
        <v>74</v>
      </c>
      <c r="H838" t="s">
        <v>74</v>
      </c>
      <c r="I838" t="s">
        <v>16414</v>
      </c>
      <c r="J838" t="s">
        <v>1225</v>
      </c>
      <c r="K838" t="s">
        <v>74</v>
      </c>
      <c r="L838" t="s">
        <v>74</v>
      </c>
      <c r="M838" t="s">
        <v>80</v>
      </c>
      <c r="N838" t="s">
        <v>138</v>
      </c>
      <c r="O838" t="s">
        <v>74</v>
      </c>
      <c r="P838" t="s">
        <v>74</v>
      </c>
      <c r="Q838" t="s">
        <v>74</v>
      </c>
      <c r="R838" t="s">
        <v>74</v>
      </c>
      <c r="S838" t="s">
        <v>74</v>
      </c>
      <c r="T838" t="s">
        <v>74</v>
      </c>
      <c r="U838" t="s">
        <v>16415</v>
      </c>
      <c r="V838" t="s">
        <v>16416</v>
      </c>
      <c r="W838" t="s">
        <v>16417</v>
      </c>
      <c r="X838" t="s">
        <v>12436</v>
      </c>
      <c r="Y838" t="s">
        <v>16418</v>
      </c>
      <c r="Z838" t="s">
        <v>16419</v>
      </c>
      <c r="AA838" t="s">
        <v>16420</v>
      </c>
      <c r="AB838" t="s">
        <v>16421</v>
      </c>
      <c r="AC838" t="s">
        <v>16422</v>
      </c>
      <c r="AD838" t="s">
        <v>16423</v>
      </c>
      <c r="AE838" t="s">
        <v>16424</v>
      </c>
      <c r="AF838" t="s">
        <v>74</v>
      </c>
      <c r="AG838">
        <v>57</v>
      </c>
      <c r="AH838">
        <v>30</v>
      </c>
      <c r="AI838">
        <v>32</v>
      </c>
      <c r="AJ838">
        <v>3</v>
      </c>
      <c r="AK838">
        <v>15</v>
      </c>
      <c r="AL838" t="s">
        <v>1237</v>
      </c>
      <c r="AM838" t="s">
        <v>1238</v>
      </c>
      <c r="AN838" t="s">
        <v>1239</v>
      </c>
      <c r="AO838" t="s">
        <v>1240</v>
      </c>
      <c r="AP838" t="s">
        <v>74</v>
      </c>
      <c r="AQ838" t="s">
        <v>74</v>
      </c>
      <c r="AR838" t="s">
        <v>1225</v>
      </c>
      <c r="AS838" t="s">
        <v>1241</v>
      </c>
      <c r="AT838" t="s">
        <v>16425</v>
      </c>
      <c r="AU838">
        <v>2019</v>
      </c>
      <c r="AV838">
        <v>14</v>
      </c>
      <c r="AW838">
        <v>9</v>
      </c>
      <c r="AX838" t="s">
        <v>74</v>
      </c>
      <c r="AY838" t="s">
        <v>74</v>
      </c>
      <c r="AZ838" t="s">
        <v>74</v>
      </c>
      <c r="BA838" t="s">
        <v>74</v>
      </c>
      <c r="BB838" t="s">
        <v>74</v>
      </c>
      <c r="BC838" t="s">
        <v>74</v>
      </c>
      <c r="BD838" t="s">
        <v>16426</v>
      </c>
      <c r="BE838" t="s">
        <v>16427</v>
      </c>
      <c r="BF838" t="str">
        <f>HYPERLINK("http://dx.doi.org/10.1371/journal.pone.0221959","http://dx.doi.org/10.1371/journal.pone.0221959")</f>
        <v>http://dx.doi.org/10.1371/journal.pone.0221959</v>
      </c>
      <c r="BG838" t="s">
        <v>74</v>
      </c>
      <c r="BH838" t="s">
        <v>74</v>
      </c>
      <c r="BI838">
        <v>16</v>
      </c>
      <c r="BJ838" t="s">
        <v>1245</v>
      </c>
      <c r="BK838" t="s">
        <v>294</v>
      </c>
      <c r="BL838" t="s">
        <v>1246</v>
      </c>
      <c r="BM838" t="s">
        <v>16428</v>
      </c>
      <c r="BN838">
        <v>31525212</v>
      </c>
      <c r="BO838" t="s">
        <v>2107</v>
      </c>
      <c r="BP838" t="s">
        <v>74</v>
      </c>
      <c r="BQ838" t="s">
        <v>74</v>
      </c>
      <c r="BR838" t="s">
        <v>108</v>
      </c>
      <c r="BS838" t="s">
        <v>16429</v>
      </c>
      <c r="BT838" t="str">
        <f>HYPERLINK("https%3A%2F%2Fwww.webofscience.com%2Fwos%2Fwoscc%2Ffull-record%2FWOS:000532225700018","View Full Record in Web of Science")</f>
        <v>View Full Record in Web of Science</v>
      </c>
    </row>
    <row r="839" spans="1:72" x14ac:dyDescent="0.15">
      <c r="A839" t="s">
        <v>133</v>
      </c>
      <c r="B839" t="s">
        <v>16430</v>
      </c>
      <c r="C839" t="s">
        <v>74</v>
      </c>
      <c r="D839" t="s">
        <v>74</v>
      </c>
      <c r="E839" t="s">
        <v>74</v>
      </c>
      <c r="F839" t="s">
        <v>16431</v>
      </c>
      <c r="G839" t="s">
        <v>74</v>
      </c>
      <c r="H839" t="s">
        <v>74</v>
      </c>
      <c r="I839" t="s">
        <v>16432</v>
      </c>
      <c r="J839" t="s">
        <v>16433</v>
      </c>
      <c r="K839" t="s">
        <v>74</v>
      </c>
      <c r="L839" t="s">
        <v>74</v>
      </c>
      <c r="M839" t="s">
        <v>80</v>
      </c>
      <c r="N839" t="s">
        <v>138</v>
      </c>
      <c r="O839" t="s">
        <v>74</v>
      </c>
      <c r="P839" t="s">
        <v>74</v>
      </c>
      <c r="Q839" t="s">
        <v>74</v>
      </c>
      <c r="R839" t="s">
        <v>74</v>
      </c>
      <c r="S839" t="s">
        <v>74</v>
      </c>
      <c r="T839" t="s">
        <v>16434</v>
      </c>
      <c r="U839" t="s">
        <v>74</v>
      </c>
      <c r="V839" t="s">
        <v>16435</v>
      </c>
      <c r="W839" t="s">
        <v>16436</v>
      </c>
      <c r="X839" t="s">
        <v>16437</v>
      </c>
      <c r="Y839" t="s">
        <v>16438</v>
      </c>
      <c r="Z839" t="s">
        <v>16439</v>
      </c>
      <c r="AA839" t="s">
        <v>74</v>
      </c>
      <c r="AB839" t="s">
        <v>16440</v>
      </c>
      <c r="AC839" t="s">
        <v>74</v>
      </c>
      <c r="AD839" t="s">
        <v>74</v>
      </c>
      <c r="AE839" t="s">
        <v>74</v>
      </c>
      <c r="AF839" t="s">
        <v>74</v>
      </c>
      <c r="AG839">
        <v>43</v>
      </c>
      <c r="AH839">
        <v>1</v>
      </c>
      <c r="AI839">
        <v>1</v>
      </c>
      <c r="AJ839">
        <v>0</v>
      </c>
      <c r="AK839">
        <v>0</v>
      </c>
      <c r="AL839" t="s">
        <v>16229</v>
      </c>
      <c r="AM839" t="s">
        <v>1730</v>
      </c>
      <c r="AN839" t="s">
        <v>16230</v>
      </c>
      <c r="AO839" t="s">
        <v>16441</v>
      </c>
      <c r="AP839" t="s">
        <v>16442</v>
      </c>
      <c r="AQ839" t="s">
        <v>74</v>
      </c>
      <c r="AR839" t="s">
        <v>16443</v>
      </c>
      <c r="AS839" t="s">
        <v>16444</v>
      </c>
      <c r="AT839" t="s">
        <v>3499</v>
      </c>
      <c r="AU839">
        <v>2020</v>
      </c>
      <c r="AV839">
        <v>55</v>
      </c>
      <c r="AW839">
        <v>3</v>
      </c>
      <c r="AX839" t="s">
        <v>74</v>
      </c>
      <c r="AY839" t="s">
        <v>74</v>
      </c>
      <c r="AZ839" t="s">
        <v>74</v>
      </c>
      <c r="BA839" t="s">
        <v>74</v>
      </c>
      <c r="BB839">
        <v>406</v>
      </c>
      <c r="BC839">
        <v>420</v>
      </c>
      <c r="BD839">
        <v>21989419848448</v>
      </c>
      <c r="BE839" t="s">
        <v>16445</v>
      </c>
      <c r="BF839" t="str">
        <f>HYPERLINK("http://dx.doi.org/10.1177/0021989419848448","http://dx.doi.org/10.1177/0021989419848448")</f>
        <v>http://dx.doi.org/10.1177/0021989419848448</v>
      </c>
      <c r="BG839" t="s">
        <v>74</v>
      </c>
      <c r="BH839" t="s">
        <v>16167</v>
      </c>
      <c r="BI839">
        <v>15</v>
      </c>
      <c r="BJ839" t="s">
        <v>16446</v>
      </c>
      <c r="BK839" t="s">
        <v>16447</v>
      </c>
      <c r="BL839" t="s">
        <v>16448</v>
      </c>
      <c r="BM839" t="s">
        <v>16449</v>
      </c>
      <c r="BN839" t="s">
        <v>74</v>
      </c>
      <c r="BO839" t="s">
        <v>638</v>
      </c>
      <c r="BP839" t="s">
        <v>74</v>
      </c>
      <c r="BQ839" t="s">
        <v>74</v>
      </c>
      <c r="BR839" t="s">
        <v>108</v>
      </c>
      <c r="BS839" t="s">
        <v>16450</v>
      </c>
      <c r="BT839" t="str">
        <f>HYPERLINK("https%3A%2F%2Fwww.webofscience.com%2Fwos%2Fwoscc%2Ffull-record%2FWOS:000488437700001","View Full Record in Web of Science")</f>
        <v>View Full Record in Web of Science</v>
      </c>
    </row>
    <row r="840" spans="1:72" x14ac:dyDescent="0.15">
      <c r="A840" t="s">
        <v>133</v>
      </c>
      <c r="B840" t="s">
        <v>16451</v>
      </c>
      <c r="C840" t="s">
        <v>74</v>
      </c>
      <c r="D840" t="s">
        <v>74</v>
      </c>
      <c r="E840" t="s">
        <v>74</v>
      </c>
      <c r="F840" t="s">
        <v>16452</v>
      </c>
      <c r="G840" t="s">
        <v>74</v>
      </c>
      <c r="H840" t="s">
        <v>74</v>
      </c>
      <c r="I840" t="s">
        <v>16453</v>
      </c>
      <c r="J840" t="s">
        <v>1359</v>
      </c>
      <c r="K840" t="s">
        <v>74</v>
      </c>
      <c r="L840" t="s">
        <v>74</v>
      </c>
      <c r="M840" t="s">
        <v>80</v>
      </c>
      <c r="N840" t="s">
        <v>138</v>
      </c>
      <c r="O840" t="s">
        <v>74</v>
      </c>
      <c r="P840" t="s">
        <v>74</v>
      </c>
      <c r="Q840" t="s">
        <v>74</v>
      </c>
      <c r="R840" t="s">
        <v>74</v>
      </c>
      <c r="S840" t="s">
        <v>74</v>
      </c>
      <c r="T840" t="s">
        <v>16454</v>
      </c>
      <c r="U840" t="s">
        <v>16455</v>
      </c>
      <c r="V840" t="s">
        <v>16456</v>
      </c>
      <c r="W840" t="s">
        <v>16457</v>
      </c>
      <c r="X840" t="s">
        <v>16458</v>
      </c>
      <c r="Y840" t="s">
        <v>16459</v>
      </c>
      <c r="Z840" t="s">
        <v>16460</v>
      </c>
      <c r="AA840" t="s">
        <v>16461</v>
      </c>
      <c r="AB840" t="s">
        <v>16462</v>
      </c>
      <c r="AC840" t="s">
        <v>16463</v>
      </c>
      <c r="AD840" t="s">
        <v>16464</v>
      </c>
      <c r="AE840" t="s">
        <v>16465</v>
      </c>
      <c r="AF840" t="s">
        <v>74</v>
      </c>
      <c r="AG840">
        <v>93</v>
      </c>
      <c r="AH840">
        <v>15</v>
      </c>
      <c r="AI840">
        <v>17</v>
      </c>
      <c r="AJ840">
        <v>1</v>
      </c>
      <c r="AK840">
        <v>12</v>
      </c>
      <c r="AL840" t="s">
        <v>1372</v>
      </c>
      <c r="AM840" t="s">
        <v>1373</v>
      </c>
      <c r="AN840" t="s">
        <v>1374</v>
      </c>
      <c r="AO840" t="s">
        <v>1375</v>
      </c>
      <c r="AP840" t="s">
        <v>1376</v>
      </c>
      <c r="AQ840" t="s">
        <v>74</v>
      </c>
      <c r="AR840" t="s">
        <v>2616</v>
      </c>
      <c r="AS840" t="s">
        <v>1378</v>
      </c>
      <c r="AT840" t="s">
        <v>16425</v>
      </c>
      <c r="AU840">
        <v>2019</v>
      </c>
      <c r="AV840">
        <v>38</v>
      </c>
      <c r="AW840" t="s">
        <v>74</v>
      </c>
      <c r="AX840" t="s">
        <v>74</v>
      </c>
      <c r="AY840" t="s">
        <v>74</v>
      </c>
      <c r="AZ840" t="s">
        <v>74</v>
      </c>
      <c r="BA840" t="s">
        <v>74</v>
      </c>
      <c r="BB840" t="s">
        <v>74</v>
      </c>
      <c r="BC840" t="s">
        <v>74</v>
      </c>
      <c r="BD840">
        <v>3380</v>
      </c>
      <c r="BE840" t="s">
        <v>16466</v>
      </c>
      <c r="BF840" t="str">
        <f>HYPERLINK("http://dx.doi.org/10.33265/polar.v38.3380","http://dx.doi.org/10.33265/polar.v38.3380")</f>
        <v>http://dx.doi.org/10.33265/polar.v38.3380</v>
      </c>
      <c r="BG840" t="s">
        <v>74</v>
      </c>
      <c r="BH840" t="s">
        <v>74</v>
      </c>
      <c r="BI840">
        <v>16</v>
      </c>
      <c r="BJ840" t="s">
        <v>1381</v>
      </c>
      <c r="BK840" t="s">
        <v>294</v>
      </c>
      <c r="BL840" t="s">
        <v>1382</v>
      </c>
      <c r="BM840" t="s">
        <v>16467</v>
      </c>
      <c r="BN840" t="s">
        <v>74</v>
      </c>
      <c r="BO840" t="s">
        <v>2934</v>
      </c>
      <c r="BP840" t="s">
        <v>74</v>
      </c>
      <c r="BQ840" t="s">
        <v>74</v>
      </c>
      <c r="BR840" t="s">
        <v>108</v>
      </c>
      <c r="BS840" t="s">
        <v>16468</v>
      </c>
      <c r="BT840" t="str">
        <f>HYPERLINK("https%3A%2F%2Fwww.webofscience.com%2Fwos%2Fwoscc%2Ffull-record%2FWOS:000488083200001","View Full Record in Web of Science")</f>
        <v>View Full Record in Web of Science</v>
      </c>
    </row>
    <row r="841" spans="1:72" x14ac:dyDescent="0.15">
      <c r="A841" t="s">
        <v>133</v>
      </c>
      <c r="B841" t="s">
        <v>16469</v>
      </c>
      <c r="C841" t="s">
        <v>74</v>
      </c>
      <c r="D841" t="s">
        <v>74</v>
      </c>
      <c r="E841" t="s">
        <v>74</v>
      </c>
      <c r="F841" t="s">
        <v>16470</v>
      </c>
      <c r="G841" t="s">
        <v>74</v>
      </c>
      <c r="H841" t="s">
        <v>74</v>
      </c>
      <c r="I841" t="s">
        <v>16471</v>
      </c>
      <c r="J841" t="s">
        <v>2429</v>
      </c>
      <c r="K841" t="s">
        <v>74</v>
      </c>
      <c r="L841" t="s">
        <v>74</v>
      </c>
      <c r="M841" t="s">
        <v>80</v>
      </c>
      <c r="N841" t="s">
        <v>930</v>
      </c>
      <c r="O841" t="s">
        <v>74</v>
      </c>
      <c r="P841" t="s">
        <v>74</v>
      </c>
      <c r="Q841" t="s">
        <v>74</v>
      </c>
      <c r="R841" t="s">
        <v>74</v>
      </c>
      <c r="S841" t="s">
        <v>74</v>
      </c>
      <c r="T841" t="s">
        <v>16472</v>
      </c>
      <c r="U841" t="s">
        <v>16473</v>
      </c>
      <c r="V841" t="s">
        <v>16474</v>
      </c>
      <c r="W841" t="s">
        <v>16475</v>
      </c>
      <c r="X841" t="s">
        <v>16476</v>
      </c>
      <c r="Y841" t="s">
        <v>16477</v>
      </c>
      <c r="Z841" t="s">
        <v>16478</v>
      </c>
      <c r="AA841" t="s">
        <v>16479</v>
      </c>
      <c r="AB841" t="s">
        <v>16480</v>
      </c>
      <c r="AC841" t="s">
        <v>16481</v>
      </c>
      <c r="AD841" t="s">
        <v>16482</v>
      </c>
      <c r="AE841" t="s">
        <v>16483</v>
      </c>
      <c r="AF841" t="s">
        <v>74</v>
      </c>
      <c r="AG841">
        <v>360</v>
      </c>
      <c r="AH841">
        <v>43</v>
      </c>
      <c r="AI841">
        <v>49</v>
      </c>
      <c r="AJ841">
        <v>4</v>
      </c>
      <c r="AK841">
        <v>36</v>
      </c>
      <c r="AL841" t="s">
        <v>379</v>
      </c>
      <c r="AM841" t="s">
        <v>380</v>
      </c>
      <c r="AN841" t="s">
        <v>381</v>
      </c>
      <c r="AO841" t="s">
        <v>2441</v>
      </c>
      <c r="AP841" t="s">
        <v>74</v>
      </c>
      <c r="AQ841" t="s">
        <v>74</v>
      </c>
      <c r="AR841" t="s">
        <v>2442</v>
      </c>
      <c r="AS841" t="s">
        <v>2443</v>
      </c>
      <c r="AT841" t="s">
        <v>16484</v>
      </c>
      <c r="AU841">
        <v>2019</v>
      </c>
      <c r="AV841">
        <v>220</v>
      </c>
      <c r="AW841" t="s">
        <v>74</v>
      </c>
      <c r="AX841" t="s">
        <v>74</v>
      </c>
      <c r="AY841" t="s">
        <v>74</v>
      </c>
      <c r="AZ841" t="s">
        <v>74</v>
      </c>
      <c r="BA841" t="s">
        <v>74</v>
      </c>
      <c r="BB841">
        <v>30</v>
      </c>
      <c r="BC841">
        <v>74</v>
      </c>
      <c r="BD841" t="s">
        <v>74</v>
      </c>
      <c r="BE841" t="s">
        <v>16485</v>
      </c>
      <c r="BF841" t="str">
        <f>HYPERLINK("http://dx.doi.org/10.1016/j.quascirev.2019.05.013","http://dx.doi.org/10.1016/j.quascirev.2019.05.013")</f>
        <v>http://dx.doi.org/10.1016/j.quascirev.2019.05.013</v>
      </c>
      <c r="BG841" t="s">
        <v>74</v>
      </c>
      <c r="BH841" t="s">
        <v>74</v>
      </c>
      <c r="BI841">
        <v>45</v>
      </c>
      <c r="BJ841" t="s">
        <v>462</v>
      </c>
      <c r="BK841" t="s">
        <v>294</v>
      </c>
      <c r="BL841" t="s">
        <v>463</v>
      </c>
      <c r="BM841" t="s">
        <v>16486</v>
      </c>
      <c r="BN841" t="s">
        <v>74</v>
      </c>
      <c r="BO841" t="s">
        <v>7252</v>
      </c>
      <c r="BP841" t="s">
        <v>74</v>
      </c>
      <c r="BQ841" t="s">
        <v>74</v>
      </c>
      <c r="BR841" t="s">
        <v>108</v>
      </c>
      <c r="BS841" t="s">
        <v>16487</v>
      </c>
      <c r="BT841" t="str">
        <f>HYPERLINK("https%3A%2F%2Fwww.webofscience.com%2Fwos%2Fwoscc%2Ffull-record%2FWOS:000487565700003","View Full Record in Web of Science")</f>
        <v>View Full Record in Web of Science</v>
      </c>
    </row>
    <row r="842" spans="1:72" x14ac:dyDescent="0.15">
      <c r="A842" t="s">
        <v>133</v>
      </c>
      <c r="B842" t="s">
        <v>16488</v>
      </c>
      <c r="C842" t="s">
        <v>74</v>
      </c>
      <c r="D842" t="s">
        <v>74</v>
      </c>
      <c r="E842" t="s">
        <v>74</v>
      </c>
      <c r="F842" t="s">
        <v>16489</v>
      </c>
      <c r="G842" t="s">
        <v>74</v>
      </c>
      <c r="H842" t="s">
        <v>74</v>
      </c>
      <c r="I842" t="s">
        <v>16490</v>
      </c>
      <c r="J842" t="s">
        <v>1388</v>
      </c>
      <c r="K842" t="s">
        <v>74</v>
      </c>
      <c r="L842" t="s">
        <v>74</v>
      </c>
      <c r="M842" t="s">
        <v>80</v>
      </c>
      <c r="N842" t="s">
        <v>138</v>
      </c>
      <c r="O842" t="s">
        <v>74</v>
      </c>
      <c r="P842" t="s">
        <v>74</v>
      </c>
      <c r="Q842" t="s">
        <v>74</v>
      </c>
      <c r="R842" t="s">
        <v>74</v>
      </c>
      <c r="S842" t="s">
        <v>74</v>
      </c>
      <c r="T842" t="s">
        <v>16491</v>
      </c>
      <c r="U842" t="s">
        <v>16492</v>
      </c>
      <c r="V842" t="s">
        <v>16493</v>
      </c>
      <c r="W842" t="s">
        <v>16494</v>
      </c>
      <c r="X842" t="s">
        <v>16495</v>
      </c>
      <c r="Y842" t="s">
        <v>16496</v>
      </c>
      <c r="Z842" t="s">
        <v>16497</v>
      </c>
      <c r="AA842" t="s">
        <v>16498</v>
      </c>
      <c r="AB842" t="s">
        <v>16499</v>
      </c>
      <c r="AC842" t="s">
        <v>16500</v>
      </c>
      <c r="AD842" t="s">
        <v>16501</v>
      </c>
      <c r="AE842" t="s">
        <v>16502</v>
      </c>
      <c r="AF842" t="s">
        <v>74</v>
      </c>
      <c r="AG842">
        <v>56</v>
      </c>
      <c r="AH842">
        <v>0</v>
      </c>
      <c r="AI842">
        <v>0</v>
      </c>
      <c r="AJ842">
        <v>1</v>
      </c>
      <c r="AK842">
        <v>37</v>
      </c>
      <c r="AL842" t="s">
        <v>429</v>
      </c>
      <c r="AM842" t="s">
        <v>430</v>
      </c>
      <c r="AN842" t="s">
        <v>431</v>
      </c>
      <c r="AO842" t="s">
        <v>1401</v>
      </c>
      <c r="AP842" t="s">
        <v>1402</v>
      </c>
      <c r="AQ842" t="s">
        <v>74</v>
      </c>
      <c r="AR842" t="s">
        <v>1403</v>
      </c>
      <c r="AS842" t="s">
        <v>1404</v>
      </c>
      <c r="AT842" t="s">
        <v>16503</v>
      </c>
      <c r="AU842">
        <v>2020</v>
      </c>
      <c r="AV842">
        <v>40</v>
      </c>
      <c r="AW842">
        <v>3</v>
      </c>
      <c r="AX842" t="s">
        <v>74</v>
      </c>
      <c r="AY842" t="s">
        <v>74</v>
      </c>
      <c r="AZ842" t="s">
        <v>74</v>
      </c>
      <c r="BA842" t="s">
        <v>74</v>
      </c>
      <c r="BB842">
        <v>1492</v>
      </c>
      <c r="BC842">
        <v>1511</v>
      </c>
      <c r="BD842" t="s">
        <v>74</v>
      </c>
      <c r="BE842" t="s">
        <v>16504</v>
      </c>
      <c r="BF842" t="str">
        <f>HYPERLINK("http://dx.doi.org/10.1002/joc.6282","http://dx.doi.org/10.1002/joc.6282")</f>
        <v>http://dx.doi.org/10.1002/joc.6282</v>
      </c>
      <c r="BG842" t="s">
        <v>74</v>
      </c>
      <c r="BH842" t="s">
        <v>16167</v>
      </c>
      <c r="BI842">
        <v>20</v>
      </c>
      <c r="BJ842" t="s">
        <v>1024</v>
      </c>
      <c r="BK842" t="s">
        <v>294</v>
      </c>
      <c r="BL842" t="s">
        <v>1024</v>
      </c>
      <c r="BM842" t="s">
        <v>16505</v>
      </c>
      <c r="BN842" t="s">
        <v>74</v>
      </c>
      <c r="BO842" t="s">
        <v>74</v>
      </c>
      <c r="BP842" t="s">
        <v>74</v>
      </c>
      <c r="BQ842" t="s">
        <v>74</v>
      </c>
      <c r="BR842" t="s">
        <v>108</v>
      </c>
      <c r="BS842" t="s">
        <v>16506</v>
      </c>
      <c r="BT842" t="str">
        <f>HYPERLINK("https%3A%2F%2Fwww.webofscience.com%2Fwos%2Fwoscc%2Ffull-record%2FWOS:000486674900001","View Full Record in Web of Science")</f>
        <v>View Full Record in Web of Science</v>
      </c>
    </row>
    <row r="843" spans="1:72" x14ac:dyDescent="0.15">
      <c r="A843" t="s">
        <v>133</v>
      </c>
      <c r="B843" t="s">
        <v>16507</v>
      </c>
      <c r="C843" t="s">
        <v>74</v>
      </c>
      <c r="D843" t="s">
        <v>74</v>
      </c>
      <c r="E843" t="s">
        <v>74</v>
      </c>
      <c r="F843" t="s">
        <v>16508</v>
      </c>
      <c r="G843" t="s">
        <v>74</v>
      </c>
      <c r="H843" t="s">
        <v>74</v>
      </c>
      <c r="I843" t="s">
        <v>16509</v>
      </c>
      <c r="J843" t="s">
        <v>16510</v>
      </c>
      <c r="K843" t="s">
        <v>74</v>
      </c>
      <c r="L843" t="s">
        <v>74</v>
      </c>
      <c r="M843" t="s">
        <v>80</v>
      </c>
      <c r="N843" t="s">
        <v>138</v>
      </c>
      <c r="O843" t="s">
        <v>74</v>
      </c>
      <c r="P843" t="s">
        <v>74</v>
      </c>
      <c r="Q843" t="s">
        <v>74</v>
      </c>
      <c r="R843" t="s">
        <v>74</v>
      </c>
      <c r="S843" t="s">
        <v>74</v>
      </c>
      <c r="T843" t="s">
        <v>16511</v>
      </c>
      <c r="U843" t="s">
        <v>16512</v>
      </c>
      <c r="V843" t="s">
        <v>16513</v>
      </c>
      <c r="W843" t="s">
        <v>16514</v>
      </c>
      <c r="X843" t="s">
        <v>16515</v>
      </c>
      <c r="Y843" t="s">
        <v>16516</v>
      </c>
      <c r="Z843" t="s">
        <v>16517</v>
      </c>
      <c r="AA843" t="s">
        <v>16518</v>
      </c>
      <c r="AB843" t="s">
        <v>16519</v>
      </c>
      <c r="AC843" t="s">
        <v>16520</v>
      </c>
      <c r="AD843" t="s">
        <v>16521</v>
      </c>
      <c r="AE843" t="s">
        <v>16522</v>
      </c>
      <c r="AF843" t="s">
        <v>74</v>
      </c>
      <c r="AG843">
        <v>63</v>
      </c>
      <c r="AH843">
        <v>7</v>
      </c>
      <c r="AI843">
        <v>8</v>
      </c>
      <c r="AJ843">
        <v>1</v>
      </c>
      <c r="AK843">
        <v>39</v>
      </c>
      <c r="AL843" t="s">
        <v>379</v>
      </c>
      <c r="AM843" t="s">
        <v>380</v>
      </c>
      <c r="AN843" t="s">
        <v>381</v>
      </c>
      <c r="AO843" t="s">
        <v>16523</v>
      </c>
      <c r="AP843" t="s">
        <v>16524</v>
      </c>
      <c r="AQ843" t="s">
        <v>74</v>
      </c>
      <c r="AR843" t="s">
        <v>16525</v>
      </c>
      <c r="AS843" t="s">
        <v>16526</v>
      </c>
      <c r="AT843" t="s">
        <v>16484</v>
      </c>
      <c r="AU843">
        <v>2019</v>
      </c>
      <c r="AV843">
        <v>213</v>
      </c>
      <c r="AW843" t="s">
        <v>74</v>
      </c>
      <c r="AX843" t="s">
        <v>74</v>
      </c>
      <c r="AY843" t="s">
        <v>74</v>
      </c>
      <c r="AZ843" t="s">
        <v>74</v>
      </c>
      <c r="BA843" t="s">
        <v>74</v>
      </c>
      <c r="BB843">
        <v>405</v>
      </c>
      <c r="BC843">
        <v>412</v>
      </c>
      <c r="BD843" t="s">
        <v>74</v>
      </c>
      <c r="BE843" t="s">
        <v>16527</v>
      </c>
      <c r="BF843" t="str">
        <f>HYPERLINK("http://dx.doi.org/10.1016/j.atmosenv.2019.06.031","http://dx.doi.org/10.1016/j.atmosenv.2019.06.031")</f>
        <v>http://dx.doi.org/10.1016/j.atmosenv.2019.06.031</v>
      </c>
      <c r="BG843" t="s">
        <v>74</v>
      </c>
      <c r="BH843" t="s">
        <v>74</v>
      </c>
      <c r="BI843">
        <v>8</v>
      </c>
      <c r="BJ843" t="s">
        <v>103</v>
      </c>
      <c r="BK843" t="s">
        <v>294</v>
      </c>
      <c r="BL843" t="s">
        <v>105</v>
      </c>
      <c r="BM843" t="s">
        <v>16528</v>
      </c>
      <c r="BN843" t="s">
        <v>74</v>
      </c>
      <c r="BO843" t="s">
        <v>559</v>
      </c>
      <c r="BP843" t="s">
        <v>74</v>
      </c>
      <c r="BQ843" t="s">
        <v>74</v>
      </c>
      <c r="BR843" t="s">
        <v>108</v>
      </c>
      <c r="BS843" t="s">
        <v>16529</v>
      </c>
      <c r="BT843" t="str">
        <f>HYPERLINK("https%3A%2F%2Fwww.webofscience.com%2Fwos%2Fwoscc%2Ffull-record%2FWOS:000484870900037","View Full Record in Web of Science")</f>
        <v>View Full Record in Web of Science</v>
      </c>
    </row>
    <row r="844" spans="1:72" x14ac:dyDescent="0.15">
      <c r="A844" t="s">
        <v>133</v>
      </c>
      <c r="B844" t="s">
        <v>16530</v>
      </c>
      <c r="C844" t="s">
        <v>74</v>
      </c>
      <c r="D844" t="s">
        <v>74</v>
      </c>
      <c r="E844" t="s">
        <v>74</v>
      </c>
      <c r="F844" t="s">
        <v>16531</v>
      </c>
      <c r="G844" t="s">
        <v>74</v>
      </c>
      <c r="H844" t="s">
        <v>74</v>
      </c>
      <c r="I844" t="s">
        <v>16532</v>
      </c>
      <c r="J844" t="s">
        <v>5052</v>
      </c>
      <c r="K844" t="s">
        <v>74</v>
      </c>
      <c r="L844" t="s">
        <v>74</v>
      </c>
      <c r="M844" t="s">
        <v>80</v>
      </c>
      <c r="N844" t="s">
        <v>138</v>
      </c>
      <c r="O844" t="s">
        <v>74</v>
      </c>
      <c r="P844" t="s">
        <v>74</v>
      </c>
      <c r="Q844" t="s">
        <v>74</v>
      </c>
      <c r="R844" t="s">
        <v>74</v>
      </c>
      <c r="S844" t="s">
        <v>74</v>
      </c>
      <c r="T844" t="s">
        <v>74</v>
      </c>
      <c r="U844" t="s">
        <v>16533</v>
      </c>
      <c r="V844" t="s">
        <v>16534</v>
      </c>
      <c r="W844" t="s">
        <v>16535</v>
      </c>
      <c r="X844" t="s">
        <v>16536</v>
      </c>
      <c r="Y844" t="s">
        <v>16537</v>
      </c>
      <c r="Z844" t="s">
        <v>16538</v>
      </c>
      <c r="AA844" t="s">
        <v>16539</v>
      </c>
      <c r="AB844" t="s">
        <v>16540</v>
      </c>
      <c r="AC844" t="s">
        <v>16541</v>
      </c>
      <c r="AD844" t="s">
        <v>16542</v>
      </c>
      <c r="AE844" t="s">
        <v>16543</v>
      </c>
      <c r="AF844" t="s">
        <v>74</v>
      </c>
      <c r="AG844">
        <v>69</v>
      </c>
      <c r="AH844">
        <v>2</v>
      </c>
      <c r="AI844">
        <v>2</v>
      </c>
      <c r="AJ844">
        <v>0</v>
      </c>
      <c r="AK844">
        <v>17</v>
      </c>
      <c r="AL844" t="s">
        <v>379</v>
      </c>
      <c r="AM844" t="s">
        <v>380</v>
      </c>
      <c r="AN844" t="s">
        <v>381</v>
      </c>
      <c r="AO844" t="s">
        <v>5065</v>
      </c>
      <c r="AP844" t="s">
        <v>5066</v>
      </c>
      <c r="AQ844" t="s">
        <v>74</v>
      </c>
      <c r="AR844" t="s">
        <v>5067</v>
      </c>
      <c r="AS844" t="s">
        <v>5068</v>
      </c>
      <c r="AT844" t="s">
        <v>16484</v>
      </c>
      <c r="AU844">
        <v>2019</v>
      </c>
      <c r="AV844">
        <v>191</v>
      </c>
      <c r="AW844" t="s">
        <v>74</v>
      </c>
      <c r="AX844" t="s">
        <v>74</v>
      </c>
      <c r="AY844" t="s">
        <v>74</v>
      </c>
      <c r="AZ844" t="s">
        <v>74</v>
      </c>
      <c r="BA844" t="s">
        <v>74</v>
      </c>
      <c r="BB844" t="s">
        <v>74</v>
      </c>
      <c r="BC844" t="s">
        <v>74</v>
      </c>
      <c r="BD844">
        <v>105054</v>
      </c>
      <c r="BE844" t="s">
        <v>16544</v>
      </c>
      <c r="BF844" t="str">
        <f>HYPERLINK("http://dx.doi.org/10.1016/j.jastp.2019.06.001","http://dx.doi.org/10.1016/j.jastp.2019.06.001")</f>
        <v>http://dx.doi.org/10.1016/j.jastp.2019.06.001</v>
      </c>
      <c r="BG844" t="s">
        <v>74</v>
      </c>
      <c r="BH844" t="s">
        <v>74</v>
      </c>
      <c r="BI844">
        <v>13</v>
      </c>
      <c r="BJ844" t="s">
        <v>5070</v>
      </c>
      <c r="BK844" t="s">
        <v>294</v>
      </c>
      <c r="BL844" t="s">
        <v>5070</v>
      </c>
      <c r="BM844" t="s">
        <v>16545</v>
      </c>
      <c r="BN844" t="s">
        <v>74</v>
      </c>
      <c r="BO844" t="s">
        <v>638</v>
      </c>
      <c r="BP844" t="s">
        <v>74</v>
      </c>
      <c r="BQ844" t="s">
        <v>74</v>
      </c>
      <c r="BR844" t="s">
        <v>108</v>
      </c>
      <c r="BS844" t="s">
        <v>16546</v>
      </c>
      <c r="BT844" t="str">
        <f>HYPERLINK("https%3A%2F%2Fwww.webofscience.com%2Fwos%2Fwoscc%2Ffull-record%2FWOS:000480376200002","View Full Record in Web of Science")</f>
        <v>View Full Record in Web of Science</v>
      </c>
    </row>
    <row r="845" spans="1:72" x14ac:dyDescent="0.15">
      <c r="A845" t="s">
        <v>133</v>
      </c>
      <c r="B845" t="s">
        <v>16547</v>
      </c>
      <c r="C845" t="s">
        <v>74</v>
      </c>
      <c r="D845" t="s">
        <v>74</v>
      </c>
      <c r="E845" t="s">
        <v>74</v>
      </c>
      <c r="F845" t="s">
        <v>16548</v>
      </c>
      <c r="G845" t="s">
        <v>74</v>
      </c>
      <c r="H845" t="s">
        <v>74</v>
      </c>
      <c r="I845" t="s">
        <v>16549</v>
      </c>
      <c r="J845" t="s">
        <v>5052</v>
      </c>
      <c r="K845" t="s">
        <v>74</v>
      </c>
      <c r="L845" t="s">
        <v>74</v>
      </c>
      <c r="M845" t="s">
        <v>80</v>
      </c>
      <c r="N845" t="s">
        <v>138</v>
      </c>
      <c r="O845" t="s">
        <v>74</v>
      </c>
      <c r="P845" t="s">
        <v>74</v>
      </c>
      <c r="Q845" t="s">
        <v>74</v>
      </c>
      <c r="R845" t="s">
        <v>74</v>
      </c>
      <c r="S845" t="s">
        <v>74</v>
      </c>
      <c r="T845" t="s">
        <v>16550</v>
      </c>
      <c r="U845" t="s">
        <v>16551</v>
      </c>
      <c r="V845" t="s">
        <v>16552</v>
      </c>
      <c r="W845" t="s">
        <v>16553</v>
      </c>
      <c r="X845" t="s">
        <v>16554</v>
      </c>
      <c r="Y845" t="s">
        <v>16555</v>
      </c>
      <c r="Z845" t="s">
        <v>16556</v>
      </c>
      <c r="AA845" t="s">
        <v>74</v>
      </c>
      <c r="AB845" t="s">
        <v>74</v>
      </c>
      <c r="AC845" t="s">
        <v>74</v>
      </c>
      <c r="AD845" t="s">
        <v>74</v>
      </c>
      <c r="AE845" t="s">
        <v>74</v>
      </c>
      <c r="AF845" t="s">
        <v>74</v>
      </c>
      <c r="AG845">
        <v>30</v>
      </c>
      <c r="AH845">
        <v>19</v>
      </c>
      <c r="AI845">
        <v>19</v>
      </c>
      <c r="AJ845">
        <v>1</v>
      </c>
      <c r="AK845">
        <v>44</v>
      </c>
      <c r="AL845" t="s">
        <v>379</v>
      </c>
      <c r="AM845" t="s">
        <v>380</v>
      </c>
      <c r="AN845" t="s">
        <v>381</v>
      </c>
      <c r="AO845" t="s">
        <v>5065</v>
      </c>
      <c r="AP845" t="s">
        <v>5066</v>
      </c>
      <c r="AQ845" t="s">
        <v>74</v>
      </c>
      <c r="AR845" t="s">
        <v>5067</v>
      </c>
      <c r="AS845" t="s">
        <v>5068</v>
      </c>
      <c r="AT845" t="s">
        <v>16484</v>
      </c>
      <c r="AU845">
        <v>2019</v>
      </c>
      <c r="AV845">
        <v>191</v>
      </c>
      <c r="AW845" t="s">
        <v>74</v>
      </c>
      <c r="AX845" t="s">
        <v>74</v>
      </c>
      <c r="AY845" t="s">
        <v>74</v>
      </c>
      <c r="AZ845" t="s">
        <v>74</v>
      </c>
      <c r="BA845" t="s">
        <v>74</v>
      </c>
      <c r="BB845" t="s">
        <v>74</v>
      </c>
      <c r="BC845" t="s">
        <v>74</v>
      </c>
      <c r="BD845">
        <v>105059</v>
      </c>
      <c r="BE845" t="s">
        <v>16557</v>
      </c>
      <c r="BF845" t="str">
        <f>HYPERLINK("http://dx.doi.org/10.1016/j.jastp.2019.105059","http://dx.doi.org/10.1016/j.jastp.2019.105059")</f>
        <v>http://dx.doi.org/10.1016/j.jastp.2019.105059</v>
      </c>
      <c r="BG845" t="s">
        <v>74</v>
      </c>
      <c r="BH845" t="s">
        <v>74</v>
      </c>
      <c r="BI845">
        <v>9</v>
      </c>
      <c r="BJ845" t="s">
        <v>5070</v>
      </c>
      <c r="BK845" t="s">
        <v>294</v>
      </c>
      <c r="BL845" t="s">
        <v>5070</v>
      </c>
      <c r="BM845" t="s">
        <v>16545</v>
      </c>
      <c r="BN845" t="s">
        <v>74</v>
      </c>
      <c r="BO845" t="s">
        <v>74</v>
      </c>
      <c r="BP845" t="s">
        <v>74</v>
      </c>
      <c r="BQ845" t="s">
        <v>74</v>
      </c>
      <c r="BR845" t="s">
        <v>108</v>
      </c>
      <c r="BS845" t="s">
        <v>16558</v>
      </c>
      <c r="BT845" t="str">
        <f>HYPERLINK("https%3A%2F%2Fwww.webofscience.com%2Fwos%2Fwoscc%2Ffull-record%2FWOS:000480376200010","View Full Record in Web of Science")</f>
        <v>View Full Record in Web of Science</v>
      </c>
    </row>
    <row r="846" spans="1:72" x14ac:dyDescent="0.15">
      <c r="A846" t="s">
        <v>133</v>
      </c>
      <c r="B846" t="s">
        <v>16559</v>
      </c>
      <c r="C846" t="s">
        <v>74</v>
      </c>
      <c r="D846" t="s">
        <v>74</v>
      </c>
      <c r="E846" t="s">
        <v>74</v>
      </c>
      <c r="F846" t="s">
        <v>16560</v>
      </c>
      <c r="G846" t="s">
        <v>74</v>
      </c>
      <c r="H846" t="s">
        <v>74</v>
      </c>
      <c r="I846" t="s">
        <v>16561</v>
      </c>
      <c r="J846" t="s">
        <v>6129</v>
      </c>
      <c r="K846" t="s">
        <v>74</v>
      </c>
      <c r="L846" t="s">
        <v>74</v>
      </c>
      <c r="M846" t="s">
        <v>80</v>
      </c>
      <c r="N846" t="s">
        <v>138</v>
      </c>
      <c r="O846" t="s">
        <v>74</v>
      </c>
      <c r="P846" t="s">
        <v>74</v>
      </c>
      <c r="Q846" t="s">
        <v>74</v>
      </c>
      <c r="R846" t="s">
        <v>74</v>
      </c>
      <c r="S846" t="s">
        <v>74</v>
      </c>
      <c r="T846" t="s">
        <v>16562</v>
      </c>
      <c r="U846" t="s">
        <v>16563</v>
      </c>
      <c r="V846" t="s">
        <v>16564</v>
      </c>
      <c r="W846" t="s">
        <v>16565</v>
      </c>
      <c r="X846" t="s">
        <v>8098</v>
      </c>
      <c r="Y846" t="s">
        <v>16566</v>
      </c>
      <c r="Z846" t="s">
        <v>8100</v>
      </c>
      <c r="AA846" t="s">
        <v>16567</v>
      </c>
      <c r="AB846" t="s">
        <v>16568</v>
      </c>
      <c r="AC846" t="s">
        <v>16569</v>
      </c>
      <c r="AD846" t="s">
        <v>16570</v>
      </c>
      <c r="AE846" t="s">
        <v>16571</v>
      </c>
      <c r="AF846" t="s">
        <v>74</v>
      </c>
      <c r="AG846">
        <v>54</v>
      </c>
      <c r="AH846">
        <v>15</v>
      </c>
      <c r="AI846">
        <v>16</v>
      </c>
      <c r="AJ846">
        <v>0</v>
      </c>
      <c r="AK846">
        <v>28</v>
      </c>
      <c r="AL846" t="s">
        <v>284</v>
      </c>
      <c r="AM846" t="s">
        <v>285</v>
      </c>
      <c r="AN846" t="s">
        <v>286</v>
      </c>
      <c r="AO846" t="s">
        <v>6142</v>
      </c>
      <c r="AP846" t="s">
        <v>6143</v>
      </c>
      <c r="AQ846" t="s">
        <v>74</v>
      </c>
      <c r="AR846" t="s">
        <v>6144</v>
      </c>
      <c r="AS846" t="s">
        <v>6145</v>
      </c>
      <c r="AT846" t="s">
        <v>16484</v>
      </c>
      <c r="AU846">
        <v>2019</v>
      </c>
      <c r="AV846">
        <v>522</v>
      </c>
      <c r="AW846" t="s">
        <v>74</v>
      </c>
      <c r="AX846" t="s">
        <v>74</v>
      </c>
      <c r="AY846" t="s">
        <v>74</v>
      </c>
      <c r="AZ846" t="s">
        <v>74</v>
      </c>
      <c r="BA846" t="s">
        <v>74</v>
      </c>
      <c r="BB846">
        <v>219</v>
      </c>
      <c r="BC846">
        <v>233</v>
      </c>
      <c r="BD846" t="s">
        <v>74</v>
      </c>
      <c r="BE846" t="s">
        <v>16572</v>
      </c>
      <c r="BF846" t="str">
        <f>HYPERLINK("http://dx.doi.org/10.1016/j.epsl.2019.06.024","http://dx.doi.org/10.1016/j.epsl.2019.06.024")</f>
        <v>http://dx.doi.org/10.1016/j.epsl.2019.06.024</v>
      </c>
      <c r="BG846" t="s">
        <v>74</v>
      </c>
      <c r="BH846" t="s">
        <v>74</v>
      </c>
      <c r="BI846">
        <v>15</v>
      </c>
      <c r="BJ846" t="s">
        <v>1067</v>
      </c>
      <c r="BK846" t="s">
        <v>294</v>
      </c>
      <c r="BL846" t="s">
        <v>1067</v>
      </c>
      <c r="BM846" t="s">
        <v>16573</v>
      </c>
      <c r="BN846" t="s">
        <v>74</v>
      </c>
      <c r="BO846" t="s">
        <v>5002</v>
      </c>
      <c r="BP846" t="s">
        <v>74</v>
      </c>
      <c r="BQ846" t="s">
        <v>74</v>
      </c>
      <c r="BR846" t="s">
        <v>108</v>
      </c>
      <c r="BS846" t="s">
        <v>16574</v>
      </c>
      <c r="BT846" t="str">
        <f>HYPERLINK("https%3A%2F%2Fwww.webofscience.com%2Fwos%2Fwoscc%2Ffull-record%2FWOS:000478708900023","View Full Record in Web of Science")</f>
        <v>View Full Record in Web of Science</v>
      </c>
    </row>
    <row r="847" spans="1:72" x14ac:dyDescent="0.15">
      <c r="A847" t="s">
        <v>133</v>
      </c>
      <c r="B847" t="s">
        <v>16575</v>
      </c>
      <c r="C847" t="s">
        <v>74</v>
      </c>
      <c r="D847" t="s">
        <v>74</v>
      </c>
      <c r="E847" t="s">
        <v>74</v>
      </c>
      <c r="F847" t="s">
        <v>16576</v>
      </c>
      <c r="G847" t="s">
        <v>74</v>
      </c>
      <c r="H847" t="s">
        <v>74</v>
      </c>
      <c r="I847" t="s">
        <v>16577</v>
      </c>
      <c r="J847" t="s">
        <v>15591</v>
      </c>
      <c r="K847" t="s">
        <v>74</v>
      </c>
      <c r="L847" t="s">
        <v>74</v>
      </c>
      <c r="M847" t="s">
        <v>80</v>
      </c>
      <c r="N847" t="s">
        <v>138</v>
      </c>
      <c r="O847" t="s">
        <v>74</v>
      </c>
      <c r="P847" t="s">
        <v>74</v>
      </c>
      <c r="Q847" t="s">
        <v>74</v>
      </c>
      <c r="R847" t="s">
        <v>74</v>
      </c>
      <c r="S847" t="s">
        <v>74</v>
      </c>
      <c r="T847" t="s">
        <v>16578</v>
      </c>
      <c r="U847" t="s">
        <v>16579</v>
      </c>
      <c r="V847" t="s">
        <v>16580</v>
      </c>
      <c r="W847" t="s">
        <v>16581</v>
      </c>
      <c r="X847" t="s">
        <v>16582</v>
      </c>
      <c r="Y847" t="s">
        <v>16583</v>
      </c>
      <c r="Z847" t="s">
        <v>16584</v>
      </c>
      <c r="AA847" t="s">
        <v>16585</v>
      </c>
      <c r="AB847" t="s">
        <v>16586</v>
      </c>
      <c r="AC847" t="s">
        <v>16587</v>
      </c>
      <c r="AD847" t="s">
        <v>16588</v>
      </c>
      <c r="AE847" t="s">
        <v>16589</v>
      </c>
      <c r="AF847" t="s">
        <v>74</v>
      </c>
      <c r="AG847">
        <v>26</v>
      </c>
      <c r="AH847">
        <v>9</v>
      </c>
      <c r="AI847">
        <v>10</v>
      </c>
      <c r="AJ847">
        <v>0</v>
      </c>
      <c r="AK847">
        <v>14</v>
      </c>
      <c r="AL847" t="s">
        <v>284</v>
      </c>
      <c r="AM847" t="s">
        <v>285</v>
      </c>
      <c r="AN847" t="s">
        <v>286</v>
      </c>
      <c r="AO847" t="s">
        <v>15600</v>
      </c>
      <c r="AP847" t="s">
        <v>15601</v>
      </c>
      <c r="AQ847" t="s">
        <v>74</v>
      </c>
      <c r="AR847" t="s">
        <v>15602</v>
      </c>
      <c r="AS847" t="s">
        <v>15603</v>
      </c>
      <c r="AT847" t="s">
        <v>16484</v>
      </c>
      <c r="AU847">
        <v>2019</v>
      </c>
      <c r="AV847">
        <v>455</v>
      </c>
      <c r="AW847" t="s">
        <v>74</v>
      </c>
      <c r="AX847" t="s">
        <v>74</v>
      </c>
      <c r="AY847" t="s">
        <v>74</v>
      </c>
      <c r="AZ847" t="s">
        <v>74</v>
      </c>
      <c r="BA847" t="s">
        <v>74</v>
      </c>
      <c r="BB847">
        <v>260</v>
      </c>
      <c r="BC847">
        <v>264</v>
      </c>
      <c r="BD847" t="s">
        <v>74</v>
      </c>
      <c r="BE847" t="s">
        <v>16590</v>
      </c>
      <c r="BF847" t="str">
        <f>HYPERLINK("http://dx.doi.org/10.1016/j.nimb.2019.01.026","http://dx.doi.org/10.1016/j.nimb.2019.01.026")</f>
        <v>http://dx.doi.org/10.1016/j.nimb.2019.01.026</v>
      </c>
      <c r="BG847" t="s">
        <v>74</v>
      </c>
      <c r="BH847" t="s">
        <v>74</v>
      </c>
      <c r="BI847">
        <v>5</v>
      </c>
      <c r="BJ847" t="s">
        <v>15605</v>
      </c>
      <c r="BK847" t="s">
        <v>294</v>
      </c>
      <c r="BL847" t="s">
        <v>15606</v>
      </c>
      <c r="BM847" t="s">
        <v>16591</v>
      </c>
      <c r="BN847" t="s">
        <v>74</v>
      </c>
      <c r="BO847" t="s">
        <v>74</v>
      </c>
      <c r="BP847" t="s">
        <v>74</v>
      </c>
      <c r="BQ847" t="s">
        <v>74</v>
      </c>
      <c r="BR847" t="s">
        <v>108</v>
      </c>
      <c r="BS847" t="s">
        <v>16592</v>
      </c>
      <c r="BT847" t="str">
        <f>HYPERLINK("https%3A%2F%2Fwww.webofscience.com%2Fwos%2Fwoscc%2Ffull-record%2FWOS:000477786500042","View Full Record in Web of Science")</f>
        <v>View Full Record in Web of Science</v>
      </c>
    </row>
    <row r="848" spans="1:72" x14ac:dyDescent="0.15">
      <c r="A848" t="s">
        <v>133</v>
      </c>
      <c r="B848" t="s">
        <v>16593</v>
      </c>
      <c r="C848" t="s">
        <v>74</v>
      </c>
      <c r="D848" t="s">
        <v>74</v>
      </c>
      <c r="E848" t="s">
        <v>74</v>
      </c>
      <c r="F848" t="s">
        <v>16594</v>
      </c>
      <c r="G848" t="s">
        <v>74</v>
      </c>
      <c r="H848" t="s">
        <v>74</v>
      </c>
      <c r="I848" t="s">
        <v>16595</v>
      </c>
      <c r="J848" t="s">
        <v>1073</v>
      </c>
      <c r="K848" t="s">
        <v>74</v>
      </c>
      <c r="L848" t="s">
        <v>74</v>
      </c>
      <c r="M848" t="s">
        <v>80</v>
      </c>
      <c r="N848" t="s">
        <v>138</v>
      </c>
      <c r="O848" t="s">
        <v>74</v>
      </c>
      <c r="P848" t="s">
        <v>74</v>
      </c>
      <c r="Q848" t="s">
        <v>74</v>
      </c>
      <c r="R848" t="s">
        <v>74</v>
      </c>
      <c r="S848" t="s">
        <v>74</v>
      </c>
      <c r="T848" t="s">
        <v>16596</v>
      </c>
      <c r="U848" t="s">
        <v>16597</v>
      </c>
      <c r="V848" t="s">
        <v>16598</v>
      </c>
      <c r="W848" t="s">
        <v>16599</v>
      </c>
      <c r="X848" t="s">
        <v>16600</v>
      </c>
      <c r="Y848" t="s">
        <v>16601</v>
      </c>
      <c r="Z848" t="s">
        <v>16602</v>
      </c>
      <c r="AA848" t="s">
        <v>16603</v>
      </c>
      <c r="AB848" t="s">
        <v>16604</v>
      </c>
      <c r="AC848" t="s">
        <v>16605</v>
      </c>
      <c r="AD848" t="s">
        <v>16606</v>
      </c>
      <c r="AE848" t="s">
        <v>16607</v>
      </c>
      <c r="AF848" t="s">
        <v>74</v>
      </c>
      <c r="AG848">
        <v>51</v>
      </c>
      <c r="AH848">
        <v>35</v>
      </c>
      <c r="AI848">
        <v>39</v>
      </c>
      <c r="AJ848">
        <v>7</v>
      </c>
      <c r="AK848">
        <v>40</v>
      </c>
      <c r="AL848" t="s">
        <v>284</v>
      </c>
      <c r="AM848" t="s">
        <v>285</v>
      </c>
      <c r="AN848" t="s">
        <v>286</v>
      </c>
      <c r="AO848" t="s">
        <v>1086</v>
      </c>
      <c r="AP848" t="s">
        <v>1087</v>
      </c>
      <c r="AQ848" t="s">
        <v>74</v>
      </c>
      <c r="AR848" t="s">
        <v>1088</v>
      </c>
      <c r="AS848" t="s">
        <v>1089</v>
      </c>
      <c r="AT848" t="s">
        <v>16484</v>
      </c>
      <c r="AU848">
        <v>2019</v>
      </c>
      <c r="AV848">
        <v>683</v>
      </c>
      <c r="AW848" t="s">
        <v>74</v>
      </c>
      <c r="AX848" t="s">
        <v>74</v>
      </c>
      <c r="AY848" t="s">
        <v>74</v>
      </c>
      <c r="AZ848" t="s">
        <v>74</v>
      </c>
      <c r="BA848" t="s">
        <v>74</v>
      </c>
      <c r="BB848">
        <v>617</v>
      </c>
      <c r="BC848">
        <v>623</v>
      </c>
      <c r="BD848" t="s">
        <v>74</v>
      </c>
      <c r="BE848" t="s">
        <v>16608</v>
      </c>
      <c r="BF848" t="str">
        <f>HYPERLINK("http://dx.doi.org/10.1016/j.scitotenv.2019.05.268","http://dx.doi.org/10.1016/j.scitotenv.2019.05.268")</f>
        <v>http://dx.doi.org/10.1016/j.scitotenv.2019.05.268</v>
      </c>
      <c r="BG848" t="s">
        <v>74</v>
      </c>
      <c r="BH848" t="s">
        <v>74</v>
      </c>
      <c r="BI848">
        <v>7</v>
      </c>
      <c r="BJ848" t="s">
        <v>387</v>
      </c>
      <c r="BK848" t="s">
        <v>360</v>
      </c>
      <c r="BL848" t="s">
        <v>388</v>
      </c>
      <c r="BM848" t="s">
        <v>16609</v>
      </c>
      <c r="BN848">
        <v>31150882</v>
      </c>
      <c r="BO848" t="s">
        <v>2403</v>
      </c>
      <c r="BP848" t="s">
        <v>74</v>
      </c>
      <c r="BQ848" t="s">
        <v>74</v>
      </c>
      <c r="BR848" t="s">
        <v>108</v>
      </c>
      <c r="BS848" t="s">
        <v>16610</v>
      </c>
      <c r="BT848" t="str">
        <f>HYPERLINK("https%3A%2F%2Fwww.webofscience.com%2Fwos%2Fwoscc%2Ffull-record%2FWOS:000471657600063","View Full Record in Web of Science")</f>
        <v>View Full Record in Web of Science</v>
      </c>
    </row>
    <row r="849" spans="1:72" x14ac:dyDescent="0.15">
      <c r="A849" t="s">
        <v>133</v>
      </c>
      <c r="B849" t="s">
        <v>16611</v>
      </c>
      <c r="C849" t="s">
        <v>74</v>
      </c>
      <c r="D849" t="s">
        <v>74</v>
      </c>
      <c r="E849" t="s">
        <v>74</v>
      </c>
      <c r="F849" t="s">
        <v>16612</v>
      </c>
      <c r="G849" t="s">
        <v>74</v>
      </c>
      <c r="H849" t="s">
        <v>74</v>
      </c>
      <c r="I849" t="s">
        <v>16613</v>
      </c>
      <c r="J849" t="s">
        <v>15749</v>
      </c>
      <c r="K849" t="s">
        <v>74</v>
      </c>
      <c r="L849" t="s">
        <v>74</v>
      </c>
      <c r="M849" t="s">
        <v>80</v>
      </c>
      <c r="N849" t="s">
        <v>138</v>
      </c>
      <c r="O849" t="s">
        <v>74</v>
      </c>
      <c r="P849" t="s">
        <v>74</v>
      </c>
      <c r="Q849" t="s">
        <v>74</v>
      </c>
      <c r="R849" t="s">
        <v>74</v>
      </c>
      <c r="S849" t="s">
        <v>74</v>
      </c>
      <c r="T849" t="s">
        <v>16614</v>
      </c>
      <c r="U849" t="s">
        <v>16615</v>
      </c>
      <c r="V849" t="s">
        <v>16616</v>
      </c>
      <c r="W849" t="s">
        <v>16617</v>
      </c>
      <c r="X849" t="s">
        <v>16618</v>
      </c>
      <c r="Y849" t="s">
        <v>13278</v>
      </c>
      <c r="Z849" t="s">
        <v>16619</v>
      </c>
      <c r="AA849" t="s">
        <v>16620</v>
      </c>
      <c r="AB849" t="s">
        <v>16621</v>
      </c>
      <c r="AC849" t="s">
        <v>16622</v>
      </c>
      <c r="AD849" t="s">
        <v>13283</v>
      </c>
      <c r="AE849" t="s">
        <v>16623</v>
      </c>
      <c r="AF849" t="s">
        <v>74</v>
      </c>
      <c r="AG849">
        <v>42</v>
      </c>
      <c r="AH849">
        <v>31</v>
      </c>
      <c r="AI849">
        <v>35</v>
      </c>
      <c r="AJ849">
        <v>3</v>
      </c>
      <c r="AK849">
        <v>71</v>
      </c>
      <c r="AL849" t="s">
        <v>5898</v>
      </c>
      <c r="AM849" t="s">
        <v>1965</v>
      </c>
      <c r="AN849" t="s">
        <v>5899</v>
      </c>
      <c r="AO849" t="s">
        <v>15756</v>
      </c>
      <c r="AP849" t="s">
        <v>15757</v>
      </c>
      <c r="AQ849" t="s">
        <v>74</v>
      </c>
      <c r="AR849" t="s">
        <v>15758</v>
      </c>
      <c r="AS849" t="s">
        <v>15759</v>
      </c>
      <c r="AT849" t="s">
        <v>16484</v>
      </c>
      <c r="AU849">
        <v>2019</v>
      </c>
      <c r="AV849">
        <v>226</v>
      </c>
      <c r="AW849" t="s">
        <v>74</v>
      </c>
      <c r="AX849" t="s">
        <v>74</v>
      </c>
      <c r="AY849" t="s">
        <v>74</v>
      </c>
      <c r="AZ849" t="s">
        <v>74</v>
      </c>
      <c r="BA849" t="s">
        <v>74</v>
      </c>
      <c r="BB849">
        <v>181</v>
      </c>
      <c r="BC849">
        <v>191</v>
      </c>
      <c r="BD849" t="s">
        <v>74</v>
      </c>
      <c r="BE849" t="s">
        <v>16624</v>
      </c>
      <c r="BF849" t="str">
        <f>HYPERLINK("http://dx.doi.org/10.1016/j.atmosres.2019.04.029","http://dx.doi.org/10.1016/j.atmosres.2019.04.029")</f>
        <v>http://dx.doi.org/10.1016/j.atmosres.2019.04.029</v>
      </c>
      <c r="BG849" t="s">
        <v>74</v>
      </c>
      <c r="BH849" t="s">
        <v>74</v>
      </c>
      <c r="BI849">
        <v>11</v>
      </c>
      <c r="BJ849" t="s">
        <v>1024</v>
      </c>
      <c r="BK849" t="s">
        <v>294</v>
      </c>
      <c r="BL849" t="s">
        <v>1024</v>
      </c>
      <c r="BM849" t="s">
        <v>16625</v>
      </c>
      <c r="BN849" t="s">
        <v>74</v>
      </c>
      <c r="BO849" t="s">
        <v>559</v>
      </c>
      <c r="BP849" t="s">
        <v>74</v>
      </c>
      <c r="BQ849" t="s">
        <v>74</v>
      </c>
      <c r="BR849" t="s">
        <v>108</v>
      </c>
      <c r="BS849" t="s">
        <v>16626</v>
      </c>
      <c r="BT849" t="str">
        <f>HYPERLINK("https%3A%2F%2Fwww.webofscience.com%2Fwos%2Fwoscc%2Ffull-record%2FWOS:000469904100014","View Full Record in Web of Science")</f>
        <v>View Full Record in Web of Science</v>
      </c>
    </row>
    <row r="850" spans="1:72" x14ac:dyDescent="0.15">
      <c r="A850" t="s">
        <v>133</v>
      </c>
      <c r="B850" t="s">
        <v>16627</v>
      </c>
      <c r="C850" t="s">
        <v>74</v>
      </c>
      <c r="D850" t="s">
        <v>74</v>
      </c>
      <c r="E850" t="s">
        <v>74</v>
      </c>
      <c r="F850" t="s">
        <v>16628</v>
      </c>
      <c r="G850" t="s">
        <v>74</v>
      </c>
      <c r="H850" t="s">
        <v>74</v>
      </c>
      <c r="I850" t="s">
        <v>16629</v>
      </c>
      <c r="J850" t="s">
        <v>16218</v>
      </c>
      <c r="K850" t="s">
        <v>74</v>
      </c>
      <c r="L850" t="s">
        <v>74</v>
      </c>
      <c r="M850" t="s">
        <v>80</v>
      </c>
      <c r="N850" t="s">
        <v>930</v>
      </c>
      <c r="O850" t="s">
        <v>74</v>
      </c>
      <c r="P850" t="s">
        <v>74</v>
      </c>
      <c r="Q850" t="s">
        <v>74</v>
      </c>
      <c r="R850" t="s">
        <v>74</v>
      </c>
      <c r="S850" t="s">
        <v>74</v>
      </c>
      <c r="T850" t="s">
        <v>16630</v>
      </c>
      <c r="U850" t="s">
        <v>16631</v>
      </c>
      <c r="V850" t="s">
        <v>16632</v>
      </c>
      <c r="W850" t="s">
        <v>16633</v>
      </c>
      <c r="X850" t="s">
        <v>16634</v>
      </c>
      <c r="Y850" t="s">
        <v>16635</v>
      </c>
      <c r="Z850" t="s">
        <v>16636</v>
      </c>
      <c r="AA850" t="s">
        <v>16637</v>
      </c>
      <c r="AB850" t="s">
        <v>16638</v>
      </c>
      <c r="AC850" t="s">
        <v>16639</v>
      </c>
      <c r="AD850" t="s">
        <v>16640</v>
      </c>
      <c r="AE850" t="s">
        <v>16641</v>
      </c>
      <c r="AF850" t="s">
        <v>74</v>
      </c>
      <c r="AG850">
        <v>102</v>
      </c>
      <c r="AH850">
        <v>24</v>
      </c>
      <c r="AI850">
        <v>27</v>
      </c>
      <c r="AJ850">
        <v>1</v>
      </c>
      <c r="AK850">
        <v>18</v>
      </c>
      <c r="AL850" t="s">
        <v>16229</v>
      </c>
      <c r="AM850" t="s">
        <v>1730</v>
      </c>
      <c r="AN850" t="s">
        <v>16230</v>
      </c>
      <c r="AO850" t="s">
        <v>16231</v>
      </c>
      <c r="AP850" t="s">
        <v>16232</v>
      </c>
      <c r="AQ850" t="s">
        <v>74</v>
      </c>
      <c r="AR850" t="s">
        <v>16218</v>
      </c>
      <c r="AS850" t="s">
        <v>16233</v>
      </c>
      <c r="AT850" t="s">
        <v>1405</v>
      </c>
      <c r="AU850">
        <v>2020</v>
      </c>
      <c r="AV850">
        <v>30</v>
      </c>
      <c r="AW850">
        <v>4</v>
      </c>
      <c r="AX850" t="s">
        <v>74</v>
      </c>
      <c r="AY850" t="s">
        <v>74</v>
      </c>
      <c r="AZ850" t="s">
        <v>555</v>
      </c>
      <c r="BA850" t="s">
        <v>74</v>
      </c>
      <c r="BB850">
        <v>546</v>
      </c>
      <c r="BC850">
        <v>558</v>
      </c>
      <c r="BD850">
        <v>959683619875188</v>
      </c>
      <c r="BE850" t="s">
        <v>16642</v>
      </c>
      <c r="BF850" t="str">
        <f>HYPERLINK("http://dx.doi.org/10.1177/0959683619875188","http://dx.doi.org/10.1177/0959683619875188")</f>
        <v>http://dx.doi.org/10.1177/0959683619875188</v>
      </c>
      <c r="BG850" t="s">
        <v>74</v>
      </c>
      <c r="BH850" t="s">
        <v>16167</v>
      </c>
      <c r="BI850">
        <v>13</v>
      </c>
      <c r="BJ850" t="s">
        <v>462</v>
      </c>
      <c r="BK850" t="s">
        <v>294</v>
      </c>
      <c r="BL850" t="s">
        <v>463</v>
      </c>
      <c r="BM850" t="s">
        <v>16643</v>
      </c>
      <c r="BN850" t="s">
        <v>74</v>
      </c>
      <c r="BO850" t="s">
        <v>666</v>
      </c>
      <c r="BP850" t="s">
        <v>74</v>
      </c>
      <c r="BQ850" t="s">
        <v>74</v>
      </c>
      <c r="BR850" t="s">
        <v>108</v>
      </c>
      <c r="BS850" t="s">
        <v>16644</v>
      </c>
      <c r="BT850" t="str">
        <f>HYPERLINK("https%3A%2F%2Fwww.webofscience.com%2Fwos%2Fwoscc%2Ffull-record%2FWOS:000491718500001","View Full Record in Web of Science")</f>
        <v>View Full Record in Web of Science</v>
      </c>
    </row>
    <row r="851" spans="1:72" x14ac:dyDescent="0.15">
      <c r="A851" t="s">
        <v>133</v>
      </c>
      <c r="B851" t="s">
        <v>16645</v>
      </c>
      <c r="C851" t="s">
        <v>74</v>
      </c>
      <c r="D851" t="s">
        <v>74</v>
      </c>
      <c r="E851" t="s">
        <v>74</v>
      </c>
      <c r="F851" t="s">
        <v>16646</v>
      </c>
      <c r="G851" t="s">
        <v>74</v>
      </c>
      <c r="H851" t="s">
        <v>74</v>
      </c>
      <c r="I851" t="s">
        <v>16647</v>
      </c>
      <c r="J851" t="s">
        <v>16648</v>
      </c>
      <c r="K851" t="s">
        <v>74</v>
      </c>
      <c r="L851" t="s">
        <v>74</v>
      </c>
      <c r="M851" t="s">
        <v>80</v>
      </c>
      <c r="N851" t="s">
        <v>138</v>
      </c>
      <c r="O851" t="s">
        <v>74</v>
      </c>
      <c r="P851" t="s">
        <v>74</v>
      </c>
      <c r="Q851" t="s">
        <v>74</v>
      </c>
      <c r="R851" t="s">
        <v>74</v>
      </c>
      <c r="S851" t="s">
        <v>74</v>
      </c>
      <c r="T851" t="s">
        <v>16649</v>
      </c>
      <c r="U851" t="s">
        <v>16650</v>
      </c>
      <c r="V851" t="s">
        <v>16651</v>
      </c>
      <c r="W851" t="s">
        <v>16652</v>
      </c>
      <c r="X851" t="s">
        <v>16653</v>
      </c>
      <c r="Y851" t="s">
        <v>16654</v>
      </c>
      <c r="Z851" t="s">
        <v>16655</v>
      </c>
      <c r="AA851" t="s">
        <v>16656</v>
      </c>
      <c r="AB851" t="s">
        <v>16657</v>
      </c>
      <c r="AC851" t="s">
        <v>16658</v>
      </c>
      <c r="AD851" t="s">
        <v>16658</v>
      </c>
      <c r="AE851" t="s">
        <v>16659</v>
      </c>
      <c r="AF851" t="s">
        <v>74</v>
      </c>
      <c r="AG851">
        <v>35</v>
      </c>
      <c r="AH851">
        <v>1</v>
      </c>
      <c r="AI851">
        <v>1</v>
      </c>
      <c r="AJ851">
        <v>0</v>
      </c>
      <c r="AK851">
        <v>1</v>
      </c>
      <c r="AL851" t="s">
        <v>16660</v>
      </c>
      <c r="AM851" t="s">
        <v>5754</v>
      </c>
      <c r="AN851" t="s">
        <v>16661</v>
      </c>
      <c r="AO851" t="s">
        <v>16662</v>
      </c>
      <c r="AP851" t="s">
        <v>16663</v>
      </c>
      <c r="AQ851" t="s">
        <v>74</v>
      </c>
      <c r="AR851" t="s">
        <v>16664</v>
      </c>
      <c r="AS851" t="s">
        <v>16665</v>
      </c>
      <c r="AT851" t="s">
        <v>16666</v>
      </c>
      <c r="AU851">
        <v>2020</v>
      </c>
      <c r="AV851">
        <v>120</v>
      </c>
      <c r="AW851">
        <v>2</v>
      </c>
      <c r="AX851" t="s">
        <v>74</v>
      </c>
      <c r="AY851" t="s">
        <v>74</v>
      </c>
      <c r="AZ851" t="s">
        <v>74</v>
      </c>
      <c r="BA851" t="s">
        <v>74</v>
      </c>
      <c r="BB851">
        <v>150</v>
      </c>
      <c r="BC851">
        <v>155</v>
      </c>
      <c r="BD851" t="s">
        <v>74</v>
      </c>
      <c r="BE851" t="s">
        <v>16667</v>
      </c>
      <c r="BF851" t="str">
        <f>HYPERLINK("http://dx.doi.org/10.1080/01584197.2019.1663125","http://dx.doi.org/10.1080/01584197.2019.1663125")</f>
        <v>http://dx.doi.org/10.1080/01584197.2019.1663125</v>
      </c>
      <c r="BG851" t="s">
        <v>74</v>
      </c>
      <c r="BH851" t="s">
        <v>16167</v>
      </c>
      <c r="BI851">
        <v>6</v>
      </c>
      <c r="BJ851" t="s">
        <v>3568</v>
      </c>
      <c r="BK851" t="s">
        <v>294</v>
      </c>
      <c r="BL851" t="s">
        <v>1219</v>
      </c>
      <c r="BM851" t="s">
        <v>16668</v>
      </c>
      <c r="BN851" t="s">
        <v>74</v>
      </c>
      <c r="BO851" t="s">
        <v>74</v>
      </c>
      <c r="BP851" t="s">
        <v>74</v>
      </c>
      <c r="BQ851" t="s">
        <v>74</v>
      </c>
      <c r="BR851" t="s">
        <v>108</v>
      </c>
      <c r="BS851" t="s">
        <v>16669</v>
      </c>
      <c r="BT851" t="str">
        <f>HYPERLINK("https%3A%2F%2Fwww.webofscience.com%2Fwos%2Fwoscc%2Ffull-record%2FWOS:000486268300001","View Full Record in Web of Science")</f>
        <v>View Full Record in Web of Science</v>
      </c>
    </row>
    <row r="852" spans="1:72" x14ac:dyDescent="0.15">
      <c r="A852" t="s">
        <v>133</v>
      </c>
      <c r="B852" t="s">
        <v>16670</v>
      </c>
      <c r="C852" t="s">
        <v>74</v>
      </c>
      <c r="D852" t="s">
        <v>74</v>
      </c>
      <c r="E852" t="s">
        <v>74</v>
      </c>
      <c r="F852" t="s">
        <v>16671</v>
      </c>
      <c r="G852" t="s">
        <v>74</v>
      </c>
      <c r="H852" t="s">
        <v>74</v>
      </c>
      <c r="I852" t="s">
        <v>16672</v>
      </c>
      <c r="J852" t="s">
        <v>6855</v>
      </c>
      <c r="K852" t="s">
        <v>74</v>
      </c>
      <c r="L852" t="s">
        <v>74</v>
      </c>
      <c r="M852" t="s">
        <v>80</v>
      </c>
      <c r="N852" t="s">
        <v>138</v>
      </c>
      <c r="O852" t="s">
        <v>74</v>
      </c>
      <c r="P852" t="s">
        <v>74</v>
      </c>
      <c r="Q852" t="s">
        <v>74</v>
      </c>
      <c r="R852" t="s">
        <v>74</v>
      </c>
      <c r="S852" t="s">
        <v>74</v>
      </c>
      <c r="T852" t="s">
        <v>16673</v>
      </c>
      <c r="U852" t="s">
        <v>16674</v>
      </c>
      <c r="V852" t="s">
        <v>16675</v>
      </c>
      <c r="W852" t="s">
        <v>16676</v>
      </c>
      <c r="X852" t="s">
        <v>16677</v>
      </c>
      <c r="Y852" t="s">
        <v>16678</v>
      </c>
      <c r="Z852" t="s">
        <v>16679</v>
      </c>
      <c r="AA852" t="s">
        <v>11651</v>
      </c>
      <c r="AB852" t="s">
        <v>16680</v>
      </c>
      <c r="AC852" t="s">
        <v>16681</v>
      </c>
      <c r="AD852" t="s">
        <v>16682</v>
      </c>
      <c r="AE852" t="s">
        <v>16683</v>
      </c>
      <c r="AF852" t="s">
        <v>74</v>
      </c>
      <c r="AG852">
        <v>85</v>
      </c>
      <c r="AH852">
        <v>6</v>
      </c>
      <c r="AI852">
        <v>7</v>
      </c>
      <c r="AJ852">
        <v>1</v>
      </c>
      <c r="AK852">
        <v>15</v>
      </c>
      <c r="AL852" t="s">
        <v>1758</v>
      </c>
      <c r="AM852" t="s">
        <v>1759</v>
      </c>
      <c r="AN852" t="s">
        <v>1760</v>
      </c>
      <c r="AO852" t="s">
        <v>6868</v>
      </c>
      <c r="AP852" t="s">
        <v>6869</v>
      </c>
      <c r="AQ852" t="s">
        <v>74</v>
      </c>
      <c r="AR852" t="s">
        <v>6870</v>
      </c>
      <c r="AS852" t="s">
        <v>6871</v>
      </c>
      <c r="AT852" t="s">
        <v>16684</v>
      </c>
      <c r="AU852">
        <v>2019</v>
      </c>
      <c r="AV852">
        <v>31</v>
      </c>
      <c r="AW852">
        <v>8</v>
      </c>
      <c r="AX852" t="s">
        <v>74</v>
      </c>
      <c r="AY852" t="s">
        <v>74</v>
      </c>
      <c r="AZ852" t="s">
        <v>74</v>
      </c>
      <c r="BA852" t="s">
        <v>74</v>
      </c>
      <c r="BB852">
        <v>1028</v>
      </c>
      <c r="BC852">
        <v>1044</v>
      </c>
      <c r="BD852" t="s">
        <v>74</v>
      </c>
      <c r="BE852" t="s">
        <v>16685</v>
      </c>
      <c r="BF852" t="str">
        <f>HYPERLINK("http://dx.doi.org/10.1080/08912963.2017.1417403","http://dx.doi.org/10.1080/08912963.2017.1417403")</f>
        <v>http://dx.doi.org/10.1080/08912963.2017.1417403</v>
      </c>
      <c r="BG852" t="s">
        <v>74</v>
      </c>
      <c r="BH852" t="s">
        <v>74</v>
      </c>
      <c r="BI852">
        <v>17</v>
      </c>
      <c r="BJ852" t="s">
        <v>6873</v>
      </c>
      <c r="BK852" t="s">
        <v>294</v>
      </c>
      <c r="BL852" t="s">
        <v>6874</v>
      </c>
      <c r="BM852" t="s">
        <v>16686</v>
      </c>
      <c r="BN852">
        <v>31337928</v>
      </c>
      <c r="BO852" t="s">
        <v>2237</v>
      </c>
      <c r="BP852" t="s">
        <v>74</v>
      </c>
      <c r="BQ852" t="s">
        <v>74</v>
      </c>
      <c r="BR852" t="s">
        <v>108</v>
      </c>
      <c r="BS852" t="s">
        <v>16687</v>
      </c>
      <c r="BT852" t="str">
        <f>HYPERLINK("https%3A%2F%2Fwww.webofscience.com%2Fwos%2Fwoscc%2Ffull-record%2FWOS:000476682900005","View Full Record in Web of Science")</f>
        <v>View Full Record in Web of Science</v>
      </c>
    </row>
    <row r="853" spans="1:72" x14ac:dyDescent="0.15">
      <c r="A853" t="s">
        <v>133</v>
      </c>
      <c r="B853" t="s">
        <v>16688</v>
      </c>
      <c r="C853" t="s">
        <v>74</v>
      </c>
      <c r="D853" t="s">
        <v>74</v>
      </c>
      <c r="E853" t="s">
        <v>74</v>
      </c>
      <c r="F853" t="s">
        <v>16689</v>
      </c>
      <c r="G853" t="s">
        <v>74</v>
      </c>
      <c r="H853" t="s">
        <v>74</v>
      </c>
      <c r="I853" t="s">
        <v>16690</v>
      </c>
      <c r="J853" t="s">
        <v>16691</v>
      </c>
      <c r="K853" t="s">
        <v>74</v>
      </c>
      <c r="L853" t="s">
        <v>74</v>
      </c>
      <c r="M853" t="s">
        <v>80</v>
      </c>
      <c r="N853" t="s">
        <v>138</v>
      </c>
      <c r="O853" t="s">
        <v>74</v>
      </c>
      <c r="P853" t="s">
        <v>74</v>
      </c>
      <c r="Q853" t="s">
        <v>74</v>
      </c>
      <c r="R853" t="s">
        <v>74</v>
      </c>
      <c r="S853" t="s">
        <v>74</v>
      </c>
      <c r="T853" t="s">
        <v>16692</v>
      </c>
      <c r="U853" t="s">
        <v>16693</v>
      </c>
      <c r="V853" t="s">
        <v>16694</v>
      </c>
      <c r="W853" t="s">
        <v>16695</v>
      </c>
      <c r="X853" t="s">
        <v>16696</v>
      </c>
      <c r="Y853" t="s">
        <v>16697</v>
      </c>
      <c r="Z853" t="s">
        <v>16698</v>
      </c>
      <c r="AA853" t="s">
        <v>16699</v>
      </c>
      <c r="AB853" t="s">
        <v>16700</v>
      </c>
      <c r="AC853" t="s">
        <v>16701</v>
      </c>
      <c r="AD853" t="s">
        <v>16702</v>
      </c>
      <c r="AE853" t="s">
        <v>16703</v>
      </c>
      <c r="AF853" t="s">
        <v>74</v>
      </c>
      <c r="AG853">
        <v>33</v>
      </c>
      <c r="AH853">
        <v>9</v>
      </c>
      <c r="AI853">
        <v>9</v>
      </c>
      <c r="AJ853">
        <v>2</v>
      </c>
      <c r="AK853">
        <v>11</v>
      </c>
      <c r="AL853" t="s">
        <v>2587</v>
      </c>
      <c r="AM853" t="s">
        <v>2588</v>
      </c>
      <c r="AN853" t="s">
        <v>2589</v>
      </c>
      <c r="AO853" t="s">
        <v>16704</v>
      </c>
      <c r="AP853" t="s">
        <v>74</v>
      </c>
      <c r="AQ853" t="s">
        <v>74</v>
      </c>
      <c r="AR853" t="s">
        <v>16705</v>
      </c>
      <c r="AS853" t="s">
        <v>16706</v>
      </c>
      <c r="AT853" t="s">
        <v>16707</v>
      </c>
      <c r="AU853">
        <v>2019</v>
      </c>
      <c r="AV853">
        <v>9</v>
      </c>
      <c r="AW853" t="s">
        <v>74</v>
      </c>
      <c r="AX853" t="s">
        <v>74</v>
      </c>
      <c r="AY853" t="s">
        <v>74</v>
      </c>
      <c r="AZ853" t="s">
        <v>74</v>
      </c>
      <c r="BA853" t="s">
        <v>74</v>
      </c>
      <c r="BB853" t="s">
        <v>74</v>
      </c>
      <c r="BC853" t="s">
        <v>74</v>
      </c>
      <c r="BD853">
        <v>328</v>
      </c>
      <c r="BE853" t="s">
        <v>16708</v>
      </c>
      <c r="BF853" t="str">
        <f>HYPERLINK("http://dx.doi.org/10.3389/fcimb.2019.00328","http://dx.doi.org/10.3389/fcimb.2019.00328")</f>
        <v>http://dx.doi.org/10.3389/fcimb.2019.00328</v>
      </c>
      <c r="BG853" t="s">
        <v>74</v>
      </c>
      <c r="BH853" t="s">
        <v>74</v>
      </c>
      <c r="BI853">
        <v>6</v>
      </c>
      <c r="BJ853" t="s">
        <v>4687</v>
      </c>
      <c r="BK853" t="s">
        <v>294</v>
      </c>
      <c r="BL853" t="s">
        <v>4687</v>
      </c>
      <c r="BM853" t="s">
        <v>16709</v>
      </c>
      <c r="BN853">
        <v>31608244</v>
      </c>
      <c r="BO853" t="s">
        <v>693</v>
      </c>
      <c r="BP853" t="s">
        <v>74</v>
      </c>
      <c r="BQ853" t="s">
        <v>74</v>
      </c>
      <c r="BR853" t="s">
        <v>108</v>
      </c>
      <c r="BS853" t="s">
        <v>16710</v>
      </c>
      <c r="BT853" t="str">
        <f>HYPERLINK("https%3A%2F%2Fwww.webofscience.com%2Fwos%2Fwoscc%2Ffull-record%2FWOS:000485704300001","View Full Record in Web of Science")</f>
        <v>View Full Record in Web of Science</v>
      </c>
    </row>
    <row r="854" spans="1:72" x14ac:dyDescent="0.15">
      <c r="A854" t="s">
        <v>133</v>
      </c>
      <c r="B854" t="s">
        <v>16711</v>
      </c>
      <c r="C854" t="s">
        <v>74</v>
      </c>
      <c r="D854" t="s">
        <v>74</v>
      </c>
      <c r="E854" t="s">
        <v>74</v>
      </c>
      <c r="F854" t="s">
        <v>16712</v>
      </c>
      <c r="G854" t="s">
        <v>74</v>
      </c>
      <c r="H854" t="s">
        <v>74</v>
      </c>
      <c r="I854" t="s">
        <v>16713</v>
      </c>
      <c r="J854" t="s">
        <v>6994</v>
      </c>
      <c r="K854" t="s">
        <v>74</v>
      </c>
      <c r="L854" t="s">
        <v>74</v>
      </c>
      <c r="M854" t="s">
        <v>80</v>
      </c>
      <c r="N854" t="s">
        <v>138</v>
      </c>
      <c r="O854" t="s">
        <v>74</v>
      </c>
      <c r="P854" t="s">
        <v>74</v>
      </c>
      <c r="Q854" t="s">
        <v>74</v>
      </c>
      <c r="R854" t="s">
        <v>74</v>
      </c>
      <c r="S854" t="s">
        <v>74</v>
      </c>
      <c r="T854" t="s">
        <v>16714</v>
      </c>
      <c r="U854" t="s">
        <v>16715</v>
      </c>
      <c r="V854" t="s">
        <v>16716</v>
      </c>
      <c r="W854" t="s">
        <v>16717</v>
      </c>
      <c r="X854" t="s">
        <v>16718</v>
      </c>
      <c r="Y854" t="s">
        <v>16719</v>
      </c>
      <c r="Z854" t="s">
        <v>1958</v>
      </c>
      <c r="AA854" t="s">
        <v>16720</v>
      </c>
      <c r="AB854" t="s">
        <v>16721</v>
      </c>
      <c r="AC854" t="s">
        <v>16722</v>
      </c>
      <c r="AD854" t="s">
        <v>16723</v>
      </c>
      <c r="AE854" t="s">
        <v>16724</v>
      </c>
      <c r="AF854" t="s">
        <v>74</v>
      </c>
      <c r="AG854">
        <v>70</v>
      </c>
      <c r="AH854">
        <v>15</v>
      </c>
      <c r="AI854">
        <v>17</v>
      </c>
      <c r="AJ854">
        <v>3</v>
      </c>
      <c r="AK854">
        <v>33</v>
      </c>
      <c r="AL854" t="s">
        <v>2587</v>
      </c>
      <c r="AM854" t="s">
        <v>2588</v>
      </c>
      <c r="AN854" t="s">
        <v>2589</v>
      </c>
      <c r="AO854" t="s">
        <v>74</v>
      </c>
      <c r="AP854" t="s">
        <v>7007</v>
      </c>
      <c r="AQ854" t="s">
        <v>74</v>
      </c>
      <c r="AR854" t="s">
        <v>7008</v>
      </c>
      <c r="AS854" t="s">
        <v>7009</v>
      </c>
      <c r="AT854" t="s">
        <v>16707</v>
      </c>
      <c r="AU854">
        <v>2019</v>
      </c>
      <c r="AV854">
        <v>10</v>
      </c>
      <c r="AW854" t="s">
        <v>74</v>
      </c>
      <c r="AX854" t="s">
        <v>74</v>
      </c>
      <c r="AY854" t="s">
        <v>74</v>
      </c>
      <c r="AZ854" t="s">
        <v>74</v>
      </c>
      <c r="BA854" t="s">
        <v>74</v>
      </c>
      <c r="BB854" t="s">
        <v>74</v>
      </c>
      <c r="BC854" t="s">
        <v>74</v>
      </c>
      <c r="BD854">
        <v>2137</v>
      </c>
      <c r="BE854" t="s">
        <v>16725</v>
      </c>
      <c r="BF854" t="str">
        <f>HYPERLINK("http://dx.doi.org/10.3389/fmicb.2019.02137","http://dx.doi.org/10.3389/fmicb.2019.02137")</f>
        <v>http://dx.doi.org/10.3389/fmicb.2019.02137</v>
      </c>
      <c r="BG854" t="s">
        <v>74</v>
      </c>
      <c r="BH854" t="s">
        <v>74</v>
      </c>
      <c r="BI854">
        <v>13</v>
      </c>
      <c r="BJ854" t="s">
        <v>1713</v>
      </c>
      <c r="BK854" t="s">
        <v>294</v>
      </c>
      <c r="BL854" t="s">
        <v>1713</v>
      </c>
      <c r="BM854" t="s">
        <v>16726</v>
      </c>
      <c r="BN854">
        <v>31608022</v>
      </c>
      <c r="BO854" t="s">
        <v>693</v>
      </c>
      <c r="BP854" t="s">
        <v>74</v>
      </c>
      <c r="BQ854" t="s">
        <v>74</v>
      </c>
      <c r="BR854" t="s">
        <v>108</v>
      </c>
      <c r="BS854" t="s">
        <v>16727</v>
      </c>
      <c r="BT854" t="str">
        <f>HYPERLINK("https%3A%2F%2Fwww.webofscience.com%2Fwos%2Fwoscc%2Ffull-record%2FWOS:000485654100001","View Full Record in Web of Science")</f>
        <v>View Full Record in Web of Science</v>
      </c>
    </row>
    <row r="855" spans="1:72" x14ac:dyDescent="0.15">
      <c r="A855" t="s">
        <v>133</v>
      </c>
      <c r="B855" t="s">
        <v>16728</v>
      </c>
      <c r="C855" t="s">
        <v>74</v>
      </c>
      <c r="D855" t="s">
        <v>74</v>
      </c>
      <c r="E855" t="s">
        <v>74</v>
      </c>
      <c r="F855" t="s">
        <v>16729</v>
      </c>
      <c r="G855" t="s">
        <v>74</v>
      </c>
      <c r="H855" t="s">
        <v>74</v>
      </c>
      <c r="I855" t="s">
        <v>16730</v>
      </c>
      <c r="J855" t="s">
        <v>2723</v>
      </c>
      <c r="K855" t="s">
        <v>74</v>
      </c>
      <c r="L855" t="s">
        <v>74</v>
      </c>
      <c r="M855" t="s">
        <v>80</v>
      </c>
      <c r="N855" t="s">
        <v>930</v>
      </c>
      <c r="O855" t="s">
        <v>74</v>
      </c>
      <c r="P855" t="s">
        <v>74</v>
      </c>
      <c r="Q855" t="s">
        <v>74</v>
      </c>
      <c r="R855" t="s">
        <v>74</v>
      </c>
      <c r="S855" t="s">
        <v>74</v>
      </c>
      <c r="T855" t="s">
        <v>16731</v>
      </c>
      <c r="U855" t="s">
        <v>16732</v>
      </c>
      <c r="V855" t="s">
        <v>16733</v>
      </c>
      <c r="W855" t="s">
        <v>16734</v>
      </c>
      <c r="X855" t="s">
        <v>16735</v>
      </c>
      <c r="Y855" t="s">
        <v>16736</v>
      </c>
      <c r="Z855" t="s">
        <v>16737</v>
      </c>
      <c r="AA855" t="s">
        <v>16738</v>
      </c>
      <c r="AB855" t="s">
        <v>16739</v>
      </c>
      <c r="AC855" t="s">
        <v>16740</v>
      </c>
      <c r="AD855" t="s">
        <v>16741</v>
      </c>
      <c r="AE855" t="s">
        <v>16742</v>
      </c>
      <c r="AF855" t="s">
        <v>74</v>
      </c>
      <c r="AG855">
        <v>116</v>
      </c>
      <c r="AH855">
        <v>20</v>
      </c>
      <c r="AI855">
        <v>22</v>
      </c>
      <c r="AJ855">
        <v>5</v>
      </c>
      <c r="AK855">
        <v>41</v>
      </c>
      <c r="AL855" t="s">
        <v>2587</v>
      </c>
      <c r="AM855" t="s">
        <v>2588</v>
      </c>
      <c r="AN855" t="s">
        <v>2589</v>
      </c>
      <c r="AO855" t="s">
        <v>74</v>
      </c>
      <c r="AP855" t="s">
        <v>2734</v>
      </c>
      <c r="AQ855" t="s">
        <v>74</v>
      </c>
      <c r="AR855" t="s">
        <v>2735</v>
      </c>
      <c r="AS855" t="s">
        <v>2736</v>
      </c>
      <c r="AT855" t="s">
        <v>16707</v>
      </c>
      <c r="AU855">
        <v>2019</v>
      </c>
      <c r="AV855">
        <v>6</v>
      </c>
      <c r="AW855" t="s">
        <v>74</v>
      </c>
      <c r="AX855" t="s">
        <v>74</v>
      </c>
      <c r="AY855" t="s">
        <v>74</v>
      </c>
      <c r="AZ855" t="s">
        <v>74</v>
      </c>
      <c r="BA855" t="s">
        <v>74</v>
      </c>
      <c r="BB855" t="s">
        <v>74</v>
      </c>
      <c r="BC855" t="s">
        <v>74</v>
      </c>
      <c r="BD855">
        <v>550</v>
      </c>
      <c r="BE855" t="s">
        <v>16743</v>
      </c>
      <c r="BF855" t="str">
        <f>HYPERLINK("http://dx.doi.org/10.3389/fmars.2019.00550","http://dx.doi.org/10.3389/fmars.2019.00550")</f>
        <v>http://dx.doi.org/10.3389/fmars.2019.00550</v>
      </c>
      <c r="BG855" t="s">
        <v>74</v>
      </c>
      <c r="BH855" t="s">
        <v>74</v>
      </c>
      <c r="BI855">
        <v>18</v>
      </c>
      <c r="BJ855" t="s">
        <v>2738</v>
      </c>
      <c r="BK855" t="s">
        <v>294</v>
      </c>
      <c r="BL855" t="s">
        <v>2739</v>
      </c>
      <c r="BM855" t="s">
        <v>16744</v>
      </c>
      <c r="BN855" t="s">
        <v>74</v>
      </c>
      <c r="BO855" t="s">
        <v>1791</v>
      </c>
      <c r="BP855" t="s">
        <v>74</v>
      </c>
      <c r="BQ855" t="s">
        <v>74</v>
      </c>
      <c r="BR855" t="s">
        <v>108</v>
      </c>
      <c r="BS855" t="s">
        <v>16745</v>
      </c>
      <c r="BT855" t="str">
        <f>HYPERLINK("https%3A%2F%2Fwww.webofscience.com%2Fwos%2Fwoscc%2Ffull-record%2FWOS:000485750200001","View Full Record in Web of Science")</f>
        <v>View Full Record in Web of Science</v>
      </c>
    </row>
    <row r="856" spans="1:72" x14ac:dyDescent="0.15">
      <c r="A856" t="s">
        <v>133</v>
      </c>
      <c r="B856" t="s">
        <v>16746</v>
      </c>
      <c r="C856" t="s">
        <v>74</v>
      </c>
      <c r="D856" t="s">
        <v>74</v>
      </c>
      <c r="E856" t="s">
        <v>74</v>
      </c>
      <c r="F856" t="s">
        <v>16747</v>
      </c>
      <c r="G856" t="s">
        <v>74</v>
      </c>
      <c r="H856" t="s">
        <v>74</v>
      </c>
      <c r="I856" t="s">
        <v>16748</v>
      </c>
      <c r="J856" t="s">
        <v>2242</v>
      </c>
      <c r="K856" t="s">
        <v>74</v>
      </c>
      <c r="L856" t="s">
        <v>74</v>
      </c>
      <c r="M856" t="s">
        <v>80</v>
      </c>
      <c r="N856" t="s">
        <v>138</v>
      </c>
      <c r="O856" t="s">
        <v>74</v>
      </c>
      <c r="P856" t="s">
        <v>74</v>
      </c>
      <c r="Q856" t="s">
        <v>74</v>
      </c>
      <c r="R856" t="s">
        <v>74</v>
      </c>
      <c r="S856" t="s">
        <v>74</v>
      </c>
      <c r="T856" t="s">
        <v>74</v>
      </c>
      <c r="U856" t="s">
        <v>16749</v>
      </c>
      <c r="V856" t="s">
        <v>16750</v>
      </c>
      <c r="W856" t="s">
        <v>16751</v>
      </c>
      <c r="X856" t="s">
        <v>16752</v>
      </c>
      <c r="Y856" t="s">
        <v>16753</v>
      </c>
      <c r="Z856" t="s">
        <v>16754</v>
      </c>
      <c r="AA856" t="s">
        <v>16755</v>
      </c>
      <c r="AB856" t="s">
        <v>16756</v>
      </c>
      <c r="AC856" t="s">
        <v>16757</v>
      </c>
      <c r="AD856" t="s">
        <v>16758</v>
      </c>
      <c r="AE856" t="s">
        <v>16759</v>
      </c>
      <c r="AF856" t="s">
        <v>74</v>
      </c>
      <c r="AG856">
        <v>56</v>
      </c>
      <c r="AH856">
        <v>19</v>
      </c>
      <c r="AI856">
        <v>19</v>
      </c>
      <c r="AJ856">
        <v>7</v>
      </c>
      <c r="AK856">
        <v>57</v>
      </c>
      <c r="AL856" t="s">
        <v>2099</v>
      </c>
      <c r="AM856" t="s">
        <v>2100</v>
      </c>
      <c r="AN856" t="s">
        <v>2101</v>
      </c>
      <c r="AO856" t="s">
        <v>2254</v>
      </c>
      <c r="AP856" t="s">
        <v>2255</v>
      </c>
      <c r="AQ856" t="s">
        <v>74</v>
      </c>
      <c r="AR856" t="s">
        <v>2256</v>
      </c>
      <c r="AS856" t="s">
        <v>2257</v>
      </c>
      <c r="AT856" t="s">
        <v>16760</v>
      </c>
      <c r="AU856">
        <v>2019</v>
      </c>
      <c r="AV856">
        <v>19</v>
      </c>
      <c r="AW856">
        <v>17</v>
      </c>
      <c r="AX856" t="s">
        <v>74</v>
      </c>
      <c r="AY856" t="s">
        <v>74</v>
      </c>
      <c r="AZ856" t="s">
        <v>74</v>
      </c>
      <c r="BA856" t="s">
        <v>74</v>
      </c>
      <c r="BB856">
        <v>11545</v>
      </c>
      <c r="BC856">
        <v>11557</v>
      </c>
      <c r="BD856" t="s">
        <v>74</v>
      </c>
      <c r="BE856" t="s">
        <v>16761</v>
      </c>
      <c r="BF856" t="str">
        <f>HYPERLINK("http://dx.doi.org/10.5194/acp-19-11545-2019","http://dx.doi.org/10.5194/acp-19-11545-2019")</f>
        <v>http://dx.doi.org/10.5194/acp-19-11545-2019</v>
      </c>
      <c r="BG856" t="s">
        <v>74</v>
      </c>
      <c r="BH856" t="s">
        <v>74</v>
      </c>
      <c r="BI856">
        <v>13</v>
      </c>
      <c r="BJ856" t="s">
        <v>103</v>
      </c>
      <c r="BK856" t="s">
        <v>294</v>
      </c>
      <c r="BL856" t="s">
        <v>105</v>
      </c>
      <c r="BM856" t="s">
        <v>16762</v>
      </c>
      <c r="BN856" t="s">
        <v>74</v>
      </c>
      <c r="BO856" t="s">
        <v>976</v>
      </c>
      <c r="BP856" t="s">
        <v>74</v>
      </c>
      <c r="BQ856" t="s">
        <v>74</v>
      </c>
      <c r="BR856" t="s">
        <v>108</v>
      </c>
      <c r="BS856" t="s">
        <v>16763</v>
      </c>
      <c r="BT856" t="str">
        <f>HYPERLINK("https%3A%2F%2Fwww.webofscience.com%2Fwos%2Fwoscc%2Ffull-record%2FWOS:000485718700001","View Full Record in Web of Science")</f>
        <v>View Full Record in Web of Science</v>
      </c>
    </row>
    <row r="857" spans="1:72" x14ac:dyDescent="0.15">
      <c r="A857" t="s">
        <v>133</v>
      </c>
      <c r="B857" t="s">
        <v>16764</v>
      </c>
      <c r="C857" t="s">
        <v>74</v>
      </c>
      <c r="D857" t="s">
        <v>74</v>
      </c>
      <c r="E857" t="s">
        <v>74</v>
      </c>
      <c r="F857" t="s">
        <v>16765</v>
      </c>
      <c r="G857" t="s">
        <v>74</v>
      </c>
      <c r="H857" t="s">
        <v>74</v>
      </c>
      <c r="I857" t="s">
        <v>16766</v>
      </c>
      <c r="J857" t="s">
        <v>1618</v>
      </c>
      <c r="K857" t="s">
        <v>74</v>
      </c>
      <c r="L857" t="s">
        <v>74</v>
      </c>
      <c r="M857" t="s">
        <v>80</v>
      </c>
      <c r="N857" t="s">
        <v>138</v>
      </c>
      <c r="O857" t="s">
        <v>74</v>
      </c>
      <c r="P857" t="s">
        <v>74</v>
      </c>
      <c r="Q857" t="s">
        <v>74</v>
      </c>
      <c r="R857" t="s">
        <v>74</v>
      </c>
      <c r="S857" t="s">
        <v>74</v>
      </c>
      <c r="T857" t="s">
        <v>16767</v>
      </c>
      <c r="U857" t="s">
        <v>16768</v>
      </c>
      <c r="V857" t="s">
        <v>16769</v>
      </c>
      <c r="W857" t="s">
        <v>16770</v>
      </c>
      <c r="X857" t="s">
        <v>16771</v>
      </c>
      <c r="Y857" t="s">
        <v>16772</v>
      </c>
      <c r="Z857" t="s">
        <v>16773</v>
      </c>
      <c r="AA857" t="s">
        <v>74</v>
      </c>
      <c r="AB857" t="s">
        <v>16774</v>
      </c>
      <c r="AC857" t="s">
        <v>16775</v>
      </c>
      <c r="AD857" t="s">
        <v>16776</v>
      </c>
      <c r="AE857" t="s">
        <v>16777</v>
      </c>
      <c r="AF857" t="s">
        <v>74</v>
      </c>
      <c r="AG857">
        <v>51</v>
      </c>
      <c r="AH857">
        <v>13</v>
      </c>
      <c r="AI857">
        <v>16</v>
      </c>
      <c r="AJ857">
        <v>2</v>
      </c>
      <c r="AK857">
        <v>26</v>
      </c>
      <c r="AL857" t="s">
        <v>429</v>
      </c>
      <c r="AM857" t="s">
        <v>430</v>
      </c>
      <c r="AN857" t="s">
        <v>431</v>
      </c>
      <c r="AO857" t="s">
        <v>1631</v>
      </c>
      <c r="AP857" t="s">
        <v>1632</v>
      </c>
      <c r="AQ857" t="s">
        <v>74</v>
      </c>
      <c r="AR857" t="s">
        <v>1633</v>
      </c>
      <c r="AS857" t="s">
        <v>1634</v>
      </c>
      <c r="AT857" t="s">
        <v>1527</v>
      </c>
      <c r="AU857">
        <v>2020</v>
      </c>
      <c r="AV857">
        <v>34</v>
      </c>
      <c r="AW857">
        <v>1</v>
      </c>
      <c r="AX857" t="s">
        <v>74</v>
      </c>
      <c r="AY857" t="s">
        <v>74</v>
      </c>
      <c r="AZ857" t="s">
        <v>74</v>
      </c>
      <c r="BA857" t="s">
        <v>74</v>
      </c>
      <c r="BB857">
        <v>256</v>
      </c>
      <c r="BC857">
        <v>265</v>
      </c>
      <c r="BD857" t="s">
        <v>74</v>
      </c>
      <c r="BE857" t="s">
        <v>16778</v>
      </c>
      <c r="BF857" t="str">
        <f>HYPERLINK("http://dx.doi.org/10.1111/cobi.13416","http://dx.doi.org/10.1111/cobi.13416")</f>
        <v>http://dx.doi.org/10.1111/cobi.13416</v>
      </c>
      <c r="BG857" t="s">
        <v>74</v>
      </c>
      <c r="BH857" t="s">
        <v>16167</v>
      </c>
      <c r="BI857">
        <v>10</v>
      </c>
      <c r="BJ857" t="s">
        <v>1596</v>
      </c>
      <c r="BK857" t="s">
        <v>294</v>
      </c>
      <c r="BL857" t="s">
        <v>295</v>
      </c>
      <c r="BM857" t="s">
        <v>16779</v>
      </c>
      <c r="BN857">
        <v>31460682</v>
      </c>
      <c r="BO857" t="s">
        <v>74</v>
      </c>
      <c r="BP857" t="s">
        <v>74</v>
      </c>
      <c r="BQ857" t="s">
        <v>74</v>
      </c>
      <c r="BR857" t="s">
        <v>108</v>
      </c>
      <c r="BS857" t="s">
        <v>16780</v>
      </c>
      <c r="BT857" t="str">
        <f>HYPERLINK("https%3A%2F%2Fwww.webofscience.com%2Fwos%2Fwoscc%2Ffull-record%2FWOS:000486293700001","View Full Record in Web of Science")</f>
        <v>View Full Record in Web of Science</v>
      </c>
    </row>
    <row r="858" spans="1:72" x14ac:dyDescent="0.15">
      <c r="A858" t="s">
        <v>133</v>
      </c>
      <c r="B858" t="s">
        <v>16781</v>
      </c>
      <c r="C858" t="s">
        <v>74</v>
      </c>
      <c r="D858" t="s">
        <v>74</v>
      </c>
      <c r="E858" t="s">
        <v>74</v>
      </c>
      <c r="F858" t="s">
        <v>16782</v>
      </c>
      <c r="G858" t="s">
        <v>74</v>
      </c>
      <c r="H858" t="s">
        <v>74</v>
      </c>
      <c r="I858" t="s">
        <v>16783</v>
      </c>
      <c r="J858" t="s">
        <v>16784</v>
      </c>
      <c r="K858" t="s">
        <v>74</v>
      </c>
      <c r="L858" t="s">
        <v>74</v>
      </c>
      <c r="M858" t="s">
        <v>80</v>
      </c>
      <c r="N858" t="s">
        <v>138</v>
      </c>
      <c r="O858" t="s">
        <v>74</v>
      </c>
      <c r="P858" t="s">
        <v>74</v>
      </c>
      <c r="Q858" t="s">
        <v>74</v>
      </c>
      <c r="R858" t="s">
        <v>74</v>
      </c>
      <c r="S858" t="s">
        <v>74</v>
      </c>
      <c r="T858" t="s">
        <v>16785</v>
      </c>
      <c r="U858" t="s">
        <v>16786</v>
      </c>
      <c r="V858" t="s">
        <v>16787</v>
      </c>
      <c r="W858" t="s">
        <v>16788</v>
      </c>
      <c r="X858" t="s">
        <v>16789</v>
      </c>
      <c r="Y858" t="s">
        <v>16790</v>
      </c>
      <c r="Z858" t="s">
        <v>16791</v>
      </c>
      <c r="AA858" t="s">
        <v>16792</v>
      </c>
      <c r="AB858" t="s">
        <v>16793</v>
      </c>
      <c r="AC858" t="s">
        <v>16794</v>
      </c>
      <c r="AD858" t="s">
        <v>16795</v>
      </c>
      <c r="AE858" t="s">
        <v>16796</v>
      </c>
      <c r="AF858" t="s">
        <v>74</v>
      </c>
      <c r="AG858">
        <v>25</v>
      </c>
      <c r="AH858">
        <v>2</v>
      </c>
      <c r="AI858">
        <v>3</v>
      </c>
      <c r="AJ858">
        <v>1</v>
      </c>
      <c r="AK858">
        <v>9</v>
      </c>
      <c r="AL858" t="s">
        <v>429</v>
      </c>
      <c r="AM858" t="s">
        <v>430</v>
      </c>
      <c r="AN858" t="s">
        <v>431</v>
      </c>
      <c r="AO858" t="s">
        <v>16797</v>
      </c>
      <c r="AP858" t="s">
        <v>16798</v>
      </c>
      <c r="AQ858" t="s">
        <v>74</v>
      </c>
      <c r="AR858" t="s">
        <v>16799</v>
      </c>
      <c r="AS858" t="s">
        <v>16800</v>
      </c>
      <c r="AT858" t="s">
        <v>16801</v>
      </c>
      <c r="AU858">
        <v>2020</v>
      </c>
      <c r="AV858">
        <v>31</v>
      </c>
      <c r="AW858">
        <v>1</v>
      </c>
      <c r="AX858" t="s">
        <v>74</v>
      </c>
      <c r="AY858" t="s">
        <v>74</v>
      </c>
      <c r="AZ858" t="s">
        <v>74</v>
      </c>
      <c r="BA858" t="s">
        <v>74</v>
      </c>
      <c r="BB858">
        <v>96</v>
      </c>
      <c r="BC858">
        <v>104</v>
      </c>
      <c r="BD858" t="s">
        <v>74</v>
      </c>
      <c r="BE858" t="s">
        <v>16802</v>
      </c>
      <c r="BF858" t="str">
        <f>HYPERLINK("http://dx.doi.org/10.1002/ldr.3431","http://dx.doi.org/10.1002/ldr.3431")</f>
        <v>http://dx.doi.org/10.1002/ldr.3431</v>
      </c>
      <c r="BG858" t="s">
        <v>74</v>
      </c>
      <c r="BH858" t="s">
        <v>16167</v>
      </c>
      <c r="BI858">
        <v>9</v>
      </c>
      <c r="BJ858" t="s">
        <v>16803</v>
      </c>
      <c r="BK858" t="s">
        <v>294</v>
      </c>
      <c r="BL858" t="s">
        <v>16804</v>
      </c>
      <c r="BM858" t="s">
        <v>16805</v>
      </c>
      <c r="BN858" t="s">
        <v>74</v>
      </c>
      <c r="BO858" t="s">
        <v>74</v>
      </c>
      <c r="BP858" t="s">
        <v>74</v>
      </c>
      <c r="BQ858" t="s">
        <v>74</v>
      </c>
      <c r="BR858" t="s">
        <v>108</v>
      </c>
      <c r="BS858" t="s">
        <v>16806</v>
      </c>
      <c r="BT858" t="str">
        <f>HYPERLINK("https%3A%2F%2Fwww.webofscience.com%2Fwos%2Fwoscc%2Ffull-record%2FWOS:000486323500001","View Full Record in Web of Science")</f>
        <v>View Full Record in Web of Science</v>
      </c>
    </row>
    <row r="859" spans="1:72" x14ac:dyDescent="0.15">
      <c r="A859" t="s">
        <v>133</v>
      </c>
      <c r="B859" t="s">
        <v>16807</v>
      </c>
      <c r="C859" t="s">
        <v>74</v>
      </c>
      <c r="D859" t="s">
        <v>74</v>
      </c>
      <c r="E859" t="s">
        <v>74</v>
      </c>
      <c r="F859" t="s">
        <v>16808</v>
      </c>
      <c r="G859" t="s">
        <v>74</v>
      </c>
      <c r="H859" t="s">
        <v>74</v>
      </c>
      <c r="I859" t="s">
        <v>16809</v>
      </c>
      <c r="J859" t="s">
        <v>2685</v>
      </c>
      <c r="K859" t="s">
        <v>74</v>
      </c>
      <c r="L859" t="s">
        <v>74</v>
      </c>
      <c r="M859" t="s">
        <v>80</v>
      </c>
      <c r="N859" t="s">
        <v>1333</v>
      </c>
      <c r="O859" t="s">
        <v>74</v>
      </c>
      <c r="P859" t="s">
        <v>74</v>
      </c>
      <c r="Q859" t="s">
        <v>74</v>
      </c>
      <c r="R859" t="s">
        <v>74</v>
      </c>
      <c r="S859" t="s">
        <v>74</v>
      </c>
      <c r="T859" t="s">
        <v>16810</v>
      </c>
      <c r="U859" t="s">
        <v>16811</v>
      </c>
      <c r="V859" t="s">
        <v>16812</v>
      </c>
      <c r="W859" t="s">
        <v>16813</v>
      </c>
      <c r="X859" t="s">
        <v>16814</v>
      </c>
      <c r="Y859" t="s">
        <v>16815</v>
      </c>
      <c r="Z859" t="s">
        <v>16816</v>
      </c>
      <c r="AA859" t="s">
        <v>74</v>
      </c>
      <c r="AB859" t="s">
        <v>74</v>
      </c>
      <c r="AC859" t="s">
        <v>74</v>
      </c>
      <c r="AD859" t="s">
        <v>74</v>
      </c>
      <c r="AE859" t="s">
        <v>74</v>
      </c>
      <c r="AF859" t="s">
        <v>74</v>
      </c>
      <c r="AG859">
        <v>47</v>
      </c>
      <c r="AH859">
        <v>3</v>
      </c>
      <c r="AI859">
        <v>3</v>
      </c>
      <c r="AJ859">
        <v>5</v>
      </c>
      <c r="AK859">
        <v>38</v>
      </c>
      <c r="AL859" t="s">
        <v>314</v>
      </c>
      <c r="AM859" t="s">
        <v>315</v>
      </c>
      <c r="AN859" t="s">
        <v>316</v>
      </c>
      <c r="AO859" t="s">
        <v>2695</v>
      </c>
      <c r="AP859" t="s">
        <v>2696</v>
      </c>
      <c r="AQ859" t="s">
        <v>74</v>
      </c>
      <c r="AR859" t="s">
        <v>2697</v>
      </c>
      <c r="AS859" t="s">
        <v>2698</v>
      </c>
      <c r="AT859" t="s">
        <v>16760</v>
      </c>
      <c r="AU859">
        <v>2019</v>
      </c>
      <c r="AV859">
        <v>626</v>
      </c>
      <c r="AW859" t="s">
        <v>74</v>
      </c>
      <c r="AX859" t="s">
        <v>74</v>
      </c>
      <c r="AY859" t="s">
        <v>74</v>
      </c>
      <c r="AZ859" t="s">
        <v>74</v>
      </c>
      <c r="BA859" t="s">
        <v>74</v>
      </c>
      <c r="BB859">
        <v>227</v>
      </c>
      <c r="BC859">
        <v>231</v>
      </c>
      <c r="BD859" t="s">
        <v>74</v>
      </c>
      <c r="BE859" t="s">
        <v>16817</v>
      </c>
      <c r="BF859" t="str">
        <f>HYPERLINK("http://dx.doi.org/10.3354/meps13078","http://dx.doi.org/10.3354/meps13078")</f>
        <v>http://dx.doi.org/10.3354/meps13078</v>
      </c>
      <c r="BG859" t="s">
        <v>74</v>
      </c>
      <c r="BH859" t="s">
        <v>74</v>
      </c>
      <c r="BI859">
        <v>5</v>
      </c>
      <c r="BJ859" t="s">
        <v>2701</v>
      </c>
      <c r="BK859" t="s">
        <v>294</v>
      </c>
      <c r="BL859" t="s">
        <v>2702</v>
      </c>
      <c r="BM859" t="s">
        <v>16818</v>
      </c>
      <c r="BN859" t="s">
        <v>74</v>
      </c>
      <c r="BO859" t="s">
        <v>74</v>
      </c>
      <c r="BP859" t="s">
        <v>74</v>
      </c>
      <c r="BQ859" t="s">
        <v>74</v>
      </c>
      <c r="BR859" t="s">
        <v>108</v>
      </c>
      <c r="BS859" t="s">
        <v>16819</v>
      </c>
      <c r="BT859" t="str">
        <f>HYPERLINK("https%3A%2F%2Fwww.webofscience.com%2Fwos%2Fwoscc%2Ffull-record%2FWOS:000485739800017","View Full Record in Web of Science")</f>
        <v>View Full Record in Web of Science</v>
      </c>
    </row>
    <row r="860" spans="1:72" x14ac:dyDescent="0.15">
      <c r="A860" t="s">
        <v>133</v>
      </c>
      <c r="B860" t="s">
        <v>16820</v>
      </c>
      <c r="C860" t="s">
        <v>74</v>
      </c>
      <c r="D860" t="s">
        <v>74</v>
      </c>
      <c r="E860" t="s">
        <v>74</v>
      </c>
      <c r="F860" t="s">
        <v>16821</v>
      </c>
      <c r="G860" t="s">
        <v>74</v>
      </c>
      <c r="H860" t="s">
        <v>74</v>
      </c>
      <c r="I860" t="s">
        <v>16822</v>
      </c>
      <c r="J860" t="s">
        <v>1487</v>
      </c>
      <c r="K860" t="s">
        <v>74</v>
      </c>
      <c r="L860" t="s">
        <v>74</v>
      </c>
      <c r="M860" t="s">
        <v>80</v>
      </c>
      <c r="N860" t="s">
        <v>138</v>
      </c>
      <c r="O860" t="s">
        <v>74</v>
      </c>
      <c r="P860" t="s">
        <v>74</v>
      </c>
      <c r="Q860" t="s">
        <v>74</v>
      </c>
      <c r="R860" t="s">
        <v>74</v>
      </c>
      <c r="S860" t="s">
        <v>74</v>
      </c>
      <c r="T860" t="s">
        <v>16823</v>
      </c>
      <c r="U860" t="s">
        <v>16824</v>
      </c>
      <c r="V860" t="s">
        <v>16825</v>
      </c>
      <c r="W860" t="s">
        <v>16826</v>
      </c>
      <c r="X860" t="s">
        <v>16827</v>
      </c>
      <c r="Y860" t="s">
        <v>16828</v>
      </c>
      <c r="Z860" t="s">
        <v>16829</v>
      </c>
      <c r="AA860" t="s">
        <v>16830</v>
      </c>
      <c r="AB860" t="s">
        <v>16831</v>
      </c>
      <c r="AC860" t="s">
        <v>16832</v>
      </c>
      <c r="AD860" t="s">
        <v>16833</v>
      </c>
      <c r="AE860" t="s">
        <v>16834</v>
      </c>
      <c r="AF860" t="s">
        <v>74</v>
      </c>
      <c r="AG860">
        <v>101</v>
      </c>
      <c r="AH860">
        <v>3</v>
      </c>
      <c r="AI860">
        <v>3</v>
      </c>
      <c r="AJ860">
        <v>0</v>
      </c>
      <c r="AK860">
        <v>20</v>
      </c>
      <c r="AL860" t="s">
        <v>1264</v>
      </c>
      <c r="AM860" t="s">
        <v>1265</v>
      </c>
      <c r="AN860" t="s">
        <v>1266</v>
      </c>
      <c r="AO860" t="s">
        <v>1500</v>
      </c>
      <c r="AP860" t="s">
        <v>1501</v>
      </c>
      <c r="AQ860" t="s">
        <v>74</v>
      </c>
      <c r="AR860" t="s">
        <v>1502</v>
      </c>
      <c r="AS860" t="s">
        <v>1503</v>
      </c>
      <c r="AT860" t="s">
        <v>15868</v>
      </c>
      <c r="AU860">
        <v>2019</v>
      </c>
      <c r="AV860">
        <v>124</v>
      </c>
      <c r="AW860" t="s">
        <v>16835</v>
      </c>
      <c r="AX860" t="s">
        <v>74</v>
      </c>
      <c r="AY860" t="s">
        <v>74</v>
      </c>
      <c r="AZ860" t="s">
        <v>74</v>
      </c>
      <c r="BA860" t="s">
        <v>74</v>
      </c>
      <c r="BB860">
        <v>10264</v>
      </c>
      <c r="BC860">
        <v>10282</v>
      </c>
      <c r="BD860" t="s">
        <v>74</v>
      </c>
      <c r="BE860" t="s">
        <v>16836</v>
      </c>
      <c r="BF860" t="str">
        <f>HYPERLINK("http://dx.doi.org/10.1029/2019JD030891","http://dx.doi.org/10.1029/2019JD030891")</f>
        <v>http://dx.doi.org/10.1029/2019JD030891</v>
      </c>
      <c r="BG860" t="s">
        <v>74</v>
      </c>
      <c r="BH860" t="s">
        <v>16167</v>
      </c>
      <c r="BI860">
        <v>19</v>
      </c>
      <c r="BJ860" t="s">
        <v>1024</v>
      </c>
      <c r="BK860" t="s">
        <v>294</v>
      </c>
      <c r="BL860" t="s">
        <v>1024</v>
      </c>
      <c r="BM860" t="s">
        <v>16837</v>
      </c>
      <c r="BN860" t="s">
        <v>74</v>
      </c>
      <c r="BO860" t="s">
        <v>1482</v>
      </c>
      <c r="BP860" t="s">
        <v>74</v>
      </c>
      <c r="BQ860" t="s">
        <v>74</v>
      </c>
      <c r="BR860" t="s">
        <v>108</v>
      </c>
      <c r="BS860" t="s">
        <v>16838</v>
      </c>
      <c r="BT860" t="str">
        <f>HYPERLINK("https%3A%2F%2Fwww.webofscience.com%2Fwos%2Fwoscc%2Ffull-record%2FWOS:000486872200001","View Full Record in Web of Science")</f>
        <v>View Full Record in Web of Science</v>
      </c>
    </row>
    <row r="861" spans="1:72" x14ac:dyDescent="0.15">
      <c r="A861" t="s">
        <v>133</v>
      </c>
      <c r="B861" t="s">
        <v>16839</v>
      </c>
      <c r="C861" t="s">
        <v>74</v>
      </c>
      <c r="D861" t="s">
        <v>74</v>
      </c>
      <c r="E861" t="s">
        <v>74</v>
      </c>
      <c r="F861" t="s">
        <v>16840</v>
      </c>
      <c r="G861" t="s">
        <v>74</v>
      </c>
      <c r="H861" t="s">
        <v>74</v>
      </c>
      <c r="I861" t="s">
        <v>16841</v>
      </c>
      <c r="J861" t="s">
        <v>16842</v>
      </c>
      <c r="K861" t="s">
        <v>74</v>
      </c>
      <c r="L861" t="s">
        <v>74</v>
      </c>
      <c r="M861" t="s">
        <v>80</v>
      </c>
      <c r="N861" t="s">
        <v>138</v>
      </c>
      <c r="O861" t="s">
        <v>74</v>
      </c>
      <c r="P861" t="s">
        <v>74</v>
      </c>
      <c r="Q861" t="s">
        <v>74</v>
      </c>
      <c r="R861" t="s">
        <v>74</v>
      </c>
      <c r="S861" t="s">
        <v>74</v>
      </c>
      <c r="T861" t="s">
        <v>16843</v>
      </c>
      <c r="U861" t="s">
        <v>16844</v>
      </c>
      <c r="V861" t="s">
        <v>16845</v>
      </c>
      <c r="W861" t="s">
        <v>16846</v>
      </c>
      <c r="X861" t="s">
        <v>16847</v>
      </c>
      <c r="Y861" t="s">
        <v>16848</v>
      </c>
      <c r="Z861" t="s">
        <v>16849</v>
      </c>
      <c r="AA861" t="s">
        <v>16850</v>
      </c>
      <c r="AB861" t="s">
        <v>16851</v>
      </c>
      <c r="AC861" t="s">
        <v>16852</v>
      </c>
      <c r="AD861" t="s">
        <v>16853</v>
      </c>
      <c r="AE861" t="s">
        <v>16854</v>
      </c>
      <c r="AF861" t="s">
        <v>74</v>
      </c>
      <c r="AG861">
        <v>74</v>
      </c>
      <c r="AH861">
        <v>10</v>
      </c>
      <c r="AI861">
        <v>10</v>
      </c>
      <c r="AJ861">
        <v>0</v>
      </c>
      <c r="AK861">
        <v>14</v>
      </c>
      <c r="AL861" t="s">
        <v>2012</v>
      </c>
      <c r="AM861" t="s">
        <v>1730</v>
      </c>
      <c r="AN861" t="s">
        <v>2013</v>
      </c>
      <c r="AO861" t="s">
        <v>74</v>
      </c>
      <c r="AP861" t="s">
        <v>16855</v>
      </c>
      <c r="AQ861" t="s">
        <v>74</v>
      </c>
      <c r="AR861" t="s">
        <v>16856</v>
      </c>
      <c r="AS861" t="s">
        <v>16857</v>
      </c>
      <c r="AT861" t="s">
        <v>16858</v>
      </c>
      <c r="AU861">
        <v>2019</v>
      </c>
      <c r="AV861">
        <v>19</v>
      </c>
      <c r="AW861">
        <v>1</v>
      </c>
      <c r="AX861" t="s">
        <v>74</v>
      </c>
      <c r="AY861" t="s">
        <v>74</v>
      </c>
      <c r="AZ861" t="s">
        <v>74</v>
      </c>
      <c r="BA861" t="s">
        <v>74</v>
      </c>
      <c r="BB861" t="s">
        <v>74</v>
      </c>
      <c r="BC861" t="s">
        <v>74</v>
      </c>
      <c r="BD861">
        <v>36</v>
      </c>
      <c r="BE861" t="s">
        <v>16859</v>
      </c>
      <c r="BF861" t="str">
        <f>HYPERLINK("http://dx.doi.org/10.1186/s12898-019-0252-x","http://dx.doi.org/10.1186/s12898-019-0252-x")</f>
        <v>http://dx.doi.org/10.1186/s12898-019-0252-x</v>
      </c>
      <c r="BG861" t="s">
        <v>74</v>
      </c>
      <c r="BH861" t="s">
        <v>74</v>
      </c>
      <c r="BI861">
        <v>14</v>
      </c>
      <c r="BJ861" t="s">
        <v>437</v>
      </c>
      <c r="BK861" t="s">
        <v>294</v>
      </c>
      <c r="BL861" t="s">
        <v>388</v>
      </c>
      <c r="BM861" t="s">
        <v>16860</v>
      </c>
      <c r="BN861">
        <v>31510989</v>
      </c>
      <c r="BO861" t="s">
        <v>693</v>
      </c>
      <c r="BP861" t="s">
        <v>74</v>
      </c>
      <c r="BQ861" t="s">
        <v>74</v>
      </c>
      <c r="BR861" t="s">
        <v>108</v>
      </c>
      <c r="BS861" t="s">
        <v>16861</v>
      </c>
      <c r="BT861" t="str">
        <f>HYPERLINK("https%3A%2F%2Fwww.webofscience.com%2Fwos%2Fwoscc%2Ffull-record%2FWOS:000485930400003","View Full Record in Web of Science")</f>
        <v>View Full Record in Web of Science</v>
      </c>
    </row>
    <row r="862" spans="1:72" x14ac:dyDescent="0.15">
      <c r="A862" t="s">
        <v>133</v>
      </c>
      <c r="B862" t="s">
        <v>16862</v>
      </c>
      <c r="C862" t="s">
        <v>74</v>
      </c>
      <c r="D862" t="s">
        <v>74</v>
      </c>
      <c r="E862" t="s">
        <v>74</v>
      </c>
      <c r="F862" t="s">
        <v>16863</v>
      </c>
      <c r="G862" t="s">
        <v>74</v>
      </c>
      <c r="H862" t="s">
        <v>74</v>
      </c>
      <c r="I862" t="s">
        <v>16864</v>
      </c>
      <c r="J862" t="s">
        <v>2162</v>
      </c>
      <c r="K862" t="s">
        <v>74</v>
      </c>
      <c r="L862" t="s">
        <v>74</v>
      </c>
      <c r="M862" t="s">
        <v>80</v>
      </c>
      <c r="N862" t="s">
        <v>138</v>
      </c>
      <c r="O862" t="s">
        <v>74</v>
      </c>
      <c r="P862" t="s">
        <v>74</v>
      </c>
      <c r="Q862" t="s">
        <v>74</v>
      </c>
      <c r="R862" t="s">
        <v>74</v>
      </c>
      <c r="S862" t="s">
        <v>74</v>
      </c>
      <c r="T862" t="s">
        <v>16865</v>
      </c>
      <c r="U862" t="s">
        <v>16866</v>
      </c>
      <c r="V862" t="s">
        <v>16867</v>
      </c>
      <c r="W862" t="s">
        <v>16868</v>
      </c>
      <c r="X862" t="s">
        <v>16869</v>
      </c>
      <c r="Y862" t="s">
        <v>16870</v>
      </c>
      <c r="Z862" t="s">
        <v>16871</v>
      </c>
      <c r="AA862" t="s">
        <v>16872</v>
      </c>
      <c r="AB862" t="s">
        <v>16873</v>
      </c>
      <c r="AC862" t="s">
        <v>16874</v>
      </c>
      <c r="AD862" t="s">
        <v>16875</v>
      </c>
      <c r="AE862" t="s">
        <v>16876</v>
      </c>
      <c r="AF862" t="s">
        <v>74</v>
      </c>
      <c r="AG862">
        <v>84</v>
      </c>
      <c r="AH862">
        <v>5</v>
      </c>
      <c r="AI862">
        <v>6</v>
      </c>
      <c r="AJ862">
        <v>1</v>
      </c>
      <c r="AK862">
        <v>17</v>
      </c>
      <c r="AL862" t="s">
        <v>429</v>
      </c>
      <c r="AM862" t="s">
        <v>430</v>
      </c>
      <c r="AN862" t="s">
        <v>431</v>
      </c>
      <c r="AO862" t="s">
        <v>2175</v>
      </c>
      <c r="AP862" t="s">
        <v>2176</v>
      </c>
      <c r="AQ862" t="s">
        <v>74</v>
      </c>
      <c r="AR862" t="s">
        <v>2177</v>
      </c>
      <c r="AS862" t="s">
        <v>2178</v>
      </c>
      <c r="AT862" t="s">
        <v>291</v>
      </c>
      <c r="AU862">
        <v>2020</v>
      </c>
      <c r="AV862">
        <v>36</v>
      </c>
      <c r="AW862">
        <v>1</v>
      </c>
      <c r="AX862" t="s">
        <v>74</v>
      </c>
      <c r="AY862" t="s">
        <v>74</v>
      </c>
      <c r="AZ862" t="s">
        <v>74</v>
      </c>
      <c r="BA862" t="s">
        <v>74</v>
      </c>
      <c r="BB862">
        <v>260</v>
      </c>
      <c r="BC862">
        <v>275</v>
      </c>
      <c r="BD862" t="s">
        <v>74</v>
      </c>
      <c r="BE862" t="s">
        <v>16877</v>
      </c>
      <c r="BF862" t="str">
        <f>HYPERLINK("http://dx.doi.org/10.1111/mms.12645","http://dx.doi.org/10.1111/mms.12645")</f>
        <v>http://dx.doi.org/10.1111/mms.12645</v>
      </c>
      <c r="BG862" t="s">
        <v>74</v>
      </c>
      <c r="BH862" t="s">
        <v>16167</v>
      </c>
      <c r="BI862">
        <v>16</v>
      </c>
      <c r="BJ862" t="s">
        <v>2180</v>
      </c>
      <c r="BK862" t="s">
        <v>294</v>
      </c>
      <c r="BL862" t="s">
        <v>2180</v>
      </c>
      <c r="BM862" t="s">
        <v>16878</v>
      </c>
      <c r="BN862" t="s">
        <v>74</v>
      </c>
      <c r="BO862" t="s">
        <v>74</v>
      </c>
      <c r="BP862" t="s">
        <v>74</v>
      </c>
      <c r="BQ862" t="s">
        <v>74</v>
      </c>
      <c r="BR862" t="s">
        <v>108</v>
      </c>
      <c r="BS862" t="s">
        <v>16879</v>
      </c>
      <c r="BT862" t="str">
        <f>HYPERLINK("https%3A%2F%2Fwww.webofscience.com%2Fwos%2Fwoscc%2Ffull-record%2FWOS:000485487500001","View Full Record in Web of Science")</f>
        <v>View Full Record in Web of Science</v>
      </c>
    </row>
    <row r="863" spans="1:72" x14ac:dyDescent="0.15">
      <c r="A863" t="s">
        <v>133</v>
      </c>
      <c r="B863" t="s">
        <v>16880</v>
      </c>
      <c r="C863" t="s">
        <v>74</v>
      </c>
      <c r="D863" t="s">
        <v>74</v>
      </c>
      <c r="E863" t="s">
        <v>74</v>
      </c>
      <c r="F863" t="s">
        <v>16881</v>
      </c>
      <c r="G863" t="s">
        <v>74</v>
      </c>
      <c r="H863" t="s">
        <v>74</v>
      </c>
      <c r="I863" t="s">
        <v>16882</v>
      </c>
      <c r="J863" t="s">
        <v>1928</v>
      </c>
      <c r="K863" t="s">
        <v>74</v>
      </c>
      <c r="L863" t="s">
        <v>74</v>
      </c>
      <c r="M863" t="s">
        <v>80</v>
      </c>
      <c r="N863" t="s">
        <v>138</v>
      </c>
      <c r="O863" t="s">
        <v>74</v>
      </c>
      <c r="P863" t="s">
        <v>74</v>
      </c>
      <c r="Q863" t="s">
        <v>74</v>
      </c>
      <c r="R863" t="s">
        <v>74</v>
      </c>
      <c r="S863" t="s">
        <v>74</v>
      </c>
      <c r="T863" t="s">
        <v>16883</v>
      </c>
      <c r="U863" t="s">
        <v>16884</v>
      </c>
      <c r="V863" t="s">
        <v>16885</v>
      </c>
      <c r="W863" t="s">
        <v>16886</v>
      </c>
      <c r="X863" t="s">
        <v>16887</v>
      </c>
      <c r="Y863" t="s">
        <v>16888</v>
      </c>
      <c r="Z863" t="s">
        <v>15141</v>
      </c>
      <c r="AA863" t="s">
        <v>16889</v>
      </c>
      <c r="AB863" t="s">
        <v>16890</v>
      </c>
      <c r="AC863" t="s">
        <v>16891</v>
      </c>
      <c r="AD863" t="s">
        <v>16892</v>
      </c>
      <c r="AE863" t="s">
        <v>16893</v>
      </c>
      <c r="AF863" t="s">
        <v>74</v>
      </c>
      <c r="AG863">
        <v>44</v>
      </c>
      <c r="AH863">
        <v>17</v>
      </c>
      <c r="AI863">
        <v>18</v>
      </c>
      <c r="AJ863">
        <v>4</v>
      </c>
      <c r="AK863">
        <v>20</v>
      </c>
      <c r="AL863" t="s">
        <v>1264</v>
      </c>
      <c r="AM863" t="s">
        <v>1265</v>
      </c>
      <c r="AN863" t="s">
        <v>1266</v>
      </c>
      <c r="AO863" t="s">
        <v>1940</v>
      </c>
      <c r="AP863" t="s">
        <v>1941</v>
      </c>
      <c r="AQ863" t="s">
        <v>74</v>
      </c>
      <c r="AR863" t="s">
        <v>1942</v>
      </c>
      <c r="AS863" t="s">
        <v>1943</v>
      </c>
      <c r="AT863" t="s">
        <v>3499</v>
      </c>
      <c r="AU863">
        <v>2019</v>
      </c>
      <c r="AV863">
        <v>124</v>
      </c>
      <c r="AW863">
        <v>9</v>
      </c>
      <c r="AX863" t="s">
        <v>74</v>
      </c>
      <c r="AY863" t="s">
        <v>74</v>
      </c>
      <c r="AZ863" t="s">
        <v>74</v>
      </c>
      <c r="BA863" t="s">
        <v>74</v>
      </c>
      <c r="BB863">
        <v>6658</v>
      </c>
      <c r="BC863">
        <v>6672</v>
      </c>
      <c r="BD863" t="s">
        <v>74</v>
      </c>
      <c r="BE863" t="s">
        <v>16894</v>
      </c>
      <c r="BF863" t="str">
        <f>HYPERLINK("http://dx.doi.org/10.1029/2019JC015205","http://dx.doi.org/10.1029/2019JC015205")</f>
        <v>http://dx.doi.org/10.1029/2019JC015205</v>
      </c>
      <c r="BG863" t="s">
        <v>74</v>
      </c>
      <c r="BH863" t="s">
        <v>16167</v>
      </c>
      <c r="BI863">
        <v>15</v>
      </c>
      <c r="BJ863" t="s">
        <v>1945</v>
      </c>
      <c r="BK863" t="s">
        <v>294</v>
      </c>
      <c r="BL863" t="s">
        <v>1945</v>
      </c>
      <c r="BM863" t="s">
        <v>16895</v>
      </c>
      <c r="BN863" t="s">
        <v>74</v>
      </c>
      <c r="BO863" t="s">
        <v>74</v>
      </c>
      <c r="BP863" t="s">
        <v>74</v>
      </c>
      <c r="BQ863" t="s">
        <v>74</v>
      </c>
      <c r="BR863" t="s">
        <v>108</v>
      </c>
      <c r="BS863" t="s">
        <v>16896</v>
      </c>
      <c r="BT863" t="str">
        <f>HYPERLINK("https%3A%2F%2Fwww.webofscience.com%2Fwos%2Fwoscc%2Ffull-record%2FWOS:000489663200001","View Full Record in Web of Science")</f>
        <v>View Full Record in Web of Science</v>
      </c>
    </row>
    <row r="864" spans="1:72" x14ac:dyDescent="0.15">
      <c r="A864" t="s">
        <v>133</v>
      </c>
      <c r="B864" t="s">
        <v>16897</v>
      </c>
      <c r="C864" t="s">
        <v>74</v>
      </c>
      <c r="D864" t="s">
        <v>74</v>
      </c>
      <c r="E864" t="s">
        <v>74</v>
      </c>
      <c r="F864" t="s">
        <v>16898</v>
      </c>
      <c r="G864" t="s">
        <v>74</v>
      </c>
      <c r="H864" t="s">
        <v>74</v>
      </c>
      <c r="I864" t="s">
        <v>16899</v>
      </c>
      <c r="J864" t="s">
        <v>1487</v>
      </c>
      <c r="K864" t="s">
        <v>74</v>
      </c>
      <c r="L864" t="s">
        <v>74</v>
      </c>
      <c r="M864" t="s">
        <v>80</v>
      </c>
      <c r="N864" t="s">
        <v>138</v>
      </c>
      <c r="O864" t="s">
        <v>74</v>
      </c>
      <c r="P864" t="s">
        <v>74</v>
      </c>
      <c r="Q864" t="s">
        <v>74</v>
      </c>
      <c r="R864" t="s">
        <v>74</v>
      </c>
      <c r="S864" t="s">
        <v>74</v>
      </c>
      <c r="T864" t="s">
        <v>16900</v>
      </c>
      <c r="U864" t="s">
        <v>16901</v>
      </c>
      <c r="V864" t="s">
        <v>16902</v>
      </c>
      <c r="W864" t="s">
        <v>16903</v>
      </c>
      <c r="X864" t="s">
        <v>16904</v>
      </c>
      <c r="Y864" t="s">
        <v>16905</v>
      </c>
      <c r="Z864" t="s">
        <v>16906</v>
      </c>
      <c r="AA864" t="s">
        <v>16907</v>
      </c>
      <c r="AB864" t="s">
        <v>16908</v>
      </c>
      <c r="AC864" t="s">
        <v>16909</v>
      </c>
      <c r="AD864" t="s">
        <v>16910</v>
      </c>
      <c r="AE864" t="s">
        <v>16911</v>
      </c>
      <c r="AF864" t="s">
        <v>74</v>
      </c>
      <c r="AG864">
        <v>80</v>
      </c>
      <c r="AH864">
        <v>16</v>
      </c>
      <c r="AI864">
        <v>19</v>
      </c>
      <c r="AJ864">
        <v>0</v>
      </c>
      <c r="AK864">
        <v>16</v>
      </c>
      <c r="AL864" t="s">
        <v>1264</v>
      </c>
      <c r="AM864" t="s">
        <v>1265</v>
      </c>
      <c r="AN864" t="s">
        <v>1266</v>
      </c>
      <c r="AO864" t="s">
        <v>1500</v>
      </c>
      <c r="AP864" t="s">
        <v>1501</v>
      </c>
      <c r="AQ864" t="s">
        <v>74</v>
      </c>
      <c r="AR864" t="s">
        <v>1502</v>
      </c>
      <c r="AS864" t="s">
        <v>1503</v>
      </c>
      <c r="AT864" t="s">
        <v>15868</v>
      </c>
      <c r="AU864">
        <v>2019</v>
      </c>
      <c r="AV864">
        <v>124</v>
      </c>
      <c r="AW864" t="s">
        <v>16835</v>
      </c>
      <c r="AX864" t="s">
        <v>74</v>
      </c>
      <c r="AY864" t="s">
        <v>74</v>
      </c>
      <c r="AZ864" t="s">
        <v>74</v>
      </c>
      <c r="BA864" t="s">
        <v>74</v>
      </c>
      <c r="BB864">
        <v>10186</v>
      </c>
      <c r="BC864">
        <v>10204</v>
      </c>
      <c r="BD864" t="s">
        <v>74</v>
      </c>
      <c r="BE864" t="s">
        <v>16912</v>
      </c>
      <c r="BF864" t="str">
        <f>HYPERLINK("http://dx.doi.org/10.1029/2019JD030673","http://dx.doi.org/10.1029/2019JD030673")</f>
        <v>http://dx.doi.org/10.1029/2019JD030673</v>
      </c>
      <c r="BG864" t="s">
        <v>74</v>
      </c>
      <c r="BH864" t="s">
        <v>16167</v>
      </c>
      <c r="BI864">
        <v>19</v>
      </c>
      <c r="BJ864" t="s">
        <v>1024</v>
      </c>
      <c r="BK864" t="s">
        <v>294</v>
      </c>
      <c r="BL864" t="s">
        <v>1024</v>
      </c>
      <c r="BM864" t="s">
        <v>16837</v>
      </c>
      <c r="BN864" t="s">
        <v>74</v>
      </c>
      <c r="BO864" t="s">
        <v>666</v>
      </c>
      <c r="BP864" t="s">
        <v>74</v>
      </c>
      <c r="BQ864" t="s">
        <v>74</v>
      </c>
      <c r="BR864" t="s">
        <v>108</v>
      </c>
      <c r="BS864" t="s">
        <v>16913</v>
      </c>
      <c r="BT864" t="str">
        <f>HYPERLINK("https%3A%2F%2Fwww.webofscience.com%2Fwos%2Fwoscc%2Ffull-record%2FWOS:000486892200001","View Full Record in Web of Science")</f>
        <v>View Full Record in Web of Science</v>
      </c>
    </row>
    <row r="865" spans="1:72" x14ac:dyDescent="0.15">
      <c r="A865" t="s">
        <v>133</v>
      </c>
      <c r="B865" t="s">
        <v>16914</v>
      </c>
      <c r="C865" t="s">
        <v>74</v>
      </c>
      <c r="D865" t="s">
        <v>74</v>
      </c>
      <c r="E865" t="s">
        <v>74</v>
      </c>
      <c r="F865" t="s">
        <v>16915</v>
      </c>
      <c r="G865" t="s">
        <v>74</v>
      </c>
      <c r="H865" t="s">
        <v>74</v>
      </c>
      <c r="I865" t="s">
        <v>16916</v>
      </c>
      <c r="J865" t="s">
        <v>1462</v>
      </c>
      <c r="K865" t="s">
        <v>74</v>
      </c>
      <c r="L865" t="s">
        <v>74</v>
      </c>
      <c r="M865" t="s">
        <v>80</v>
      </c>
      <c r="N865" t="s">
        <v>138</v>
      </c>
      <c r="O865" t="s">
        <v>74</v>
      </c>
      <c r="P865" t="s">
        <v>74</v>
      </c>
      <c r="Q865" t="s">
        <v>74</v>
      </c>
      <c r="R865" t="s">
        <v>74</v>
      </c>
      <c r="S865" t="s">
        <v>74</v>
      </c>
      <c r="T865" t="s">
        <v>16917</v>
      </c>
      <c r="U865" t="s">
        <v>16918</v>
      </c>
      <c r="V865" t="s">
        <v>16919</v>
      </c>
      <c r="W865" t="s">
        <v>16920</v>
      </c>
      <c r="X865" t="s">
        <v>16921</v>
      </c>
      <c r="Y865" t="s">
        <v>16922</v>
      </c>
      <c r="Z865" t="s">
        <v>16923</v>
      </c>
      <c r="AA865" t="s">
        <v>16924</v>
      </c>
      <c r="AB865" t="s">
        <v>16925</v>
      </c>
      <c r="AC865" t="s">
        <v>16926</v>
      </c>
      <c r="AD865" t="s">
        <v>16927</v>
      </c>
      <c r="AE865" t="s">
        <v>16928</v>
      </c>
      <c r="AF865" t="s">
        <v>74</v>
      </c>
      <c r="AG865">
        <v>45</v>
      </c>
      <c r="AH865">
        <v>17</v>
      </c>
      <c r="AI865">
        <v>20</v>
      </c>
      <c r="AJ865">
        <v>0</v>
      </c>
      <c r="AK865">
        <v>9</v>
      </c>
      <c r="AL865" t="s">
        <v>1264</v>
      </c>
      <c r="AM865" t="s">
        <v>1265</v>
      </c>
      <c r="AN865" t="s">
        <v>1266</v>
      </c>
      <c r="AO865" t="s">
        <v>1475</v>
      </c>
      <c r="AP865" t="s">
        <v>1476</v>
      </c>
      <c r="AQ865" t="s">
        <v>74</v>
      </c>
      <c r="AR865" t="s">
        <v>1477</v>
      </c>
      <c r="AS865" t="s">
        <v>1478</v>
      </c>
      <c r="AT865" t="s">
        <v>16929</v>
      </c>
      <c r="AU865">
        <v>2019</v>
      </c>
      <c r="AV865">
        <v>46</v>
      </c>
      <c r="AW865" t="s">
        <v>16835</v>
      </c>
      <c r="AX865" t="s">
        <v>74</v>
      </c>
      <c r="AY865" t="s">
        <v>74</v>
      </c>
      <c r="AZ865" t="s">
        <v>74</v>
      </c>
      <c r="BA865" t="s">
        <v>74</v>
      </c>
      <c r="BB865">
        <v>10454</v>
      </c>
      <c r="BC865">
        <v>10462</v>
      </c>
      <c r="BD865" t="s">
        <v>74</v>
      </c>
      <c r="BE865" t="s">
        <v>16930</v>
      </c>
      <c r="BF865" t="str">
        <f>HYPERLINK("http://dx.doi.org/10.1029/2019GL084012","http://dx.doi.org/10.1029/2019GL084012")</f>
        <v>http://dx.doi.org/10.1029/2019GL084012</v>
      </c>
      <c r="BG865" t="s">
        <v>74</v>
      </c>
      <c r="BH865" t="s">
        <v>16167</v>
      </c>
      <c r="BI865">
        <v>9</v>
      </c>
      <c r="BJ865" t="s">
        <v>849</v>
      </c>
      <c r="BK865" t="s">
        <v>294</v>
      </c>
      <c r="BL865" t="s">
        <v>850</v>
      </c>
      <c r="BM865" t="s">
        <v>16931</v>
      </c>
      <c r="BN865" t="s">
        <v>74</v>
      </c>
      <c r="BO865" t="s">
        <v>9511</v>
      </c>
      <c r="BP865" t="s">
        <v>74</v>
      </c>
      <c r="BQ865" t="s">
        <v>74</v>
      </c>
      <c r="BR865" t="s">
        <v>108</v>
      </c>
      <c r="BS865" t="s">
        <v>16932</v>
      </c>
      <c r="BT865" t="str">
        <f>HYPERLINK("https%3A%2F%2Fwww.webofscience.com%2Fwos%2Fwoscc%2Ffull-record%2FWOS:000485396900001","View Full Record in Web of Science")</f>
        <v>View Full Record in Web of Science</v>
      </c>
    </row>
    <row r="866" spans="1:72" x14ac:dyDescent="0.15">
      <c r="A866" t="s">
        <v>133</v>
      </c>
      <c r="B866" t="s">
        <v>16933</v>
      </c>
      <c r="C866" t="s">
        <v>74</v>
      </c>
      <c r="D866" t="s">
        <v>74</v>
      </c>
      <c r="E866" t="s">
        <v>74</v>
      </c>
      <c r="F866" t="s">
        <v>16934</v>
      </c>
      <c r="G866" t="s">
        <v>74</v>
      </c>
      <c r="H866" t="s">
        <v>74</v>
      </c>
      <c r="I866" t="s">
        <v>16935</v>
      </c>
      <c r="J866" t="s">
        <v>2623</v>
      </c>
      <c r="K866" t="s">
        <v>74</v>
      </c>
      <c r="L866" t="s">
        <v>74</v>
      </c>
      <c r="M866" t="s">
        <v>80</v>
      </c>
      <c r="N866" t="s">
        <v>138</v>
      </c>
      <c r="O866" t="s">
        <v>74</v>
      </c>
      <c r="P866" t="s">
        <v>74</v>
      </c>
      <c r="Q866" t="s">
        <v>74</v>
      </c>
      <c r="R866" t="s">
        <v>74</v>
      </c>
      <c r="S866" t="s">
        <v>74</v>
      </c>
      <c r="T866" t="s">
        <v>74</v>
      </c>
      <c r="U866" t="s">
        <v>16936</v>
      </c>
      <c r="V866" t="s">
        <v>16937</v>
      </c>
      <c r="W866" t="s">
        <v>16938</v>
      </c>
      <c r="X866" t="s">
        <v>16939</v>
      </c>
      <c r="Y866" t="s">
        <v>16940</v>
      </c>
      <c r="Z866" t="s">
        <v>16941</v>
      </c>
      <c r="AA866" t="s">
        <v>16942</v>
      </c>
      <c r="AB866" t="s">
        <v>16943</v>
      </c>
      <c r="AC866" t="s">
        <v>16944</v>
      </c>
      <c r="AD866" t="s">
        <v>16945</v>
      </c>
      <c r="AE866" t="s">
        <v>16946</v>
      </c>
      <c r="AF866" t="s">
        <v>74</v>
      </c>
      <c r="AG866">
        <v>62</v>
      </c>
      <c r="AH866">
        <v>17</v>
      </c>
      <c r="AI866">
        <v>18</v>
      </c>
      <c r="AJ866">
        <v>1</v>
      </c>
      <c r="AK866">
        <v>6</v>
      </c>
      <c r="AL866" t="s">
        <v>2635</v>
      </c>
      <c r="AM866" t="s">
        <v>841</v>
      </c>
      <c r="AN866" t="s">
        <v>842</v>
      </c>
      <c r="AO866" t="s">
        <v>2636</v>
      </c>
      <c r="AP866" t="s">
        <v>74</v>
      </c>
      <c r="AQ866" t="s">
        <v>74</v>
      </c>
      <c r="AR866" t="s">
        <v>2637</v>
      </c>
      <c r="AS866" t="s">
        <v>2638</v>
      </c>
      <c r="AT866" t="s">
        <v>16947</v>
      </c>
      <c r="AU866">
        <v>2019</v>
      </c>
      <c r="AV866">
        <v>9</v>
      </c>
      <c r="AW866" t="s">
        <v>74</v>
      </c>
      <c r="AX866" t="s">
        <v>74</v>
      </c>
      <c r="AY866" t="s">
        <v>74</v>
      </c>
      <c r="AZ866" t="s">
        <v>74</v>
      </c>
      <c r="BA866" t="s">
        <v>74</v>
      </c>
      <c r="BB866" t="s">
        <v>74</v>
      </c>
      <c r="BC866" t="s">
        <v>74</v>
      </c>
      <c r="BD866">
        <v>13050</v>
      </c>
      <c r="BE866" t="s">
        <v>16948</v>
      </c>
      <c r="BF866" t="str">
        <f>HYPERLINK("http://dx.doi.org/10.1038/s41598-019-49586-z","http://dx.doi.org/10.1038/s41598-019-49586-z")</f>
        <v>http://dx.doi.org/10.1038/s41598-019-49586-z</v>
      </c>
      <c r="BG866" t="s">
        <v>74</v>
      </c>
      <c r="BH866" t="s">
        <v>74</v>
      </c>
      <c r="BI866">
        <v>15</v>
      </c>
      <c r="BJ866" t="s">
        <v>1245</v>
      </c>
      <c r="BK866" t="s">
        <v>294</v>
      </c>
      <c r="BL866" t="s">
        <v>1246</v>
      </c>
      <c r="BM866" t="s">
        <v>16949</v>
      </c>
      <c r="BN866">
        <v>31506539</v>
      </c>
      <c r="BO866" t="s">
        <v>693</v>
      </c>
      <c r="BP866" t="s">
        <v>74</v>
      </c>
      <c r="BQ866" t="s">
        <v>74</v>
      </c>
      <c r="BR866" t="s">
        <v>108</v>
      </c>
      <c r="BS866" t="s">
        <v>16950</v>
      </c>
      <c r="BT866" t="str">
        <f>HYPERLINK("https%3A%2F%2Fwww.webofscience.com%2Fwos%2Fwoscc%2Ffull-record%2FWOS:000484988100024","View Full Record in Web of Science")</f>
        <v>View Full Record in Web of Science</v>
      </c>
    </row>
    <row r="867" spans="1:72" x14ac:dyDescent="0.15">
      <c r="A867" t="s">
        <v>133</v>
      </c>
      <c r="B867" t="s">
        <v>16951</v>
      </c>
      <c r="C867" t="s">
        <v>74</v>
      </c>
      <c r="D867" t="s">
        <v>74</v>
      </c>
      <c r="E867" t="s">
        <v>74</v>
      </c>
      <c r="F867" t="s">
        <v>16952</v>
      </c>
      <c r="G867" t="s">
        <v>74</v>
      </c>
      <c r="H867" t="s">
        <v>74</v>
      </c>
      <c r="I867" t="s">
        <v>16953</v>
      </c>
      <c r="J867" t="s">
        <v>1412</v>
      </c>
      <c r="K867" t="s">
        <v>74</v>
      </c>
      <c r="L867" t="s">
        <v>74</v>
      </c>
      <c r="M867" t="s">
        <v>80</v>
      </c>
      <c r="N867" t="s">
        <v>1333</v>
      </c>
      <c r="O867" t="s">
        <v>74</v>
      </c>
      <c r="P867" t="s">
        <v>74</v>
      </c>
      <c r="Q867" t="s">
        <v>74</v>
      </c>
      <c r="R867" t="s">
        <v>74</v>
      </c>
      <c r="S867" t="s">
        <v>74</v>
      </c>
      <c r="T867" t="s">
        <v>74</v>
      </c>
      <c r="U867" t="s">
        <v>74</v>
      </c>
      <c r="V867" t="s">
        <v>74</v>
      </c>
      <c r="W867" t="s">
        <v>16954</v>
      </c>
      <c r="X867" t="s">
        <v>16955</v>
      </c>
      <c r="Y867" t="s">
        <v>16956</v>
      </c>
      <c r="Z867" t="s">
        <v>16957</v>
      </c>
      <c r="AA867" t="s">
        <v>16958</v>
      </c>
      <c r="AB867" t="s">
        <v>16959</v>
      </c>
      <c r="AC867" t="s">
        <v>16960</v>
      </c>
      <c r="AD867" t="s">
        <v>16961</v>
      </c>
      <c r="AE867" t="s">
        <v>16962</v>
      </c>
      <c r="AF867" t="s">
        <v>74</v>
      </c>
      <c r="AG867">
        <v>17</v>
      </c>
      <c r="AH867">
        <v>64</v>
      </c>
      <c r="AI867">
        <v>66</v>
      </c>
      <c r="AJ867">
        <v>1</v>
      </c>
      <c r="AK867">
        <v>22</v>
      </c>
      <c r="AL867" t="s">
        <v>1425</v>
      </c>
      <c r="AM867" t="s">
        <v>1265</v>
      </c>
      <c r="AN867" t="s">
        <v>1426</v>
      </c>
      <c r="AO867" t="s">
        <v>1427</v>
      </c>
      <c r="AP867" t="s">
        <v>74</v>
      </c>
      <c r="AQ867" t="s">
        <v>74</v>
      </c>
      <c r="AR867" t="s">
        <v>1429</v>
      </c>
      <c r="AS867" t="s">
        <v>1430</v>
      </c>
      <c r="AT867" t="s">
        <v>16947</v>
      </c>
      <c r="AU867">
        <v>2019</v>
      </c>
      <c r="AV867">
        <v>116</v>
      </c>
      <c r="AW867">
        <v>37</v>
      </c>
      <c r="AX867" t="s">
        <v>74</v>
      </c>
      <c r="AY867" t="s">
        <v>74</v>
      </c>
      <c r="AZ867" t="s">
        <v>74</v>
      </c>
      <c r="BA867" t="s">
        <v>74</v>
      </c>
      <c r="BB867">
        <v>18152</v>
      </c>
      <c r="BC867">
        <v>18156</v>
      </c>
      <c r="BD867" t="s">
        <v>74</v>
      </c>
      <c r="BE867" t="s">
        <v>16963</v>
      </c>
      <c r="BF867" t="str">
        <f>HYPERLINK("http://dx.doi.org/10.1073/pnas.1913308116","http://dx.doi.org/10.1073/pnas.1913308116")</f>
        <v>http://dx.doi.org/10.1073/pnas.1913308116</v>
      </c>
      <c r="BG867" t="s">
        <v>74</v>
      </c>
      <c r="BH867" t="s">
        <v>74</v>
      </c>
      <c r="BI867">
        <v>5</v>
      </c>
      <c r="BJ867" t="s">
        <v>1245</v>
      </c>
      <c r="BK867" t="s">
        <v>294</v>
      </c>
      <c r="BL867" t="s">
        <v>1246</v>
      </c>
      <c r="BM867" t="s">
        <v>16964</v>
      </c>
      <c r="BN867">
        <v>31506376</v>
      </c>
      <c r="BO867" t="s">
        <v>7452</v>
      </c>
      <c r="BP867" t="s">
        <v>74</v>
      </c>
      <c r="BQ867" t="s">
        <v>74</v>
      </c>
      <c r="BR867" t="s">
        <v>108</v>
      </c>
      <c r="BS867" t="s">
        <v>16965</v>
      </c>
      <c r="BT867" t="str">
        <f>HYPERLINK("https%3A%2F%2Fwww.webofscience.com%2Fwos%2Fwoscc%2Ffull-record%2FWOS:000485145400001","View Full Record in Web of Science")</f>
        <v>View Full Record in Web of Science</v>
      </c>
    </row>
    <row r="868" spans="1:72" x14ac:dyDescent="0.15">
      <c r="A868" t="s">
        <v>133</v>
      </c>
      <c r="B868" t="s">
        <v>16966</v>
      </c>
      <c r="C868" t="s">
        <v>74</v>
      </c>
      <c r="D868" t="s">
        <v>74</v>
      </c>
      <c r="E868" t="s">
        <v>74</v>
      </c>
      <c r="F868" t="s">
        <v>16967</v>
      </c>
      <c r="G868" t="s">
        <v>74</v>
      </c>
      <c r="H868" t="s">
        <v>74</v>
      </c>
      <c r="I868" t="s">
        <v>16968</v>
      </c>
      <c r="J868" t="s">
        <v>1553</v>
      </c>
      <c r="K868" t="s">
        <v>74</v>
      </c>
      <c r="L868" t="s">
        <v>74</v>
      </c>
      <c r="M868" t="s">
        <v>80</v>
      </c>
      <c r="N868" t="s">
        <v>138</v>
      </c>
      <c r="O868" t="s">
        <v>74</v>
      </c>
      <c r="P868" t="s">
        <v>74</v>
      </c>
      <c r="Q868" t="s">
        <v>74</v>
      </c>
      <c r="R868" t="s">
        <v>74</v>
      </c>
      <c r="S868" t="s">
        <v>74</v>
      </c>
      <c r="T868" t="s">
        <v>16969</v>
      </c>
      <c r="U868" t="s">
        <v>16970</v>
      </c>
      <c r="V868" t="s">
        <v>16971</v>
      </c>
      <c r="W868" t="s">
        <v>16972</v>
      </c>
      <c r="X868" t="s">
        <v>16973</v>
      </c>
      <c r="Y868" t="s">
        <v>16974</v>
      </c>
      <c r="Z868" t="s">
        <v>16975</v>
      </c>
      <c r="AA868" t="s">
        <v>16976</v>
      </c>
      <c r="AB868" t="s">
        <v>16977</v>
      </c>
      <c r="AC868" t="s">
        <v>16978</v>
      </c>
      <c r="AD868" t="s">
        <v>16979</v>
      </c>
      <c r="AE868" t="s">
        <v>16980</v>
      </c>
      <c r="AF868" t="s">
        <v>74</v>
      </c>
      <c r="AG868">
        <v>35</v>
      </c>
      <c r="AH868">
        <v>26</v>
      </c>
      <c r="AI868">
        <v>27</v>
      </c>
      <c r="AJ868">
        <v>0</v>
      </c>
      <c r="AK868">
        <v>1</v>
      </c>
      <c r="AL868" t="s">
        <v>1264</v>
      </c>
      <c r="AM868" t="s">
        <v>1265</v>
      </c>
      <c r="AN868" t="s">
        <v>1266</v>
      </c>
      <c r="AO868" t="s">
        <v>1566</v>
      </c>
      <c r="AP868" t="s">
        <v>1567</v>
      </c>
      <c r="AQ868" t="s">
        <v>74</v>
      </c>
      <c r="AR868" t="s">
        <v>1568</v>
      </c>
      <c r="AS868" t="s">
        <v>1569</v>
      </c>
      <c r="AT868" t="s">
        <v>3499</v>
      </c>
      <c r="AU868">
        <v>2019</v>
      </c>
      <c r="AV868">
        <v>124</v>
      </c>
      <c r="AW868">
        <v>9</v>
      </c>
      <c r="AX868" t="s">
        <v>74</v>
      </c>
      <c r="AY868" t="s">
        <v>74</v>
      </c>
      <c r="AZ868" t="s">
        <v>74</v>
      </c>
      <c r="BA868" t="s">
        <v>74</v>
      </c>
      <c r="BB868">
        <v>7442</v>
      </c>
      <c r="BC868">
        <v>7458</v>
      </c>
      <c r="BD868" t="s">
        <v>74</v>
      </c>
      <c r="BE868" t="s">
        <v>16981</v>
      </c>
      <c r="BF868" t="str">
        <f>HYPERLINK("http://dx.doi.org/10.1029/2019JA026794","http://dx.doi.org/10.1029/2019JA026794")</f>
        <v>http://dx.doi.org/10.1029/2019JA026794</v>
      </c>
      <c r="BG868" t="s">
        <v>74</v>
      </c>
      <c r="BH868" t="s">
        <v>16167</v>
      </c>
      <c r="BI868">
        <v>17</v>
      </c>
      <c r="BJ868" t="s">
        <v>1571</v>
      </c>
      <c r="BK868" t="s">
        <v>294</v>
      </c>
      <c r="BL868" t="s">
        <v>1571</v>
      </c>
      <c r="BM868" t="s">
        <v>16982</v>
      </c>
      <c r="BN868" t="s">
        <v>74</v>
      </c>
      <c r="BO868" t="s">
        <v>1740</v>
      </c>
      <c r="BP868" t="s">
        <v>74</v>
      </c>
      <c r="BQ868" t="s">
        <v>74</v>
      </c>
      <c r="BR868" t="s">
        <v>108</v>
      </c>
      <c r="BS868" t="s">
        <v>16983</v>
      </c>
      <c r="BT868" t="str">
        <f>HYPERLINK("https%3A%2F%2Fwww.webofscience.com%2Fwos%2Fwoscc%2Ffull-record%2FWOS:000485991500001","View Full Record in Web of Science")</f>
        <v>View Full Record in Web of Science</v>
      </c>
    </row>
    <row r="869" spans="1:72" x14ac:dyDescent="0.15">
      <c r="A869" t="s">
        <v>133</v>
      </c>
      <c r="B869" t="s">
        <v>16984</v>
      </c>
      <c r="C869" t="s">
        <v>74</v>
      </c>
      <c r="D869" t="s">
        <v>74</v>
      </c>
      <c r="E869" t="s">
        <v>74</v>
      </c>
      <c r="F869" t="s">
        <v>16985</v>
      </c>
      <c r="G869" t="s">
        <v>74</v>
      </c>
      <c r="H869" t="s">
        <v>74</v>
      </c>
      <c r="I869" t="s">
        <v>16986</v>
      </c>
      <c r="J869" t="s">
        <v>16987</v>
      </c>
      <c r="K869" t="s">
        <v>74</v>
      </c>
      <c r="L869" t="s">
        <v>74</v>
      </c>
      <c r="M869" t="s">
        <v>80</v>
      </c>
      <c r="N869" t="s">
        <v>138</v>
      </c>
      <c r="O869" t="s">
        <v>74</v>
      </c>
      <c r="P869" t="s">
        <v>74</v>
      </c>
      <c r="Q869" t="s">
        <v>74</v>
      </c>
      <c r="R869" t="s">
        <v>74</v>
      </c>
      <c r="S869" t="s">
        <v>74</v>
      </c>
      <c r="T869" t="s">
        <v>16988</v>
      </c>
      <c r="U869" t="s">
        <v>16989</v>
      </c>
      <c r="V869" t="s">
        <v>16990</v>
      </c>
      <c r="W869" t="s">
        <v>16991</v>
      </c>
      <c r="X869" t="s">
        <v>16992</v>
      </c>
      <c r="Y869" t="s">
        <v>16993</v>
      </c>
      <c r="Z869" t="s">
        <v>16994</v>
      </c>
      <c r="AA869" t="s">
        <v>16995</v>
      </c>
      <c r="AB869" t="s">
        <v>74</v>
      </c>
      <c r="AC869" t="s">
        <v>16996</v>
      </c>
      <c r="AD869" t="s">
        <v>16997</v>
      </c>
      <c r="AE869" t="s">
        <v>16998</v>
      </c>
      <c r="AF869" t="s">
        <v>74</v>
      </c>
      <c r="AG869">
        <v>37</v>
      </c>
      <c r="AH869">
        <v>23</v>
      </c>
      <c r="AI869">
        <v>24</v>
      </c>
      <c r="AJ869">
        <v>0</v>
      </c>
      <c r="AK869">
        <v>18</v>
      </c>
      <c r="AL869" t="s">
        <v>429</v>
      </c>
      <c r="AM869" t="s">
        <v>430</v>
      </c>
      <c r="AN869" t="s">
        <v>431</v>
      </c>
      <c r="AO869" t="s">
        <v>16999</v>
      </c>
      <c r="AP869" t="s">
        <v>17000</v>
      </c>
      <c r="AQ869" t="s">
        <v>74</v>
      </c>
      <c r="AR869" t="s">
        <v>17001</v>
      </c>
      <c r="AS869" t="s">
        <v>17002</v>
      </c>
      <c r="AT869" t="s">
        <v>1270</v>
      </c>
      <c r="AU869">
        <v>2019</v>
      </c>
      <c r="AV869">
        <v>50</v>
      </c>
      <c r="AW869">
        <v>6</v>
      </c>
      <c r="AX869" t="s">
        <v>74</v>
      </c>
      <c r="AY869" t="s">
        <v>74</v>
      </c>
      <c r="AZ869" t="s">
        <v>555</v>
      </c>
      <c r="BA869" t="s">
        <v>74</v>
      </c>
      <c r="BB869">
        <v>1048</v>
      </c>
      <c r="BC869">
        <v>1063</v>
      </c>
      <c r="BD869" t="s">
        <v>74</v>
      </c>
      <c r="BE869" t="s">
        <v>17003</v>
      </c>
      <c r="BF869" t="str">
        <f>HYPERLINK("http://dx.doi.org/10.1111/jwas.12648","http://dx.doi.org/10.1111/jwas.12648")</f>
        <v>http://dx.doi.org/10.1111/jwas.12648</v>
      </c>
      <c r="BG869" t="s">
        <v>74</v>
      </c>
      <c r="BH869" t="s">
        <v>16167</v>
      </c>
      <c r="BI869">
        <v>16</v>
      </c>
      <c r="BJ869" t="s">
        <v>413</v>
      </c>
      <c r="BK869" t="s">
        <v>294</v>
      </c>
      <c r="BL869" t="s">
        <v>413</v>
      </c>
      <c r="BM869" t="s">
        <v>17004</v>
      </c>
      <c r="BN869" t="s">
        <v>74</v>
      </c>
      <c r="BO869" t="s">
        <v>74</v>
      </c>
      <c r="BP869" t="s">
        <v>74</v>
      </c>
      <c r="BQ869" t="s">
        <v>74</v>
      </c>
      <c r="BR869" t="s">
        <v>108</v>
      </c>
      <c r="BS869" t="s">
        <v>17005</v>
      </c>
      <c r="BT869" t="str">
        <f>HYPERLINK("https%3A%2F%2Fwww.webofscience.com%2Fwos%2Fwoscc%2Ffull-record%2FWOS:000485615200001","View Full Record in Web of Science")</f>
        <v>View Full Record in Web of Science</v>
      </c>
    </row>
    <row r="870" spans="1:72" x14ac:dyDescent="0.15">
      <c r="A870" t="s">
        <v>133</v>
      </c>
      <c r="B870" t="s">
        <v>17006</v>
      </c>
      <c r="C870" t="s">
        <v>74</v>
      </c>
      <c r="D870" t="s">
        <v>74</v>
      </c>
      <c r="E870" t="s">
        <v>74</v>
      </c>
      <c r="F870" t="s">
        <v>17007</v>
      </c>
      <c r="G870" t="s">
        <v>74</v>
      </c>
      <c r="H870" t="s">
        <v>74</v>
      </c>
      <c r="I870" t="s">
        <v>17008</v>
      </c>
      <c r="J870" t="s">
        <v>1796</v>
      </c>
      <c r="K870" t="s">
        <v>74</v>
      </c>
      <c r="L870" t="s">
        <v>74</v>
      </c>
      <c r="M870" t="s">
        <v>80</v>
      </c>
      <c r="N870" t="s">
        <v>138</v>
      </c>
      <c r="O870" t="s">
        <v>74</v>
      </c>
      <c r="P870" t="s">
        <v>74</v>
      </c>
      <c r="Q870" t="s">
        <v>74</v>
      </c>
      <c r="R870" t="s">
        <v>74</v>
      </c>
      <c r="S870" t="s">
        <v>74</v>
      </c>
      <c r="T870" t="s">
        <v>74</v>
      </c>
      <c r="U870" t="s">
        <v>17009</v>
      </c>
      <c r="V870" t="s">
        <v>17010</v>
      </c>
      <c r="W870" t="s">
        <v>17011</v>
      </c>
      <c r="X870" t="s">
        <v>17012</v>
      </c>
      <c r="Y870" t="s">
        <v>17013</v>
      </c>
      <c r="Z870" t="s">
        <v>17014</v>
      </c>
      <c r="AA870" t="s">
        <v>17015</v>
      </c>
      <c r="AB870" t="s">
        <v>17016</v>
      </c>
      <c r="AC870" t="s">
        <v>17017</v>
      </c>
      <c r="AD870" t="s">
        <v>17018</v>
      </c>
      <c r="AE870" t="s">
        <v>17019</v>
      </c>
      <c r="AF870" t="s">
        <v>74</v>
      </c>
      <c r="AG870">
        <v>55</v>
      </c>
      <c r="AH870">
        <v>6</v>
      </c>
      <c r="AI870">
        <v>7</v>
      </c>
      <c r="AJ870">
        <v>0</v>
      </c>
      <c r="AK870">
        <v>14</v>
      </c>
      <c r="AL870" t="s">
        <v>429</v>
      </c>
      <c r="AM870" t="s">
        <v>430</v>
      </c>
      <c r="AN870" t="s">
        <v>431</v>
      </c>
      <c r="AO870" t="s">
        <v>1808</v>
      </c>
      <c r="AP870" t="s">
        <v>1809</v>
      </c>
      <c r="AQ870" t="s">
        <v>74</v>
      </c>
      <c r="AR870" t="s">
        <v>1810</v>
      </c>
      <c r="AS870" t="s">
        <v>1811</v>
      </c>
      <c r="AT870" t="s">
        <v>1298</v>
      </c>
      <c r="AU870">
        <v>2020</v>
      </c>
      <c r="AV870">
        <v>65</v>
      </c>
      <c r="AW870">
        <v>3</v>
      </c>
      <c r="AX870" t="s">
        <v>74</v>
      </c>
      <c r="AY870" t="s">
        <v>74</v>
      </c>
      <c r="AZ870" t="s">
        <v>74</v>
      </c>
      <c r="BA870" t="s">
        <v>74</v>
      </c>
      <c r="BB870">
        <v>504</v>
      </c>
      <c r="BC870">
        <v>514</v>
      </c>
      <c r="BD870" t="s">
        <v>74</v>
      </c>
      <c r="BE870" t="s">
        <v>17020</v>
      </c>
      <c r="BF870" t="str">
        <f>HYPERLINK("http://dx.doi.org/10.1002/lno.11318","http://dx.doi.org/10.1002/lno.11318")</f>
        <v>http://dx.doi.org/10.1002/lno.11318</v>
      </c>
      <c r="BG870" t="s">
        <v>74</v>
      </c>
      <c r="BH870" t="s">
        <v>16167</v>
      </c>
      <c r="BI870">
        <v>11</v>
      </c>
      <c r="BJ870" t="s">
        <v>1813</v>
      </c>
      <c r="BK870" t="s">
        <v>294</v>
      </c>
      <c r="BL870" t="s">
        <v>1814</v>
      </c>
      <c r="BM870" t="s">
        <v>17021</v>
      </c>
      <c r="BN870" t="s">
        <v>74</v>
      </c>
      <c r="BO870" t="s">
        <v>588</v>
      </c>
      <c r="BP870" t="s">
        <v>74</v>
      </c>
      <c r="BQ870" t="s">
        <v>74</v>
      </c>
      <c r="BR870" t="s">
        <v>108</v>
      </c>
      <c r="BS870" t="s">
        <v>17022</v>
      </c>
      <c r="BT870" t="str">
        <f>HYPERLINK("https%3A%2F%2Fwww.webofscience.com%2Fwos%2Fwoscc%2Ffull-record%2FWOS:000485502200001","View Full Record in Web of Science")</f>
        <v>View Full Record in Web of Science</v>
      </c>
    </row>
    <row r="871" spans="1:72" x14ac:dyDescent="0.15">
      <c r="A871" t="s">
        <v>133</v>
      </c>
      <c r="B871" t="s">
        <v>17023</v>
      </c>
      <c r="C871" t="s">
        <v>74</v>
      </c>
      <c r="D871" t="s">
        <v>74</v>
      </c>
      <c r="E871" t="s">
        <v>74</v>
      </c>
      <c r="F871" t="s">
        <v>17024</v>
      </c>
      <c r="G871" t="s">
        <v>74</v>
      </c>
      <c r="H871" t="s">
        <v>74</v>
      </c>
      <c r="I871" t="s">
        <v>17025</v>
      </c>
      <c r="J871" t="s">
        <v>12075</v>
      </c>
      <c r="K871" t="s">
        <v>74</v>
      </c>
      <c r="L871" t="s">
        <v>74</v>
      </c>
      <c r="M871" t="s">
        <v>80</v>
      </c>
      <c r="N871" t="s">
        <v>138</v>
      </c>
      <c r="O871" t="s">
        <v>74</v>
      </c>
      <c r="P871" t="s">
        <v>74</v>
      </c>
      <c r="Q871" t="s">
        <v>74</v>
      </c>
      <c r="R871" t="s">
        <v>74</v>
      </c>
      <c r="S871" t="s">
        <v>74</v>
      </c>
      <c r="T871" t="s">
        <v>17026</v>
      </c>
      <c r="U871" t="s">
        <v>17027</v>
      </c>
      <c r="V871" t="s">
        <v>17028</v>
      </c>
      <c r="W871" t="s">
        <v>17029</v>
      </c>
      <c r="X871" t="s">
        <v>17030</v>
      </c>
      <c r="Y871" t="s">
        <v>17031</v>
      </c>
      <c r="Z871" t="s">
        <v>17032</v>
      </c>
      <c r="AA871" t="s">
        <v>17033</v>
      </c>
      <c r="AB871" t="s">
        <v>17034</v>
      </c>
      <c r="AC871" t="s">
        <v>17035</v>
      </c>
      <c r="AD871" t="s">
        <v>17036</v>
      </c>
      <c r="AE871" t="s">
        <v>17037</v>
      </c>
      <c r="AF871" t="s">
        <v>74</v>
      </c>
      <c r="AG871">
        <v>80</v>
      </c>
      <c r="AH871">
        <v>9</v>
      </c>
      <c r="AI871">
        <v>11</v>
      </c>
      <c r="AJ871">
        <v>0</v>
      </c>
      <c r="AK871">
        <v>35</v>
      </c>
      <c r="AL871" t="s">
        <v>429</v>
      </c>
      <c r="AM871" t="s">
        <v>430</v>
      </c>
      <c r="AN871" t="s">
        <v>431</v>
      </c>
      <c r="AO871" t="s">
        <v>12088</v>
      </c>
      <c r="AP871" t="s">
        <v>12089</v>
      </c>
      <c r="AQ871" t="s">
        <v>74</v>
      </c>
      <c r="AR871" t="s">
        <v>12090</v>
      </c>
      <c r="AS871" t="s">
        <v>12091</v>
      </c>
      <c r="AT871" t="s">
        <v>1270</v>
      </c>
      <c r="AU871">
        <v>2019</v>
      </c>
      <c r="AV871">
        <v>29</v>
      </c>
      <c r="AW871">
        <v>12</v>
      </c>
      <c r="AX871" t="s">
        <v>74</v>
      </c>
      <c r="AY871" t="s">
        <v>74</v>
      </c>
      <c r="AZ871" t="s">
        <v>74</v>
      </c>
      <c r="BA871" t="s">
        <v>74</v>
      </c>
      <c r="BB871">
        <v>2147</v>
      </c>
      <c r="BC871">
        <v>2161</v>
      </c>
      <c r="BD871" t="s">
        <v>74</v>
      </c>
      <c r="BE871" t="s">
        <v>17038</v>
      </c>
      <c r="BF871" t="str">
        <f>HYPERLINK("http://dx.doi.org/10.1002/aqc.3200","http://dx.doi.org/10.1002/aqc.3200")</f>
        <v>http://dx.doi.org/10.1002/aqc.3200</v>
      </c>
      <c r="BG871" t="s">
        <v>74</v>
      </c>
      <c r="BH871" t="s">
        <v>16167</v>
      </c>
      <c r="BI871">
        <v>15</v>
      </c>
      <c r="BJ871" t="s">
        <v>12093</v>
      </c>
      <c r="BK871" t="s">
        <v>360</v>
      </c>
      <c r="BL871" t="s">
        <v>12094</v>
      </c>
      <c r="BM871" t="s">
        <v>17039</v>
      </c>
      <c r="BN871" t="s">
        <v>74</v>
      </c>
      <c r="BO871" t="s">
        <v>74</v>
      </c>
      <c r="BP871" t="s">
        <v>74</v>
      </c>
      <c r="BQ871" t="s">
        <v>74</v>
      </c>
      <c r="BR871" t="s">
        <v>108</v>
      </c>
      <c r="BS871" t="s">
        <v>17040</v>
      </c>
      <c r="BT871" t="str">
        <f>HYPERLINK("https%3A%2F%2Fwww.webofscience.com%2Fwos%2Fwoscc%2Ffull-record%2FWOS:000485569200001","View Full Record in Web of Science")</f>
        <v>View Full Record in Web of Science</v>
      </c>
    </row>
    <row r="872" spans="1:72" x14ac:dyDescent="0.15">
      <c r="A872" t="s">
        <v>133</v>
      </c>
      <c r="B872" t="s">
        <v>17041</v>
      </c>
      <c r="C872" t="s">
        <v>74</v>
      </c>
      <c r="D872" t="s">
        <v>74</v>
      </c>
      <c r="E872" t="s">
        <v>74</v>
      </c>
      <c r="F872" t="s">
        <v>17042</v>
      </c>
      <c r="G872" t="s">
        <v>74</v>
      </c>
      <c r="H872" t="s">
        <v>74</v>
      </c>
      <c r="I872" t="s">
        <v>17043</v>
      </c>
      <c r="J872" t="s">
        <v>1796</v>
      </c>
      <c r="K872" t="s">
        <v>74</v>
      </c>
      <c r="L872" t="s">
        <v>74</v>
      </c>
      <c r="M872" t="s">
        <v>80</v>
      </c>
      <c r="N872" t="s">
        <v>138</v>
      </c>
      <c r="O872" t="s">
        <v>74</v>
      </c>
      <c r="P872" t="s">
        <v>74</v>
      </c>
      <c r="Q872" t="s">
        <v>74</v>
      </c>
      <c r="R872" t="s">
        <v>74</v>
      </c>
      <c r="S872" t="s">
        <v>74</v>
      </c>
      <c r="T872" t="s">
        <v>74</v>
      </c>
      <c r="U872" t="s">
        <v>17044</v>
      </c>
      <c r="V872" t="s">
        <v>17045</v>
      </c>
      <c r="W872" t="s">
        <v>17046</v>
      </c>
      <c r="X872" t="s">
        <v>17047</v>
      </c>
      <c r="Y872" t="s">
        <v>17048</v>
      </c>
      <c r="Z872" t="s">
        <v>17049</v>
      </c>
      <c r="AA872" t="s">
        <v>17050</v>
      </c>
      <c r="AB872" t="s">
        <v>17051</v>
      </c>
      <c r="AC872" t="s">
        <v>17052</v>
      </c>
      <c r="AD872" t="s">
        <v>17053</v>
      </c>
      <c r="AE872" t="s">
        <v>17054</v>
      </c>
      <c r="AF872" t="s">
        <v>74</v>
      </c>
      <c r="AG872">
        <v>183</v>
      </c>
      <c r="AH872">
        <v>18</v>
      </c>
      <c r="AI872">
        <v>18</v>
      </c>
      <c r="AJ872">
        <v>1</v>
      </c>
      <c r="AK872">
        <v>41</v>
      </c>
      <c r="AL872" t="s">
        <v>429</v>
      </c>
      <c r="AM872" t="s">
        <v>430</v>
      </c>
      <c r="AN872" t="s">
        <v>431</v>
      </c>
      <c r="AO872" t="s">
        <v>1808</v>
      </c>
      <c r="AP872" t="s">
        <v>1809</v>
      </c>
      <c r="AQ872" t="s">
        <v>74</v>
      </c>
      <c r="AR872" t="s">
        <v>1810</v>
      </c>
      <c r="AS872" t="s">
        <v>1811</v>
      </c>
      <c r="AT872" t="s">
        <v>291</v>
      </c>
      <c r="AU872">
        <v>2020</v>
      </c>
      <c r="AV872">
        <v>65</v>
      </c>
      <c r="AW872" t="s">
        <v>74</v>
      </c>
      <c r="AX872" t="s">
        <v>74</v>
      </c>
      <c r="AY872">
        <v>1</v>
      </c>
      <c r="AZ872" t="s">
        <v>555</v>
      </c>
      <c r="BA872" t="s">
        <v>74</v>
      </c>
      <c r="BB872" t="s">
        <v>17055</v>
      </c>
      <c r="BC872" t="s">
        <v>17056</v>
      </c>
      <c r="BD872" t="s">
        <v>74</v>
      </c>
      <c r="BE872" t="s">
        <v>17057</v>
      </c>
      <c r="BF872" t="str">
        <f>HYPERLINK("http://dx.doi.org/10.1002/lno.11319","http://dx.doi.org/10.1002/lno.11319")</f>
        <v>http://dx.doi.org/10.1002/lno.11319</v>
      </c>
      <c r="BG872" t="s">
        <v>74</v>
      </c>
      <c r="BH872" t="s">
        <v>16167</v>
      </c>
      <c r="BI872">
        <v>22</v>
      </c>
      <c r="BJ872" t="s">
        <v>1813</v>
      </c>
      <c r="BK872" t="s">
        <v>294</v>
      </c>
      <c r="BL872" t="s">
        <v>1814</v>
      </c>
      <c r="BM872" t="s">
        <v>17058</v>
      </c>
      <c r="BN872" t="s">
        <v>74</v>
      </c>
      <c r="BO872" t="s">
        <v>1092</v>
      </c>
      <c r="BP872" t="s">
        <v>74</v>
      </c>
      <c r="BQ872" t="s">
        <v>74</v>
      </c>
      <c r="BR872" t="s">
        <v>108</v>
      </c>
      <c r="BS872" t="s">
        <v>17059</v>
      </c>
      <c r="BT872" t="str">
        <f>HYPERLINK("https%3A%2F%2Fwww.webofscience.com%2Fwos%2Fwoscc%2Ffull-record%2FWOS:000485499200001","View Full Record in Web of Science")</f>
        <v>View Full Record in Web of Science</v>
      </c>
    </row>
    <row r="873" spans="1:72" x14ac:dyDescent="0.15">
      <c r="A873" t="s">
        <v>133</v>
      </c>
      <c r="B873" t="s">
        <v>17060</v>
      </c>
      <c r="C873" t="s">
        <v>74</v>
      </c>
      <c r="D873" t="s">
        <v>74</v>
      </c>
      <c r="E873" t="s">
        <v>74</v>
      </c>
      <c r="F873" t="s">
        <v>17061</v>
      </c>
      <c r="G873" t="s">
        <v>74</v>
      </c>
      <c r="H873" t="s">
        <v>74</v>
      </c>
      <c r="I873" t="s">
        <v>17062</v>
      </c>
      <c r="J873" t="s">
        <v>6815</v>
      </c>
      <c r="K873" t="s">
        <v>74</v>
      </c>
      <c r="L873" t="s">
        <v>74</v>
      </c>
      <c r="M873" t="s">
        <v>80</v>
      </c>
      <c r="N873" t="s">
        <v>7391</v>
      </c>
      <c r="O873" t="s">
        <v>74</v>
      </c>
      <c r="P873" t="s">
        <v>74</v>
      </c>
      <c r="Q873" t="s">
        <v>74</v>
      </c>
      <c r="R873" t="s">
        <v>74</v>
      </c>
      <c r="S873" t="s">
        <v>74</v>
      </c>
      <c r="T873" t="s">
        <v>74</v>
      </c>
      <c r="U873" t="s">
        <v>74</v>
      </c>
      <c r="V873" t="s">
        <v>74</v>
      </c>
      <c r="W873" t="s">
        <v>17063</v>
      </c>
      <c r="X873" t="s">
        <v>17064</v>
      </c>
      <c r="Y873" t="s">
        <v>17065</v>
      </c>
      <c r="Z873" t="s">
        <v>17066</v>
      </c>
      <c r="AA873" t="s">
        <v>17067</v>
      </c>
      <c r="AB873" t="s">
        <v>17068</v>
      </c>
      <c r="AC873" t="s">
        <v>74</v>
      </c>
      <c r="AD873" t="s">
        <v>74</v>
      </c>
      <c r="AE873" t="s">
        <v>74</v>
      </c>
      <c r="AF873" t="s">
        <v>74</v>
      </c>
      <c r="AG873">
        <v>1</v>
      </c>
      <c r="AH873">
        <v>2</v>
      </c>
      <c r="AI873">
        <v>2</v>
      </c>
      <c r="AJ873">
        <v>0</v>
      </c>
      <c r="AK873">
        <v>5</v>
      </c>
      <c r="AL873" t="s">
        <v>2038</v>
      </c>
      <c r="AM873" t="s">
        <v>1730</v>
      </c>
      <c r="AN873" t="s">
        <v>2039</v>
      </c>
      <c r="AO873" t="s">
        <v>74</v>
      </c>
      <c r="AP873" t="s">
        <v>6827</v>
      </c>
      <c r="AQ873" t="s">
        <v>74</v>
      </c>
      <c r="AR873" t="s">
        <v>6828</v>
      </c>
      <c r="AS873" t="s">
        <v>6829</v>
      </c>
      <c r="AT873" t="s">
        <v>17069</v>
      </c>
      <c r="AU873">
        <v>2019</v>
      </c>
      <c r="AV873">
        <v>6</v>
      </c>
      <c r="AW873" t="s">
        <v>74</v>
      </c>
      <c r="AX873" t="s">
        <v>74</v>
      </c>
      <c r="AY873" t="s">
        <v>74</v>
      </c>
      <c r="AZ873" t="s">
        <v>74</v>
      </c>
      <c r="BA873" t="s">
        <v>74</v>
      </c>
      <c r="BB873" t="s">
        <v>74</v>
      </c>
      <c r="BC873" t="s">
        <v>74</v>
      </c>
      <c r="BD873">
        <v>172</v>
      </c>
      <c r="BE873" t="s">
        <v>17070</v>
      </c>
      <c r="BF873" t="str">
        <f>HYPERLINK("http://dx.doi.org/10.1038/s41597-019-0165-8","http://dx.doi.org/10.1038/s41597-019-0165-8")</f>
        <v>http://dx.doi.org/10.1038/s41597-019-0165-8</v>
      </c>
      <c r="BG873" t="s">
        <v>74</v>
      </c>
      <c r="BH873" t="s">
        <v>74</v>
      </c>
      <c r="BI873">
        <v>2</v>
      </c>
      <c r="BJ873" t="s">
        <v>1245</v>
      </c>
      <c r="BK873" t="s">
        <v>294</v>
      </c>
      <c r="BL873" t="s">
        <v>1246</v>
      </c>
      <c r="BM873" t="s">
        <v>17071</v>
      </c>
      <c r="BN873">
        <v>31492845</v>
      </c>
      <c r="BO873" t="s">
        <v>693</v>
      </c>
      <c r="BP873" t="s">
        <v>74</v>
      </c>
      <c r="BQ873" t="s">
        <v>74</v>
      </c>
      <c r="BR873" t="s">
        <v>108</v>
      </c>
      <c r="BS873" t="s">
        <v>17072</v>
      </c>
      <c r="BT873" t="str">
        <f>HYPERLINK("https%3A%2F%2Fwww.webofscience.com%2Fwos%2Fwoscc%2Ffull-record%2FWOS:000486077200002","View Full Record in Web of Science")</f>
        <v>View Full Record in Web of Science</v>
      </c>
    </row>
    <row r="874" spans="1:72" x14ac:dyDescent="0.15">
      <c r="A874" t="s">
        <v>133</v>
      </c>
      <c r="B874" t="s">
        <v>17073</v>
      </c>
      <c r="C874" t="s">
        <v>74</v>
      </c>
      <c r="D874" t="s">
        <v>74</v>
      </c>
      <c r="E874" t="s">
        <v>74</v>
      </c>
      <c r="F874" t="s">
        <v>17074</v>
      </c>
      <c r="G874" t="s">
        <v>74</v>
      </c>
      <c r="H874" t="s">
        <v>74</v>
      </c>
      <c r="I874" t="s">
        <v>17075</v>
      </c>
      <c r="J874" t="s">
        <v>17076</v>
      </c>
      <c r="K874" t="s">
        <v>74</v>
      </c>
      <c r="L874" t="s">
        <v>74</v>
      </c>
      <c r="M874" t="s">
        <v>80</v>
      </c>
      <c r="N874" t="s">
        <v>8249</v>
      </c>
      <c r="O874" t="s">
        <v>74</v>
      </c>
      <c r="P874" t="s">
        <v>74</v>
      </c>
      <c r="Q874" t="s">
        <v>74</v>
      </c>
      <c r="R874" t="s">
        <v>74</v>
      </c>
      <c r="S874" t="s">
        <v>74</v>
      </c>
      <c r="T874" t="s">
        <v>17077</v>
      </c>
      <c r="U874" t="s">
        <v>17078</v>
      </c>
      <c r="V874" t="s">
        <v>17079</v>
      </c>
      <c r="W874" t="s">
        <v>17080</v>
      </c>
      <c r="X874" t="s">
        <v>17081</v>
      </c>
      <c r="Y874" t="s">
        <v>17082</v>
      </c>
      <c r="Z874" t="s">
        <v>17083</v>
      </c>
      <c r="AA874" t="s">
        <v>17084</v>
      </c>
      <c r="AB874" t="s">
        <v>17085</v>
      </c>
      <c r="AC874" t="s">
        <v>17086</v>
      </c>
      <c r="AD874" t="s">
        <v>17087</v>
      </c>
      <c r="AE874" t="s">
        <v>17088</v>
      </c>
      <c r="AF874" t="s">
        <v>74</v>
      </c>
      <c r="AG874">
        <v>95</v>
      </c>
      <c r="AH874">
        <v>31</v>
      </c>
      <c r="AI874">
        <v>31</v>
      </c>
      <c r="AJ874">
        <v>4</v>
      </c>
      <c r="AK874">
        <v>19</v>
      </c>
      <c r="AL874" t="s">
        <v>1758</v>
      </c>
      <c r="AM874" t="s">
        <v>1759</v>
      </c>
      <c r="AN874" t="s">
        <v>1760</v>
      </c>
      <c r="AO874" t="s">
        <v>17089</v>
      </c>
      <c r="AP874" t="s">
        <v>17090</v>
      </c>
      <c r="AQ874" t="s">
        <v>74</v>
      </c>
      <c r="AR874" t="s">
        <v>17091</v>
      </c>
      <c r="AS874" t="s">
        <v>17092</v>
      </c>
      <c r="AT874" t="s">
        <v>17093</v>
      </c>
      <c r="AU874">
        <v>2019</v>
      </c>
      <c r="AV874" t="s">
        <v>74</v>
      </c>
      <c r="AW874" t="s">
        <v>74</v>
      </c>
      <c r="AX874" t="s">
        <v>74</v>
      </c>
      <c r="AY874" t="s">
        <v>74</v>
      </c>
      <c r="AZ874" t="s">
        <v>74</v>
      </c>
      <c r="BA874" t="s">
        <v>74</v>
      </c>
      <c r="BB874" t="s">
        <v>74</v>
      </c>
      <c r="BC874" t="s">
        <v>74</v>
      </c>
      <c r="BD874" t="s">
        <v>74</v>
      </c>
      <c r="BE874" t="s">
        <v>17094</v>
      </c>
      <c r="BF874" t="str">
        <f>HYPERLINK("http://dx.doi.org/10.1080/14772000.2019.1649737","http://dx.doi.org/10.1080/14772000.2019.1649737")</f>
        <v>http://dx.doi.org/10.1080/14772000.2019.1649737</v>
      </c>
      <c r="BG874" t="s">
        <v>74</v>
      </c>
      <c r="BH874" t="s">
        <v>16167</v>
      </c>
      <c r="BI874">
        <v>21</v>
      </c>
      <c r="BJ874" t="s">
        <v>17095</v>
      </c>
      <c r="BK874" t="s">
        <v>294</v>
      </c>
      <c r="BL874" t="s">
        <v>17096</v>
      </c>
      <c r="BM874" t="s">
        <v>17097</v>
      </c>
      <c r="BN874" t="s">
        <v>74</v>
      </c>
      <c r="BO874" t="s">
        <v>74</v>
      </c>
      <c r="BP874" t="s">
        <v>74</v>
      </c>
      <c r="BQ874" t="s">
        <v>74</v>
      </c>
      <c r="BR874" t="s">
        <v>108</v>
      </c>
      <c r="BS874" t="s">
        <v>17098</v>
      </c>
      <c r="BT874" t="str">
        <f>HYPERLINK("https%3A%2F%2Fwww.webofscience.com%2Fwos%2Fwoscc%2Ffull-record%2FWOS:000485546300001","View Full Record in Web of Science")</f>
        <v>View Full Record in Web of Science</v>
      </c>
    </row>
    <row r="875" spans="1:72" x14ac:dyDescent="0.15">
      <c r="A875" t="s">
        <v>133</v>
      </c>
      <c r="B875" t="s">
        <v>17099</v>
      </c>
      <c r="C875" t="s">
        <v>74</v>
      </c>
      <c r="D875" t="s">
        <v>74</v>
      </c>
      <c r="E875" t="s">
        <v>74</v>
      </c>
      <c r="F875" t="s">
        <v>17100</v>
      </c>
      <c r="G875" t="s">
        <v>74</v>
      </c>
      <c r="H875" t="s">
        <v>74</v>
      </c>
      <c r="I875" t="s">
        <v>17101</v>
      </c>
      <c r="J875" t="s">
        <v>17102</v>
      </c>
      <c r="K875" t="s">
        <v>74</v>
      </c>
      <c r="L875" t="s">
        <v>74</v>
      </c>
      <c r="M875" t="s">
        <v>80</v>
      </c>
      <c r="N875" t="s">
        <v>138</v>
      </c>
      <c r="O875" t="s">
        <v>74</v>
      </c>
      <c r="P875" t="s">
        <v>74</v>
      </c>
      <c r="Q875" t="s">
        <v>74</v>
      </c>
      <c r="R875" t="s">
        <v>74</v>
      </c>
      <c r="S875" t="s">
        <v>74</v>
      </c>
      <c r="T875" t="s">
        <v>17103</v>
      </c>
      <c r="U875" t="s">
        <v>17104</v>
      </c>
      <c r="V875" t="s">
        <v>17105</v>
      </c>
      <c r="W875" t="s">
        <v>17106</v>
      </c>
      <c r="X875" t="s">
        <v>17107</v>
      </c>
      <c r="Y875" t="s">
        <v>17108</v>
      </c>
      <c r="Z875" t="s">
        <v>17109</v>
      </c>
      <c r="AA875" t="s">
        <v>17110</v>
      </c>
      <c r="AB875" t="s">
        <v>17111</v>
      </c>
      <c r="AC875" t="s">
        <v>17112</v>
      </c>
      <c r="AD875" t="s">
        <v>17113</v>
      </c>
      <c r="AE875" t="s">
        <v>17114</v>
      </c>
      <c r="AF875" t="s">
        <v>74</v>
      </c>
      <c r="AG875">
        <v>84</v>
      </c>
      <c r="AH875">
        <v>11</v>
      </c>
      <c r="AI875">
        <v>12</v>
      </c>
      <c r="AJ875">
        <v>1</v>
      </c>
      <c r="AK875">
        <v>8</v>
      </c>
      <c r="AL875" t="s">
        <v>2012</v>
      </c>
      <c r="AM875" t="s">
        <v>1730</v>
      </c>
      <c r="AN875" t="s">
        <v>2013</v>
      </c>
      <c r="AO875" t="s">
        <v>17115</v>
      </c>
      <c r="AP875" t="s">
        <v>74</v>
      </c>
      <c r="AQ875" t="s">
        <v>74</v>
      </c>
      <c r="AR875" t="s">
        <v>17116</v>
      </c>
      <c r="AS875" t="s">
        <v>17117</v>
      </c>
      <c r="AT875" t="s">
        <v>17069</v>
      </c>
      <c r="AU875">
        <v>2019</v>
      </c>
      <c r="AV875">
        <v>16</v>
      </c>
      <c r="AW875">
        <v>1</v>
      </c>
      <c r="AX875" t="s">
        <v>74</v>
      </c>
      <c r="AY875" t="s">
        <v>74</v>
      </c>
      <c r="AZ875" t="s">
        <v>74</v>
      </c>
      <c r="BA875" t="s">
        <v>74</v>
      </c>
      <c r="BB875" t="s">
        <v>74</v>
      </c>
      <c r="BC875" t="s">
        <v>74</v>
      </c>
      <c r="BD875">
        <v>36</v>
      </c>
      <c r="BE875" t="s">
        <v>17118</v>
      </c>
      <c r="BF875" t="str">
        <f>HYPERLINK("http://dx.doi.org/10.1186/s12983-019-0316-y","http://dx.doi.org/10.1186/s12983-019-0316-y")</f>
        <v>http://dx.doi.org/10.1186/s12983-019-0316-y</v>
      </c>
      <c r="BG875" t="s">
        <v>74</v>
      </c>
      <c r="BH875" t="s">
        <v>74</v>
      </c>
      <c r="BI875">
        <v>29</v>
      </c>
      <c r="BJ875" t="s">
        <v>1219</v>
      </c>
      <c r="BK875" t="s">
        <v>294</v>
      </c>
      <c r="BL875" t="s">
        <v>1219</v>
      </c>
      <c r="BM875" t="s">
        <v>17119</v>
      </c>
      <c r="BN875">
        <v>31516540</v>
      </c>
      <c r="BO875" t="s">
        <v>1688</v>
      </c>
      <c r="BP875" t="s">
        <v>74</v>
      </c>
      <c r="BQ875" t="s">
        <v>74</v>
      </c>
      <c r="BR875" t="s">
        <v>108</v>
      </c>
      <c r="BS875" t="s">
        <v>17120</v>
      </c>
      <c r="BT875" t="str">
        <f>HYPERLINK("https%3A%2F%2Fwww.webofscience.com%2Fwos%2Fwoscc%2Ffull-record%2FWOS:000484553800001","View Full Record in Web of Science")</f>
        <v>View Full Record in Web of Science</v>
      </c>
    </row>
    <row r="876" spans="1:72" x14ac:dyDescent="0.15">
      <c r="A876" t="s">
        <v>133</v>
      </c>
      <c r="B876" t="s">
        <v>17121</v>
      </c>
      <c r="C876" t="s">
        <v>74</v>
      </c>
      <c r="D876" t="s">
        <v>74</v>
      </c>
      <c r="E876" t="s">
        <v>74</v>
      </c>
      <c r="F876" t="s">
        <v>17122</v>
      </c>
      <c r="G876" t="s">
        <v>74</v>
      </c>
      <c r="H876" t="s">
        <v>74</v>
      </c>
      <c r="I876" t="s">
        <v>17123</v>
      </c>
      <c r="J876" t="s">
        <v>2088</v>
      </c>
      <c r="K876" t="s">
        <v>74</v>
      </c>
      <c r="L876" t="s">
        <v>74</v>
      </c>
      <c r="M876" t="s">
        <v>80</v>
      </c>
      <c r="N876" t="s">
        <v>138</v>
      </c>
      <c r="O876" t="s">
        <v>74</v>
      </c>
      <c r="P876" t="s">
        <v>74</v>
      </c>
      <c r="Q876" t="s">
        <v>74</v>
      </c>
      <c r="R876" t="s">
        <v>74</v>
      </c>
      <c r="S876" t="s">
        <v>74</v>
      </c>
      <c r="T876" t="s">
        <v>74</v>
      </c>
      <c r="U876" t="s">
        <v>17124</v>
      </c>
      <c r="V876" t="s">
        <v>17125</v>
      </c>
      <c r="W876" t="s">
        <v>17126</v>
      </c>
      <c r="X876" t="s">
        <v>17127</v>
      </c>
      <c r="Y876" t="s">
        <v>17128</v>
      </c>
      <c r="Z876" t="s">
        <v>17129</v>
      </c>
      <c r="AA876" t="s">
        <v>74</v>
      </c>
      <c r="AB876" t="s">
        <v>17130</v>
      </c>
      <c r="AC876" t="s">
        <v>17131</v>
      </c>
      <c r="AD876" t="s">
        <v>17132</v>
      </c>
      <c r="AE876" t="s">
        <v>17133</v>
      </c>
      <c r="AF876" t="s">
        <v>74</v>
      </c>
      <c r="AG876">
        <v>54</v>
      </c>
      <c r="AH876">
        <v>4</v>
      </c>
      <c r="AI876">
        <v>5</v>
      </c>
      <c r="AJ876">
        <v>0</v>
      </c>
      <c r="AK876">
        <v>4</v>
      </c>
      <c r="AL876" t="s">
        <v>2099</v>
      </c>
      <c r="AM876" t="s">
        <v>2100</v>
      </c>
      <c r="AN876" t="s">
        <v>2101</v>
      </c>
      <c r="AO876" t="s">
        <v>2102</v>
      </c>
      <c r="AP876" t="s">
        <v>2103</v>
      </c>
      <c r="AQ876" t="s">
        <v>74</v>
      </c>
      <c r="AR876" t="s">
        <v>2088</v>
      </c>
      <c r="AS876" t="s">
        <v>2104</v>
      </c>
      <c r="AT876" t="s">
        <v>17069</v>
      </c>
      <c r="AU876">
        <v>2019</v>
      </c>
      <c r="AV876">
        <v>13</v>
      </c>
      <c r="AW876">
        <v>9</v>
      </c>
      <c r="AX876" t="s">
        <v>74</v>
      </c>
      <c r="AY876" t="s">
        <v>74</v>
      </c>
      <c r="AZ876" t="s">
        <v>74</v>
      </c>
      <c r="BA876" t="s">
        <v>74</v>
      </c>
      <c r="BB876">
        <v>2317</v>
      </c>
      <c r="BC876">
        <v>2324</v>
      </c>
      <c r="BD876" t="s">
        <v>74</v>
      </c>
      <c r="BE876" t="s">
        <v>17134</v>
      </c>
      <c r="BF876" t="str">
        <f>HYPERLINK("http://dx.doi.org/10.5194/tc-13-2317-2019","http://dx.doi.org/10.5194/tc-13-2317-2019")</f>
        <v>http://dx.doi.org/10.5194/tc-13-2317-2019</v>
      </c>
      <c r="BG876" t="s">
        <v>74</v>
      </c>
      <c r="BH876" t="s">
        <v>74</v>
      </c>
      <c r="BI876">
        <v>8</v>
      </c>
      <c r="BJ876" t="s">
        <v>462</v>
      </c>
      <c r="BK876" t="s">
        <v>294</v>
      </c>
      <c r="BL876" t="s">
        <v>463</v>
      </c>
      <c r="BM876" t="s">
        <v>17135</v>
      </c>
      <c r="BN876" t="s">
        <v>74</v>
      </c>
      <c r="BO876" t="s">
        <v>976</v>
      </c>
      <c r="BP876" t="s">
        <v>74</v>
      </c>
      <c r="BQ876" t="s">
        <v>74</v>
      </c>
      <c r="BR876" t="s">
        <v>108</v>
      </c>
      <c r="BS876" t="s">
        <v>17136</v>
      </c>
      <c r="BT876" t="str">
        <f>HYPERLINK("https%3A%2F%2Fwww.webofscience.com%2Fwos%2Fwoscc%2Ffull-record%2FWOS:000484567400001","View Full Record in Web of Science")</f>
        <v>View Full Record in Web of Science</v>
      </c>
    </row>
    <row r="877" spans="1:72" x14ac:dyDescent="0.15">
      <c r="A877" t="s">
        <v>133</v>
      </c>
      <c r="B877" t="s">
        <v>17137</v>
      </c>
      <c r="C877" t="s">
        <v>74</v>
      </c>
      <c r="D877" t="s">
        <v>74</v>
      </c>
      <c r="E877" t="s">
        <v>74</v>
      </c>
      <c r="F877" t="s">
        <v>17138</v>
      </c>
      <c r="G877" t="s">
        <v>74</v>
      </c>
      <c r="H877" t="s">
        <v>74</v>
      </c>
      <c r="I877" t="s">
        <v>17139</v>
      </c>
      <c r="J877" t="s">
        <v>2723</v>
      </c>
      <c r="K877" t="s">
        <v>74</v>
      </c>
      <c r="L877" t="s">
        <v>74</v>
      </c>
      <c r="M877" t="s">
        <v>80</v>
      </c>
      <c r="N877" t="s">
        <v>138</v>
      </c>
      <c r="O877" t="s">
        <v>74</v>
      </c>
      <c r="P877" t="s">
        <v>74</v>
      </c>
      <c r="Q877" t="s">
        <v>74</v>
      </c>
      <c r="R877" t="s">
        <v>74</v>
      </c>
      <c r="S877" t="s">
        <v>74</v>
      </c>
      <c r="T877" t="s">
        <v>17140</v>
      </c>
      <c r="U877" t="s">
        <v>17141</v>
      </c>
      <c r="V877" t="s">
        <v>17142</v>
      </c>
      <c r="W877" t="s">
        <v>17143</v>
      </c>
      <c r="X877" t="s">
        <v>17144</v>
      </c>
      <c r="Y877" t="s">
        <v>17145</v>
      </c>
      <c r="Z877" t="s">
        <v>17146</v>
      </c>
      <c r="AA877" t="s">
        <v>17147</v>
      </c>
      <c r="AB877" t="s">
        <v>17148</v>
      </c>
      <c r="AC877" t="s">
        <v>17149</v>
      </c>
      <c r="AD877" t="s">
        <v>17150</v>
      </c>
      <c r="AE877" t="s">
        <v>17151</v>
      </c>
      <c r="AF877" t="s">
        <v>74</v>
      </c>
      <c r="AG877">
        <v>65</v>
      </c>
      <c r="AH877">
        <v>11</v>
      </c>
      <c r="AI877">
        <v>14</v>
      </c>
      <c r="AJ877">
        <v>1</v>
      </c>
      <c r="AK877">
        <v>16</v>
      </c>
      <c r="AL877" t="s">
        <v>2587</v>
      </c>
      <c r="AM877" t="s">
        <v>2588</v>
      </c>
      <c r="AN877" t="s">
        <v>2589</v>
      </c>
      <c r="AO877" t="s">
        <v>74</v>
      </c>
      <c r="AP877" t="s">
        <v>2734</v>
      </c>
      <c r="AQ877" t="s">
        <v>74</v>
      </c>
      <c r="AR877" t="s">
        <v>2735</v>
      </c>
      <c r="AS877" t="s">
        <v>2736</v>
      </c>
      <c r="AT877" t="s">
        <v>17069</v>
      </c>
      <c r="AU877">
        <v>2019</v>
      </c>
      <c r="AV877">
        <v>6</v>
      </c>
      <c r="AW877" t="s">
        <v>74</v>
      </c>
      <c r="AX877" t="s">
        <v>74</v>
      </c>
      <c r="AY877" t="s">
        <v>74</v>
      </c>
      <c r="AZ877" t="s">
        <v>74</v>
      </c>
      <c r="BA877" t="s">
        <v>74</v>
      </c>
      <c r="BB877" t="s">
        <v>74</v>
      </c>
      <c r="BC877" t="s">
        <v>74</v>
      </c>
      <c r="BD877">
        <v>546</v>
      </c>
      <c r="BE877" t="s">
        <v>17152</v>
      </c>
      <c r="BF877" t="str">
        <f>HYPERLINK("http://dx.doi.org/10.3389/fmars.2019.00546","http://dx.doi.org/10.3389/fmars.2019.00546")</f>
        <v>http://dx.doi.org/10.3389/fmars.2019.00546</v>
      </c>
      <c r="BG877" t="s">
        <v>74</v>
      </c>
      <c r="BH877" t="s">
        <v>74</v>
      </c>
      <c r="BI877">
        <v>11</v>
      </c>
      <c r="BJ877" t="s">
        <v>2738</v>
      </c>
      <c r="BK877" t="s">
        <v>294</v>
      </c>
      <c r="BL877" t="s">
        <v>2739</v>
      </c>
      <c r="BM877" t="s">
        <v>17153</v>
      </c>
      <c r="BN877" t="s">
        <v>74</v>
      </c>
      <c r="BO877" t="s">
        <v>2934</v>
      </c>
      <c r="BP877" t="s">
        <v>74</v>
      </c>
      <c r="BQ877" t="s">
        <v>74</v>
      </c>
      <c r="BR877" t="s">
        <v>108</v>
      </c>
      <c r="BS877" t="s">
        <v>17154</v>
      </c>
      <c r="BT877" t="str">
        <f>HYPERLINK("https%3A%2F%2Fwww.webofscience.com%2Fwos%2Fwoscc%2Ffull-record%2FWOS:000484605300001","View Full Record in Web of Science")</f>
        <v>View Full Record in Web of Science</v>
      </c>
    </row>
    <row r="878" spans="1:72" x14ac:dyDescent="0.15">
      <c r="A878" t="s">
        <v>133</v>
      </c>
      <c r="B878" t="s">
        <v>17155</v>
      </c>
      <c r="C878" t="s">
        <v>74</v>
      </c>
      <c r="D878" t="s">
        <v>74</v>
      </c>
      <c r="E878" t="s">
        <v>74</v>
      </c>
      <c r="F878" t="s">
        <v>17156</v>
      </c>
      <c r="G878" t="s">
        <v>74</v>
      </c>
      <c r="H878" t="s">
        <v>74</v>
      </c>
      <c r="I878" t="s">
        <v>17157</v>
      </c>
      <c r="J878" t="s">
        <v>2723</v>
      </c>
      <c r="K878" t="s">
        <v>74</v>
      </c>
      <c r="L878" t="s">
        <v>74</v>
      </c>
      <c r="M878" t="s">
        <v>80</v>
      </c>
      <c r="N878" t="s">
        <v>7391</v>
      </c>
      <c r="O878" t="s">
        <v>74</v>
      </c>
      <c r="P878" t="s">
        <v>74</v>
      </c>
      <c r="Q878" t="s">
        <v>74</v>
      </c>
      <c r="R878" t="s">
        <v>74</v>
      </c>
      <c r="S878" t="s">
        <v>74</v>
      </c>
      <c r="T878" t="s">
        <v>17158</v>
      </c>
      <c r="U878" t="s">
        <v>17159</v>
      </c>
      <c r="V878" t="s">
        <v>74</v>
      </c>
      <c r="W878" t="s">
        <v>17160</v>
      </c>
      <c r="X878" t="s">
        <v>17161</v>
      </c>
      <c r="Y878" t="s">
        <v>17162</v>
      </c>
      <c r="Z878" t="s">
        <v>17163</v>
      </c>
      <c r="AA878" t="s">
        <v>17164</v>
      </c>
      <c r="AB878" t="s">
        <v>17165</v>
      </c>
      <c r="AC878" t="s">
        <v>74</v>
      </c>
      <c r="AD878" t="s">
        <v>74</v>
      </c>
      <c r="AE878" t="s">
        <v>74</v>
      </c>
      <c r="AF878" t="s">
        <v>74</v>
      </c>
      <c r="AG878">
        <v>6</v>
      </c>
      <c r="AH878">
        <v>0</v>
      </c>
      <c r="AI878">
        <v>0</v>
      </c>
      <c r="AJ878">
        <v>1</v>
      </c>
      <c r="AK878">
        <v>21</v>
      </c>
      <c r="AL878" t="s">
        <v>2587</v>
      </c>
      <c r="AM878" t="s">
        <v>2588</v>
      </c>
      <c r="AN878" t="s">
        <v>2589</v>
      </c>
      <c r="AO878" t="s">
        <v>74</v>
      </c>
      <c r="AP878" t="s">
        <v>2734</v>
      </c>
      <c r="AQ878" t="s">
        <v>74</v>
      </c>
      <c r="AR878" t="s">
        <v>2735</v>
      </c>
      <c r="AS878" t="s">
        <v>2736</v>
      </c>
      <c r="AT878" t="s">
        <v>17069</v>
      </c>
      <c r="AU878">
        <v>2019</v>
      </c>
      <c r="AV878">
        <v>6</v>
      </c>
      <c r="AW878" t="s">
        <v>74</v>
      </c>
      <c r="AX878" t="s">
        <v>74</v>
      </c>
      <c r="AY878" t="s">
        <v>74</v>
      </c>
      <c r="AZ878" t="s">
        <v>74</v>
      </c>
      <c r="BA878" t="s">
        <v>74</v>
      </c>
      <c r="BB878" t="s">
        <v>74</v>
      </c>
      <c r="BC878" t="s">
        <v>74</v>
      </c>
      <c r="BD878">
        <v>549</v>
      </c>
      <c r="BE878" t="s">
        <v>17166</v>
      </c>
      <c r="BF878" t="str">
        <f>HYPERLINK("http://dx.doi.org/10.3389/fmars.2019.00549","http://dx.doi.org/10.3389/fmars.2019.00549")</f>
        <v>http://dx.doi.org/10.3389/fmars.2019.00549</v>
      </c>
      <c r="BG878" t="s">
        <v>74</v>
      </c>
      <c r="BH878" t="s">
        <v>74</v>
      </c>
      <c r="BI878">
        <v>3</v>
      </c>
      <c r="BJ878" t="s">
        <v>2738</v>
      </c>
      <c r="BK878" t="s">
        <v>294</v>
      </c>
      <c r="BL878" t="s">
        <v>2739</v>
      </c>
      <c r="BM878" t="s">
        <v>17167</v>
      </c>
      <c r="BN878" t="s">
        <v>74</v>
      </c>
      <c r="BO878" t="s">
        <v>107</v>
      </c>
      <c r="BP878" t="s">
        <v>74</v>
      </c>
      <c r="BQ878" t="s">
        <v>74</v>
      </c>
      <c r="BR878" t="s">
        <v>108</v>
      </c>
      <c r="BS878" t="s">
        <v>17168</v>
      </c>
      <c r="BT878" t="str">
        <f>HYPERLINK("https%3A%2F%2Fwww.webofscience.com%2Fwos%2Fwoscc%2Ffull-record%2FWOS:000484605600001","View Full Record in Web of Science")</f>
        <v>View Full Record in Web of Science</v>
      </c>
    </row>
    <row r="879" spans="1:72" x14ac:dyDescent="0.15">
      <c r="A879" t="s">
        <v>133</v>
      </c>
      <c r="B879" t="s">
        <v>17169</v>
      </c>
      <c r="C879" t="s">
        <v>74</v>
      </c>
      <c r="D879" t="s">
        <v>74</v>
      </c>
      <c r="E879" t="s">
        <v>74</v>
      </c>
      <c r="F879" t="s">
        <v>17170</v>
      </c>
      <c r="G879" t="s">
        <v>74</v>
      </c>
      <c r="H879" t="s">
        <v>74</v>
      </c>
      <c r="I879" t="s">
        <v>17171</v>
      </c>
      <c r="J879" t="s">
        <v>2723</v>
      </c>
      <c r="K879" t="s">
        <v>74</v>
      </c>
      <c r="L879" t="s">
        <v>74</v>
      </c>
      <c r="M879" t="s">
        <v>80</v>
      </c>
      <c r="N879" t="s">
        <v>138</v>
      </c>
      <c r="O879" t="s">
        <v>74</v>
      </c>
      <c r="P879" t="s">
        <v>74</v>
      </c>
      <c r="Q879" t="s">
        <v>74</v>
      </c>
      <c r="R879" t="s">
        <v>74</v>
      </c>
      <c r="S879" t="s">
        <v>74</v>
      </c>
      <c r="T879" t="s">
        <v>17172</v>
      </c>
      <c r="U879" t="s">
        <v>17173</v>
      </c>
      <c r="V879" t="s">
        <v>17174</v>
      </c>
      <c r="W879" t="s">
        <v>17175</v>
      </c>
      <c r="X879" t="s">
        <v>17176</v>
      </c>
      <c r="Y879" t="s">
        <v>17177</v>
      </c>
      <c r="Z879" t="s">
        <v>17178</v>
      </c>
      <c r="AA879" t="s">
        <v>17179</v>
      </c>
      <c r="AB879" t="s">
        <v>17180</v>
      </c>
      <c r="AC879" t="s">
        <v>17181</v>
      </c>
      <c r="AD879" t="s">
        <v>17182</v>
      </c>
      <c r="AE879" t="s">
        <v>17183</v>
      </c>
      <c r="AF879" t="s">
        <v>74</v>
      </c>
      <c r="AG879">
        <v>83</v>
      </c>
      <c r="AH879">
        <v>8</v>
      </c>
      <c r="AI879">
        <v>9</v>
      </c>
      <c r="AJ879">
        <v>2</v>
      </c>
      <c r="AK879">
        <v>19</v>
      </c>
      <c r="AL879" t="s">
        <v>2587</v>
      </c>
      <c r="AM879" t="s">
        <v>2588</v>
      </c>
      <c r="AN879" t="s">
        <v>2589</v>
      </c>
      <c r="AO879" t="s">
        <v>74</v>
      </c>
      <c r="AP879" t="s">
        <v>2734</v>
      </c>
      <c r="AQ879" t="s">
        <v>74</v>
      </c>
      <c r="AR879" t="s">
        <v>2735</v>
      </c>
      <c r="AS879" t="s">
        <v>2736</v>
      </c>
      <c r="AT879" t="s">
        <v>17069</v>
      </c>
      <c r="AU879">
        <v>2019</v>
      </c>
      <c r="AV879">
        <v>6</v>
      </c>
      <c r="AW879" t="s">
        <v>74</v>
      </c>
      <c r="AX879" t="s">
        <v>74</v>
      </c>
      <c r="AY879" t="s">
        <v>74</v>
      </c>
      <c r="AZ879" t="s">
        <v>74</v>
      </c>
      <c r="BA879" t="s">
        <v>74</v>
      </c>
      <c r="BB879" t="s">
        <v>74</v>
      </c>
      <c r="BC879" t="s">
        <v>74</v>
      </c>
      <c r="BD879">
        <v>531</v>
      </c>
      <c r="BE879" t="s">
        <v>17184</v>
      </c>
      <c r="BF879" t="str">
        <f>HYPERLINK("http://dx.doi.org/10.3389/fmars.2019.00531","http://dx.doi.org/10.3389/fmars.2019.00531")</f>
        <v>http://dx.doi.org/10.3389/fmars.2019.00531</v>
      </c>
      <c r="BG879" t="s">
        <v>74</v>
      </c>
      <c r="BH879" t="s">
        <v>74</v>
      </c>
      <c r="BI879">
        <v>20</v>
      </c>
      <c r="BJ879" t="s">
        <v>2738</v>
      </c>
      <c r="BK879" t="s">
        <v>294</v>
      </c>
      <c r="BL879" t="s">
        <v>2739</v>
      </c>
      <c r="BM879" t="s">
        <v>17185</v>
      </c>
      <c r="BN879" t="s">
        <v>74</v>
      </c>
      <c r="BO879" t="s">
        <v>107</v>
      </c>
      <c r="BP879" t="s">
        <v>74</v>
      </c>
      <c r="BQ879" t="s">
        <v>74</v>
      </c>
      <c r="BR879" t="s">
        <v>108</v>
      </c>
      <c r="BS879" t="s">
        <v>17186</v>
      </c>
      <c r="BT879" t="str">
        <f>HYPERLINK("https%3A%2F%2Fwww.webofscience.com%2Fwos%2Fwoscc%2Ffull-record%2FWOS:000484604600001","View Full Record in Web of Science")</f>
        <v>View Full Record in Web of Science</v>
      </c>
    </row>
    <row r="880" spans="1:72" x14ac:dyDescent="0.15">
      <c r="A880" t="s">
        <v>133</v>
      </c>
      <c r="B880" t="s">
        <v>17187</v>
      </c>
      <c r="C880" t="s">
        <v>74</v>
      </c>
      <c r="D880" t="s">
        <v>74</v>
      </c>
      <c r="E880" t="s">
        <v>74</v>
      </c>
      <c r="F880" t="s">
        <v>17188</v>
      </c>
      <c r="G880" t="s">
        <v>74</v>
      </c>
      <c r="H880" t="s">
        <v>74</v>
      </c>
      <c r="I880" t="s">
        <v>17189</v>
      </c>
      <c r="J880" t="s">
        <v>10855</v>
      </c>
      <c r="K880" t="s">
        <v>74</v>
      </c>
      <c r="L880" t="s">
        <v>74</v>
      </c>
      <c r="M880" t="s">
        <v>80</v>
      </c>
      <c r="N880" t="s">
        <v>138</v>
      </c>
      <c r="O880" t="s">
        <v>74</v>
      </c>
      <c r="P880" t="s">
        <v>74</v>
      </c>
      <c r="Q880" t="s">
        <v>74</v>
      </c>
      <c r="R880" t="s">
        <v>74</v>
      </c>
      <c r="S880" t="s">
        <v>74</v>
      </c>
      <c r="T880" t="s">
        <v>17190</v>
      </c>
      <c r="U880" t="s">
        <v>17191</v>
      </c>
      <c r="V880" t="s">
        <v>17192</v>
      </c>
      <c r="W880" t="s">
        <v>17193</v>
      </c>
      <c r="X880" t="s">
        <v>17194</v>
      </c>
      <c r="Y880" t="s">
        <v>17195</v>
      </c>
      <c r="Z880" t="s">
        <v>17196</v>
      </c>
      <c r="AA880" t="s">
        <v>17197</v>
      </c>
      <c r="AB880" t="s">
        <v>17198</v>
      </c>
      <c r="AC880" t="s">
        <v>17199</v>
      </c>
      <c r="AD880" t="s">
        <v>17200</v>
      </c>
      <c r="AE880" t="s">
        <v>17201</v>
      </c>
      <c r="AF880" t="s">
        <v>74</v>
      </c>
      <c r="AG880">
        <v>88</v>
      </c>
      <c r="AH880">
        <v>51</v>
      </c>
      <c r="AI880">
        <v>56</v>
      </c>
      <c r="AJ880">
        <v>4</v>
      </c>
      <c r="AK880">
        <v>53</v>
      </c>
      <c r="AL880" t="s">
        <v>429</v>
      </c>
      <c r="AM880" t="s">
        <v>430</v>
      </c>
      <c r="AN880" t="s">
        <v>431</v>
      </c>
      <c r="AO880" t="s">
        <v>10865</v>
      </c>
      <c r="AP880" t="s">
        <v>10866</v>
      </c>
      <c r="AQ880" t="s">
        <v>74</v>
      </c>
      <c r="AR880" t="s">
        <v>10867</v>
      </c>
      <c r="AS880" t="s">
        <v>10868</v>
      </c>
      <c r="AT880" t="s">
        <v>291</v>
      </c>
      <c r="AU880">
        <v>2020</v>
      </c>
      <c r="AV880">
        <v>89</v>
      </c>
      <c r="AW880">
        <v>1</v>
      </c>
      <c r="AX880" t="s">
        <v>74</v>
      </c>
      <c r="AY880" t="s">
        <v>74</v>
      </c>
      <c r="AZ880" t="s">
        <v>74</v>
      </c>
      <c r="BA880" t="s">
        <v>74</v>
      </c>
      <c r="BB880">
        <v>104</v>
      </c>
      <c r="BC880">
        <v>119</v>
      </c>
      <c r="BD880" t="s">
        <v>74</v>
      </c>
      <c r="BE880" t="s">
        <v>17202</v>
      </c>
      <c r="BF880" t="str">
        <f>HYPERLINK("http://dx.doi.org/10.1111/1365-2656.13078","http://dx.doi.org/10.1111/1365-2656.13078")</f>
        <v>http://dx.doi.org/10.1111/1365-2656.13078</v>
      </c>
      <c r="BG880" t="s">
        <v>74</v>
      </c>
      <c r="BH880" t="s">
        <v>16167</v>
      </c>
      <c r="BI880">
        <v>16</v>
      </c>
      <c r="BJ880" t="s">
        <v>10870</v>
      </c>
      <c r="BK880" t="s">
        <v>294</v>
      </c>
      <c r="BL880" t="s">
        <v>10871</v>
      </c>
      <c r="BM880" t="s">
        <v>17203</v>
      </c>
      <c r="BN880">
        <v>31368149</v>
      </c>
      <c r="BO880" t="s">
        <v>7770</v>
      </c>
      <c r="BP880" t="s">
        <v>74</v>
      </c>
      <c r="BQ880" t="s">
        <v>74</v>
      </c>
      <c r="BR880" t="s">
        <v>108</v>
      </c>
      <c r="BS880" t="s">
        <v>17204</v>
      </c>
      <c r="BT880" t="str">
        <f>HYPERLINK("https%3A%2F%2Fwww.webofscience.com%2Fwos%2Fwoscc%2Ffull-record%2FWOS:000485228000001","View Full Record in Web of Science")</f>
        <v>View Full Record in Web of Science</v>
      </c>
    </row>
    <row r="881" spans="1:72" x14ac:dyDescent="0.15">
      <c r="A881" t="s">
        <v>133</v>
      </c>
      <c r="B881" t="s">
        <v>17205</v>
      </c>
      <c r="C881" t="s">
        <v>74</v>
      </c>
      <c r="D881" t="s">
        <v>74</v>
      </c>
      <c r="E881" t="s">
        <v>74</v>
      </c>
      <c r="F881" t="s">
        <v>17206</v>
      </c>
      <c r="G881" t="s">
        <v>74</v>
      </c>
      <c r="H881" t="s">
        <v>74</v>
      </c>
      <c r="I881" t="s">
        <v>17207</v>
      </c>
      <c r="J881" t="s">
        <v>1462</v>
      </c>
      <c r="K881" t="s">
        <v>74</v>
      </c>
      <c r="L881" t="s">
        <v>74</v>
      </c>
      <c r="M881" t="s">
        <v>80</v>
      </c>
      <c r="N881" t="s">
        <v>138</v>
      </c>
      <c r="O881" t="s">
        <v>74</v>
      </c>
      <c r="P881" t="s">
        <v>74</v>
      </c>
      <c r="Q881" t="s">
        <v>74</v>
      </c>
      <c r="R881" t="s">
        <v>74</v>
      </c>
      <c r="S881" t="s">
        <v>74</v>
      </c>
      <c r="T881" t="s">
        <v>17208</v>
      </c>
      <c r="U881" t="s">
        <v>17209</v>
      </c>
      <c r="V881" t="s">
        <v>17210</v>
      </c>
      <c r="W881" t="s">
        <v>17211</v>
      </c>
      <c r="X881" t="s">
        <v>17212</v>
      </c>
      <c r="Y881" t="s">
        <v>17213</v>
      </c>
      <c r="Z881" t="s">
        <v>17214</v>
      </c>
      <c r="AA881" t="s">
        <v>17215</v>
      </c>
      <c r="AB881" t="s">
        <v>17216</v>
      </c>
      <c r="AC881" t="s">
        <v>17217</v>
      </c>
      <c r="AD881" t="s">
        <v>17218</v>
      </c>
      <c r="AE881" t="s">
        <v>17219</v>
      </c>
      <c r="AF881" t="s">
        <v>74</v>
      </c>
      <c r="AG881">
        <v>42</v>
      </c>
      <c r="AH881">
        <v>9</v>
      </c>
      <c r="AI881">
        <v>9</v>
      </c>
      <c r="AJ881">
        <v>1</v>
      </c>
      <c r="AK881">
        <v>8</v>
      </c>
      <c r="AL881" t="s">
        <v>1264</v>
      </c>
      <c r="AM881" t="s">
        <v>1265</v>
      </c>
      <c r="AN881" t="s">
        <v>1266</v>
      </c>
      <c r="AO881" t="s">
        <v>1475</v>
      </c>
      <c r="AP881" t="s">
        <v>1476</v>
      </c>
      <c r="AQ881" t="s">
        <v>74</v>
      </c>
      <c r="AR881" t="s">
        <v>1477</v>
      </c>
      <c r="AS881" t="s">
        <v>1478</v>
      </c>
      <c r="AT881" t="s">
        <v>16929</v>
      </c>
      <c r="AU881">
        <v>2019</v>
      </c>
      <c r="AV881">
        <v>46</v>
      </c>
      <c r="AW881" t="s">
        <v>16835</v>
      </c>
      <c r="AX881" t="s">
        <v>74</v>
      </c>
      <c r="AY881" t="s">
        <v>74</v>
      </c>
      <c r="AZ881" t="s">
        <v>74</v>
      </c>
      <c r="BA881" t="s">
        <v>74</v>
      </c>
      <c r="BB881">
        <v>10219</v>
      </c>
      <c r="BC881">
        <v>10229</v>
      </c>
      <c r="BD881" t="s">
        <v>74</v>
      </c>
      <c r="BE881" t="s">
        <v>17220</v>
      </c>
      <c r="BF881" t="str">
        <f>HYPERLINK("http://dx.doi.org/10.1029/2019GL083712","http://dx.doi.org/10.1029/2019GL083712")</f>
        <v>http://dx.doi.org/10.1029/2019GL083712</v>
      </c>
      <c r="BG881" t="s">
        <v>74</v>
      </c>
      <c r="BH881" t="s">
        <v>16167</v>
      </c>
      <c r="BI881">
        <v>11</v>
      </c>
      <c r="BJ881" t="s">
        <v>849</v>
      </c>
      <c r="BK881" t="s">
        <v>294</v>
      </c>
      <c r="BL881" t="s">
        <v>850</v>
      </c>
      <c r="BM881" t="s">
        <v>16931</v>
      </c>
      <c r="BN881" t="s">
        <v>74</v>
      </c>
      <c r="BO881" t="s">
        <v>638</v>
      </c>
      <c r="BP881" t="s">
        <v>74</v>
      </c>
      <c r="BQ881" t="s">
        <v>74</v>
      </c>
      <c r="BR881" t="s">
        <v>108</v>
      </c>
      <c r="BS881" t="s">
        <v>17221</v>
      </c>
      <c r="BT881" t="str">
        <f>HYPERLINK("https%3A%2F%2Fwww.webofscience.com%2Fwos%2Fwoscc%2Ffull-record%2FWOS:000485378700001","View Full Record in Web of Science")</f>
        <v>View Full Record in Web of Science</v>
      </c>
    </row>
    <row r="882" spans="1:72" x14ac:dyDescent="0.15">
      <c r="A882" t="s">
        <v>133</v>
      </c>
      <c r="B882" t="s">
        <v>17222</v>
      </c>
      <c r="C882" t="s">
        <v>74</v>
      </c>
      <c r="D882" t="s">
        <v>74</v>
      </c>
      <c r="E882" t="s">
        <v>74</v>
      </c>
      <c r="F882" t="s">
        <v>17223</v>
      </c>
      <c r="G882" t="s">
        <v>74</v>
      </c>
      <c r="H882" t="s">
        <v>74</v>
      </c>
      <c r="I882" t="s">
        <v>17224</v>
      </c>
      <c r="J882" t="s">
        <v>8625</v>
      </c>
      <c r="K882" t="s">
        <v>74</v>
      </c>
      <c r="L882" t="s">
        <v>74</v>
      </c>
      <c r="M882" t="s">
        <v>80</v>
      </c>
      <c r="N882" t="s">
        <v>138</v>
      </c>
      <c r="O882" t="s">
        <v>74</v>
      </c>
      <c r="P882" t="s">
        <v>74</v>
      </c>
      <c r="Q882" t="s">
        <v>74</v>
      </c>
      <c r="R882" t="s">
        <v>74</v>
      </c>
      <c r="S882" t="s">
        <v>74</v>
      </c>
      <c r="T882" t="s">
        <v>74</v>
      </c>
      <c r="U882" t="s">
        <v>17225</v>
      </c>
      <c r="V882" t="s">
        <v>17226</v>
      </c>
      <c r="W882" t="s">
        <v>17227</v>
      </c>
      <c r="X882" t="s">
        <v>17228</v>
      </c>
      <c r="Y882" t="s">
        <v>17229</v>
      </c>
      <c r="Z882" t="s">
        <v>17230</v>
      </c>
      <c r="AA882" t="s">
        <v>17231</v>
      </c>
      <c r="AB882" t="s">
        <v>17232</v>
      </c>
      <c r="AC882" t="s">
        <v>17233</v>
      </c>
      <c r="AD882" t="s">
        <v>17234</v>
      </c>
      <c r="AE882" t="s">
        <v>17235</v>
      </c>
      <c r="AF882" t="s">
        <v>74</v>
      </c>
      <c r="AG882">
        <v>47</v>
      </c>
      <c r="AH882">
        <v>17</v>
      </c>
      <c r="AI882">
        <v>18</v>
      </c>
      <c r="AJ882">
        <v>2</v>
      </c>
      <c r="AK882">
        <v>38</v>
      </c>
      <c r="AL882" t="s">
        <v>2038</v>
      </c>
      <c r="AM882" t="s">
        <v>1730</v>
      </c>
      <c r="AN882" t="s">
        <v>2039</v>
      </c>
      <c r="AO882" t="s">
        <v>8631</v>
      </c>
      <c r="AP882" t="s">
        <v>8632</v>
      </c>
      <c r="AQ882" t="s">
        <v>74</v>
      </c>
      <c r="AR882" t="s">
        <v>8625</v>
      </c>
      <c r="AS882" t="s">
        <v>8633</v>
      </c>
      <c r="AT882" t="s">
        <v>17236</v>
      </c>
      <c r="AU882">
        <v>2019</v>
      </c>
      <c r="AV882">
        <v>573</v>
      </c>
      <c r="AW882">
        <v>7772</v>
      </c>
      <c r="AX882" t="s">
        <v>74</v>
      </c>
      <c r="AY882" t="s">
        <v>74</v>
      </c>
      <c r="AZ882" t="s">
        <v>74</v>
      </c>
      <c r="BA882" t="s">
        <v>74</v>
      </c>
      <c r="BB882">
        <v>83</v>
      </c>
      <c r="BC882" t="s">
        <v>847</v>
      </c>
      <c r="BD882" t="s">
        <v>74</v>
      </c>
      <c r="BE882" t="s">
        <v>17237</v>
      </c>
      <c r="BF882" t="str">
        <f>HYPERLINK("http://dx.doi.org/10.1038/s41586-019-1510-y","http://dx.doi.org/10.1038/s41586-019-1510-y")</f>
        <v>http://dx.doi.org/10.1038/s41586-019-1510-y</v>
      </c>
      <c r="BG882" t="s">
        <v>74</v>
      </c>
      <c r="BH882" t="s">
        <v>74</v>
      </c>
      <c r="BI882">
        <v>16</v>
      </c>
      <c r="BJ882" t="s">
        <v>1245</v>
      </c>
      <c r="BK882" t="s">
        <v>294</v>
      </c>
      <c r="BL882" t="s">
        <v>1246</v>
      </c>
      <c r="BM882" t="s">
        <v>17238</v>
      </c>
      <c r="BN882">
        <v>31485059</v>
      </c>
      <c r="BO882" t="s">
        <v>666</v>
      </c>
      <c r="BP882" t="s">
        <v>74</v>
      </c>
      <c r="BQ882" t="s">
        <v>74</v>
      </c>
      <c r="BR882" t="s">
        <v>108</v>
      </c>
      <c r="BS882" t="s">
        <v>17239</v>
      </c>
      <c r="BT882" t="str">
        <f>HYPERLINK("https%3A%2F%2Fwww.webofscience.com%2Fwos%2Fwoscc%2Ffull-record%2FWOS:000483967700038","View Full Record in Web of Science")</f>
        <v>View Full Record in Web of Science</v>
      </c>
    </row>
    <row r="883" spans="1:72" x14ac:dyDescent="0.15">
      <c r="A883" t="s">
        <v>133</v>
      </c>
      <c r="B883" t="s">
        <v>17240</v>
      </c>
      <c r="C883" t="s">
        <v>74</v>
      </c>
      <c r="D883" t="s">
        <v>74</v>
      </c>
      <c r="E883" t="s">
        <v>74</v>
      </c>
      <c r="F883" t="s">
        <v>17241</v>
      </c>
      <c r="G883" t="s">
        <v>74</v>
      </c>
      <c r="H883" t="s">
        <v>74</v>
      </c>
      <c r="I883" t="s">
        <v>17242</v>
      </c>
      <c r="J883" t="s">
        <v>10470</v>
      </c>
      <c r="K883" t="s">
        <v>74</v>
      </c>
      <c r="L883" t="s">
        <v>74</v>
      </c>
      <c r="M883" t="s">
        <v>80</v>
      </c>
      <c r="N883" t="s">
        <v>138</v>
      </c>
      <c r="O883" t="s">
        <v>74</v>
      </c>
      <c r="P883" t="s">
        <v>74</v>
      </c>
      <c r="Q883" t="s">
        <v>74</v>
      </c>
      <c r="R883" t="s">
        <v>74</v>
      </c>
      <c r="S883" t="s">
        <v>74</v>
      </c>
      <c r="T883" t="s">
        <v>74</v>
      </c>
      <c r="U883" t="s">
        <v>74</v>
      </c>
      <c r="V883" t="s">
        <v>17243</v>
      </c>
      <c r="W883" t="s">
        <v>17244</v>
      </c>
      <c r="X883" t="s">
        <v>17245</v>
      </c>
      <c r="Y883" t="s">
        <v>17246</v>
      </c>
      <c r="Z883" t="s">
        <v>17247</v>
      </c>
      <c r="AA883" t="s">
        <v>74</v>
      </c>
      <c r="AB883" t="s">
        <v>74</v>
      </c>
      <c r="AC883" t="s">
        <v>17248</v>
      </c>
      <c r="AD883" t="s">
        <v>17249</v>
      </c>
      <c r="AE883" t="s">
        <v>17250</v>
      </c>
      <c r="AF883" t="s">
        <v>74</v>
      </c>
      <c r="AG883">
        <v>57</v>
      </c>
      <c r="AH883">
        <v>28</v>
      </c>
      <c r="AI883">
        <v>31</v>
      </c>
      <c r="AJ883">
        <v>0</v>
      </c>
      <c r="AK883">
        <v>6</v>
      </c>
      <c r="AL883" t="s">
        <v>7960</v>
      </c>
      <c r="AM883" t="s">
        <v>7961</v>
      </c>
      <c r="AN883" t="s">
        <v>7962</v>
      </c>
      <c r="AO883" t="s">
        <v>10480</v>
      </c>
      <c r="AP883" t="s">
        <v>10481</v>
      </c>
      <c r="AQ883" t="s">
        <v>74</v>
      </c>
      <c r="AR883" t="s">
        <v>10482</v>
      </c>
      <c r="AS883" t="s">
        <v>10483</v>
      </c>
      <c r="AT883" t="s">
        <v>17236</v>
      </c>
      <c r="AU883">
        <v>2019</v>
      </c>
      <c r="AV883">
        <v>100</v>
      </c>
      <c r="AW883">
        <v>5</v>
      </c>
      <c r="AX883" t="s">
        <v>74</v>
      </c>
      <c r="AY883" t="s">
        <v>74</v>
      </c>
      <c r="AZ883" t="s">
        <v>74</v>
      </c>
      <c r="BA883" t="s">
        <v>74</v>
      </c>
      <c r="BB883" t="s">
        <v>74</v>
      </c>
      <c r="BC883" t="s">
        <v>74</v>
      </c>
      <c r="BD883">
        <v>55004</v>
      </c>
      <c r="BE883" t="s">
        <v>17251</v>
      </c>
      <c r="BF883" t="str">
        <f>HYPERLINK("http://dx.doi.org/10.1103/PhysRevD.100.055004","http://dx.doi.org/10.1103/PhysRevD.100.055004")</f>
        <v>http://dx.doi.org/10.1103/PhysRevD.100.055004</v>
      </c>
      <c r="BG883" t="s">
        <v>74</v>
      </c>
      <c r="BH883" t="s">
        <v>74</v>
      </c>
      <c r="BI883">
        <v>15</v>
      </c>
      <c r="BJ883" t="s">
        <v>10485</v>
      </c>
      <c r="BK883" t="s">
        <v>294</v>
      </c>
      <c r="BL883" t="s">
        <v>10486</v>
      </c>
      <c r="BM883" t="s">
        <v>17252</v>
      </c>
      <c r="BN883" t="s">
        <v>74</v>
      </c>
      <c r="BO883" t="s">
        <v>17253</v>
      </c>
      <c r="BP883" t="s">
        <v>74</v>
      </c>
      <c r="BQ883" t="s">
        <v>74</v>
      </c>
      <c r="BR883" t="s">
        <v>108</v>
      </c>
      <c r="BS883" t="s">
        <v>17254</v>
      </c>
      <c r="BT883" t="str">
        <f>HYPERLINK("https%3A%2F%2Fwww.webofscience.com%2Fwos%2Fwoscc%2Ffull-record%2FWOS:000483938300005","View Full Record in Web of Science")</f>
        <v>View Full Record in Web of Science</v>
      </c>
    </row>
    <row r="884" spans="1:72" x14ac:dyDescent="0.15">
      <c r="A884" t="s">
        <v>133</v>
      </c>
      <c r="B884" t="s">
        <v>17255</v>
      </c>
      <c r="C884" t="s">
        <v>74</v>
      </c>
      <c r="D884" t="s">
        <v>74</v>
      </c>
      <c r="E884" t="s">
        <v>74</v>
      </c>
      <c r="F884" t="s">
        <v>17256</v>
      </c>
      <c r="G884" t="s">
        <v>74</v>
      </c>
      <c r="H884" t="s">
        <v>74</v>
      </c>
      <c r="I884" t="s">
        <v>17257</v>
      </c>
      <c r="J884" t="s">
        <v>9564</v>
      </c>
      <c r="K884" t="s">
        <v>74</v>
      </c>
      <c r="L884" t="s">
        <v>74</v>
      </c>
      <c r="M884" t="s">
        <v>80</v>
      </c>
      <c r="N884" t="s">
        <v>138</v>
      </c>
      <c r="O884" t="s">
        <v>74</v>
      </c>
      <c r="P884" t="s">
        <v>74</v>
      </c>
      <c r="Q884" t="s">
        <v>74</v>
      </c>
      <c r="R884" t="s">
        <v>74</v>
      </c>
      <c r="S884" t="s">
        <v>74</v>
      </c>
      <c r="T884" t="s">
        <v>17258</v>
      </c>
      <c r="U884" t="s">
        <v>17259</v>
      </c>
      <c r="V884" t="s">
        <v>17260</v>
      </c>
      <c r="W884" t="s">
        <v>17261</v>
      </c>
      <c r="X884" t="s">
        <v>17262</v>
      </c>
      <c r="Y884" t="s">
        <v>17263</v>
      </c>
      <c r="Z884" t="s">
        <v>17264</v>
      </c>
      <c r="AA884" t="s">
        <v>17265</v>
      </c>
      <c r="AB884" t="s">
        <v>17266</v>
      </c>
      <c r="AC884" t="s">
        <v>17267</v>
      </c>
      <c r="AD884" t="s">
        <v>17268</v>
      </c>
      <c r="AE884" t="s">
        <v>17269</v>
      </c>
      <c r="AF884" t="s">
        <v>74</v>
      </c>
      <c r="AG884">
        <v>50</v>
      </c>
      <c r="AH884">
        <v>27</v>
      </c>
      <c r="AI884">
        <v>27</v>
      </c>
      <c r="AJ884">
        <v>4</v>
      </c>
      <c r="AK884">
        <v>44</v>
      </c>
      <c r="AL884" t="s">
        <v>1729</v>
      </c>
      <c r="AM884" t="s">
        <v>1730</v>
      </c>
      <c r="AN884" t="s">
        <v>1731</v>
      </c>
      <c r="AO884" t="s">
        <v>9575</v>
      </c>
      <c r="AP884" t="s">
        <v>74</v>
      </c>
      <c r="AQ884" t="s">
        <v>74</v>
      </c>
      <c r="AR884" t="s">
        <v>9576</v>
      </c>
      <c r="AS884" t="s">
        <v>9577</v>
      </c>
      <c r="AT884" t="s">
        <v>17270</v>
      </c>
      <c r="AU884">
        <v>2019</v>
      </c>
      <c r="AV884">
        <v>6</v>
      </c>
      <c r="AW884">
        <v>9</v>
      </c>
      <c r="AX884" t="s">
        <v>74</v>
      </c>
      <c r="AY884" t="s">
        <v>74</v>
      </c>
      <c r="AZ884" t="s">
        <v>74</v>
      </c>
      <c r="BA884" t="s">
        <v>74</v>
      </c>
      <c r="BB884" t="s">
        <v>74</v>
      </c>
      <c r="BC884" t="s">
        <v>74</v>
      </c>
      <c r="BD884">
        <v>190337</v>
      </c>
      <c r="BE884" t="s">
        <v>17271</v>
      </c>
      <c r="BF884" t="str">
        <f>HYPERLINK("http://dx.doi.org/10.1098/rsos.190337","http://dx.doi.org/10.1098/rsos.190337")</f>
        <v>http://dx.doi.org/10.1098/rsos.190337</v>
      </c>
      <c r="BG884" t="s">
        <v>74</v>
      </c>
      <c r="BH884" t="s">
        <v>74</v>
      </c>
      <c r="BI884">
        <v>15</v>
      </c>
      <c r="BJ884" t="s">
        <v>1245</v>
      </c>
      <c r="BK884" t="s">
        <v>360</v>
      </c>
      <c r="BL884" t="s">
        <v>1246</v>
      </c>
      <c r="BM884" t="s">
        <v>17272</v>
      </c>
      <c r="BN884">
        <v>31598287</v>
      </c>
      <c r="BO884" t="s">
        <v>693</v>
      </c>
      <c r="BP884" t="s">
        <v>74</v>
      </c>
      <c r="BQ884" t="s">
        <v>74</v>
      </c>
      <c r="BR884" t="s">
        <v>108</v>
      </c>
      <c r="BS884" t="s">
        <v>17273</v>
      </c>
      <c r="BT884" t="str">
        <f>HYPERLINK("https%3A%2F%2Fwww.webofscience.com%2Fwos%2Fwoscc%2Ffull-record%2FWOS:000488745800018","View Full Record in Web of Science")</f>
        <v>View Full Record in Web of Science</v>
      </c>
    </row>
    <row r="885" spans="1:72" x14ac:dyDescent="0.15">
      <c r="A885" t="s">
        <v>133</v>
      </c>
      <c r="B885" t="s">
        <v>17274</v>
      </c>
      <c r="C885" t="s">
        <v>74</v>
      </c>
      <c r="D885" t="s">
        <v>74</v>
      </c>
      <c r="E885" t="s">
        <v>74</v>
      </c>
      <c r="F885" t="s">
        <v>17275</v>
      </c>
      <c r="G885" t="s">
        <v>74</v>
      </c>
      <c r="H885" t="s">
        <v>74</v>
      </c>
      <c r="I885" t="s">
        <v>17276</v>
      </c>
      <c r="J885" t="s">
        <v>2723</v>
      </c>
      <c r="K885" t="s">
        <v>74</v>
      </c>
      <c r="L885" t="s">
        <v>74</v>
      </c>
      <c r="M885" t="s">
        <v>80</v>
      </c>
      <c r="N885" t="s">
        <v>930</v>
      </c>
      <c r="O885" t="s">
        <v>74</v>
      </c>
      <c r="P885" t="s">
        <v>74</v>
      </c>
      <c r="Q885" t="s">
        <v>74</v>
      </c>
      <c r="R885" t="s">
        <v>74</v>
      </c>
      <c r="S885" t="s">
        <v>74</v>
      </c>
      <c r="T885" t="s">
        <v>17277</v>
      </c>
      <c r="U885" t="s">
        <v>17278</v>
      </c>
      <c r="V885" t="s">
        <v>17279</v>
      </c>
      <c r="W885" t="s">
        <v>17280</v>
      </c>
      <c r="X885" t="s">
        <v>8612</v>
      </c>
      <c r="Y885" t="s">
        <v>17281</v>
      </c>
      <c r="Z885" t="s">
        <v>2997</v>
      </c>
      <c r="AA885" t="s">
        <v>17282</v>
      </c>
      <c r="AB885" t="s">
        <v>74</v>
      </c>
      <c r="AC885" t="s">
        <v>17283</v>
      </c>
      <c r="AD885" t="s">
        <v>17284</v>
      </c>
      <c r="AE885" t="s">
        <v>17285</v>
      </c>
      <c r="AF885" t="s">
        <v>74</v>
      </c>
      <c r="AG885">
        <v>144</v>
      </c>
      <c r="AH885">
        <v>56</v>
      </c>
      <c r="AI885">
        <v>59</v>
      </c>
      <c r="AJ885">
        <v>4</v>
      </c>
      <c r="AK885">
        <v>49</v>
      </c>
      <c r="AL885" t="s">
        <v>2587</v>
      </c>
      <c r="AM885" t="s">
        <v>2588</v>
      </c>
      <c r="AN885" t="s">
        <v>2589</v>
      </c>
      <c r="AO885" t="s">
        <v>74</v>
      </c>
      <c r="AP885" t="s">
        <v>2734</v>
      </c>
      <c r="AQ885" t="s">
        <v>74</v>
      </c>
      <c r="AR885" t="s">
        <v>2735</v>
      </c>
      <c r="AS885" t="s">
        <v>2736</v>
      </c>
      <c r="AT885" t="s">
        <v>17270</v>
      </c>
      <c r="AU885">
        <v>2019</v>
      </c>
      <c r="AV885">
        <v>6</v>
      </c>
      <c r="AW885" t="s">
        <v>74</v>
      </c>
      <c r="AX885" t="s">
        <v>74</v>
      </c>
      <c r="AY885" t="s">
        <v>74</v>
      </c>
      <c r="AZ885" t="s">
        <v>74</v>
      </c>
      <c r="BA885" t="s">
        <v>74</v>
      </c>
      <c r="BB885" t="s">
        <v>74</v>
      </c>
      <c r="BC885" t="s">
        <v>74</v>
      </c>
      <c r="BD885">
        <v>530</v>
      </c>
      <c r="BE885" t="s">
        <v>17286</v>
      </c>
      <c r="BF885" t="str">
        <f>HYPERLINK("http://dx.doi.org/10.3389/fmars.2019.00530","http://dx.doi.org/10.3389/fmars.2019.00530")</f>
        <v>http://dx.doi.org/10.3389/fmars.2019.00530</v>
      </c>
      <c r="BG885" t="s">
        <v>74</v>
      </c>
      <c r="BH885" t="s">
        <v>74</v>
      </c>
      <c r="BI885">
        <v>22</v>
      </c>
      <c r="BJ885" t="s">
        <v>2738</v>
      </c>
      <c r="BK885" t="s">
        <v>294</v>
      </c>
      <c r="BL885" t="s">
        <v>2739</v>
      </c>
      <c r="BM885" t="s">
        <v>17287</v>
      </c>
      <c r="BN885" t="s">
        <v>74</v>
      </c>
      <c r="BO885" t="s">
        <v>361</v>
      </c>
      <c r="BP885" t="s">
        <v>74</v>
      </c>
      <c r="BQ885" t="s">
        <v>74</v>
      </c>
      <c r="BR885" t="s">
        <v>108</v>
      </c>
      <c r="BS885" t="s">
        <v>17288</v>
      </c>
      <c r="BT885" t="str">
        <f>HYPERLINK("https%3A%2F%2Fwww.webofscience.com%2Fwos%2Fwoscc%2Ffull-record%2FWOS:000483814200001","View Full Record in Web of Science")</f>
        <v>View Full Record in Web of Science</v>
      </c>
    </row>
    <row r="886" spans="1:72" x14ac:dyDescent="0.15">
      <c r="A886" t="s">
        <v>133</v>
      </c>
      <c r="B886" t="s">
        <v>17289</v>
      </c>
      <c r="C886" t="s">
        <v>74</v>
      </c>
      <c r="D886" t="s">
        <v>74</v>
      </c>
      <c r="E886" t="s">
        <v>74</v>
      </c>
      <c r="F886" t="s">
        <v>17290</v>
      </c>
      <c r="G886" t="s">
        <v>74</v>
      </c>
      <c r="H886" t="s">
        <v>74</v>
      </c>
      <c r="I886" t="s">
        <v>17291</v>
      </c>
      <c r="J886" t="s">
        <v>17292</v>
      </c>
      <c r="K886" t="s">
        <v>74</v>
      </c>
      <c r="L886" t="s">
        <v>74</v>
      </c>
      <c r="M886" t="s">
        <v>80</v>
      </c>
      <c r="N886" t="s">
        <v>930</v>
      </c>
      <c r="O886" t="s">
        <v>74</v>
      </c>
      <c r="P886" t="s">
        <v>74</v>
      </c>
      <c r="Q886" t="s">
        <v>74</v>
      </c>
      <c r="R886" t="s">
        <v>74</v>
      </c>
      <c r="S886" t="s">
        <v>74</v>
      </c>
      <c r="T886" t="s">
        <v>17293</v>
      </c>
      <c r="U886" t="s">
        <v>17294</v>
      </c>
      <c r="V886" t="s">
        <v>17295</v>
      </c>
      <c r="W886" t="s">
        <v>17296</v>
      </c>
      <c r="X886" t="s">
        <v>17297</v>
      </c>
      <c r="Y886" t="s">
        <v>17298</v>
      </c>
      <c r="Z886" t="s">
        <v>17299</v>
      </c>
      <c r="AA886" t="s">
        <v>74</v>
      </c>
      <c r="AB886" t="s">
        <v>74</v>
      </c>
      <c r="AC886" t="s">
        <v>17300</v>
      </c>
      <c r="AD886" t="s">
        <v>17301</v>
      </c>
      <c r="AE886" t="s">
        <v>17302</v>
      </c>
      <c r="AF886" t="s">
        <v>74</v>
      </c>
      <c r="AG886">
        <v>87</v>
      </c>
      <c r="AH886">
        <v>31</v>
      </c>
      <c r="AI886">
        <v>35</v>
      </c>
      <c r="AJ886">
        <v>3</v>
      </c>
      <c r="AK886">
        <v>44</v>
      </c>
      <c r="AL886" t="s">
        <v>17303</v>
      </c>
      <c r="AM886" t="s">
        <v>1730</v>
      </c>
      <c r="AN886" t="s">
        <v>1863</v>
      </c>
      <c r="AO886" t="s">
        <v>17304</v>
      </c>
      <c r="AP886" t="s">
        <v>74</v>
      </c>
      <c r="AQ886" t="s">
        <v>74</v>
      </c>
      <c r="AR886" t="s">
        <v>17292</v>
      </c>
      <c r="AS886" t="s">
        <v>17305</v>
      </c>
      <c r="AT886" t="s">
        <v>17306</v>
      </c>
      <c r="AU886">
        <v>2019</v>
      </c>
      <c r="AV886">
        <v>9</v>
      </c>
      <c r="AW886">
        <v>1</v>
      </c>
      <c r="AX886" t="s">
        <v>74</v>
      </c>
      <c r="AY886" t="s">
        <v>74</v>
      </c>
      <c r="AZ886" t="s">
        <v>74</v>
      </c>
      <c r="BA886" t="s">
        <v>74</v>
      </c>
      <c r="BB886" t="s">
        <v>74</v>
      </c>
      <c r="BC886" t="s">
        <v>74</v>
      </c>
      <c r="BD886">
        <v>138</v>
      </c>
      <c r="BE886" t="s">
        <v>17307</v>
      </c>
      <c r="BF886" t="str">
        <f>HYPERLINK("http://dx.doi.org/10.1186/s13568-019-0862-x","http://dx.doi.org/10.1186/s13568-019-0862-x")</f>
        <v>http://dx.doi.org/10.1186/s13568-019-0862-x</v>
      </c>
      <c r="BG886" t="s">
        <v>74</v>
      </c>
      <c r="BH886" t="s">
        <v>74</v>
      </c>
      <c r="BI886">
        <v>12</v>
      </c>
      <c r="BJ886" t="s">
        <v>5905</v>
      </c>
      <c r="BK886" t="s">
        <v>294</v>
      </c>
      <c r="BL886" t="s">
        <v>5905</v>
      </c>
      <c r="BM886" t="s">
        <v>17308</v>
      </c>
      <c r="BN886">
        <v>31482336</v>
      </c>
      <c r="BO886" t="s">
        <v>693</v>
      </c>
      <c r="BP886" t="s">
        <v>74</v>
      </c>
      <c r="BQ886" t="s">
        <v>74</v>
      </c>
      <c r="BR886" t="s">
        <v>108</v>
      </c>
      <c r="BS886" t="s">
        <v>17309</v>
      </c>
      <c r="BT886" t="str">
        <f>HYPERLINK("https%3A%2F%2Fwww.webofscience.com%2Fwos%2Fwoscc%2Ffull-record%2FWOS:000483746200001","View Full Record in Web of Science")</f>
        <v>View Full Record in Web of Science</v>
      </c>
    </row>
    <row r="887" spans="1:72" x14ac:dyDescent="0.15">
      <c r="A887" t="s">
        <v>133</v>
      </c>
      <c r="B887" t="s">
        <v>17310</v>
      </c>
      <c r="C887" t="s">
        <v>74</v>
      </c>
      <c r="D887" t="s">
        <v>74</v>
      </c>
      <c r="E887" t="s">
        <v>74</v>
      </c>
      <c r="F887" t="s">
        <v>17311</v>
      </c>
      <c r="G887" t="s">
        <v>74</v>
      </c>
      <c r="H887" t="s">
        <v>74</v>
      </c>
      <c r="I887" t="s">
        <v>17312</v>
      </c>
      <c r="J887" t="s">
        <v>1412</v>
      </c>
      <c r="K887" t="s">
        <v>74</v>
      </c>
      <c r="L887" t="s">
        <v>74</v>
      </c>
      <c r="M887" t="s">
        <v>80</v>
      </c>
      <c r="N887" t="s">
        <v>138</v>
      </c>
      <c r="O887" t="s">
        <v>74</v>
      </c>
      <c r="P887" t="s">
        <v>74</v>
      </c>
      <c r="Q887" t="s">
        <v>74</v>
      </c>
      <c r="R887" t="s">
        <v>74</v>
      </c>
      <c r="S887" t="s">
        <v>74</v>
      </c>
      <c r="T887" t="s">
        <v>17313</v>
      </c>
      <c r="U887" t="s">
        <v>17314</v>
      </c>
      <c r="V887" t="s">
        <v>17315</v>
      </c>
      <c r="W887" t="s">
        <v>17316</v>
      </c>
      <c r="X887" t="s">
        <v>17317</v>
      </c>
      <c r="Y887" t="s">
        <v>17318</v>
      </c>
      <c r="Z887" t="s">
        <v>17319</v>
      </c>
      <c r="AA887" t="s">
        <v>17320</v>
      </c>
      <c r="AB887" t="s">
        <v>17321</v>
      </c>
      <c r="AC887" t="s">
        <v>17322</v>
      </c>
      <c r="AD887" t="s">
        <v>17323</v>
      </c>
      <c r="AE887" t="s">
        <v>17324</v>
      </c>
      <c r="AF887" t="s">
        <v>74</v>
      </c>
      <c r="AG887">
        <v>54</v>
      </c>
      <c r="AH887">
        <v>39</v>
      </c>
      <c r="AI887">
        <v>40</v>
      </c>
      <c r="AJ887">
        <v>3</v>
      </c>
      <c r="AK887">
        <v>50</v>
      </c>
      <c r="AL887" t="s">
        <v>1425</v>
      </c>
      <c r="AM887" t="s">
        <v>1265</v>
      </c>
      <c r="AN887" t="s">
        <v>1426</v>
      </c>
      <c r="AO887" t="s">
        <v>1427</v>
      </c>
      <c r="AP887" t="s">
        <v>74</v>
      </c>
      <c r="AQ887" t="s">
        <v>74</v>
      </c>
      <c r="AR887" t="s">
        <v>1429</v>
      </c>
      <c r="AS887" t="s">
        <v>1430</v>
      </c>
      <c r="AT887" t="s">
        <v>17306</v>
      </c>
      <c r="AU887">
        <v>2019</v>
      </c>
      <c r="AV887">
        <v>116</v>
      </c>
      <c r="AW887">
        <v>36</v>
      </c>
      <c r="AX887" t="s">
        <v>74</v>
      </c>
      <c r="AY887" t="s">
        <v>74</v>
      </c>
      <c r="AZ887" t="s">
        <v>74</v>
      </c>
      <c r="BA887" t="s">
        <v>74</v>
      </c>
      <c r="BB887">
        <v>17934</v>
      </c>
      <c r="BC887">
        <v>17942</v>
      </c>
      <c r="BD887" t="s">
        <v>74</v>
      </c>
      <c r="BE887" t="s">
        <v>17325</v>
      </c>
      <c r="BF887" t="str">
        <f>HYPERLINK("http://dx.doi.org/10.1073/pnas.1910121116","http://dx.doi.org/10.1073/pnas.1910121116")</f>
        <v>http://dx.doi.org/10.1073/pnas.1910121116</v>
      </c>
      <c r="BG887" t="s">
        <v>74</v>
      </c>
      <c r="BH887" t="s">
        <v>74</v>
      </c>
      <c r="BI887">
        <v>9</v>
      </c>
      <c r="BJ887" t="s">
        <v>1245</v>
      </c>
      <c r="BK887" t="s">
        <v>294</v>
      </c>
      <c r="BL887" t="s">
        <v>1246</v>
      </c>
      <c r="BM887" t="s">
        <v>17326</v>
      </c>
      <c r="BN887">
        <v>31427512</v>
      </c>
      <c r="BO887" t="s">
        <v>17327</v>
      </c>
      <c r="BP887" t="s">
        <v>74</v>
      </c>
      <c r="BQ887" t="s">
        <v>74</v>
      </c>
      <c r="BR887" t="s">
        <v>108</v>
      </c>
      <c r="BS887" t="s">
        <v>17328</v>
      </c>
      <c r="BT887" t="str">
        <f>HYPERLINK("https%3A%2F%2Fwww.webofscience.com%2Fwos%2Fwoscc%2Ffull-record%2FWOS:000485140300054","View Full Record in Web of Science")</f>
        <v>View Full Record in Web of Science</v>
      </c>
    </row>
    <row r="888" spans="1:72" x14ac:dyDescent="0.15">
      <c r="A888" t="s">
        <v>133</v>
      </c>
      <c r="B888" t="s">
        <v>17329</v>
      </c>
      <c r="C888" t="s">
        <v>74</v>
      </c>
      <c r="D888" t="s">
        <v>74</v>
      </c>
      <c r="E888" t="s">
        <v>74</v>
      </c>
      <c r="F888" t="s">
        <v>17330</v>
      </c>
      <c r="G888" t="s">
        <v>74</v>
      </c>
      <c r="H888" t="s">
        <v>74</v>
      </c>
      <c r="I888" t="s">
        <v>17331</v>
      </c>
      <c r="J888" t="s">
        <v>1388</v>
      </c>
      <c r="K888" t="s">
        <v>74</v>
      </c>
      <c r="L888" t="s">
        <v>74</v>
      </c>
      <c r="M888" t="s">
        <v>80</v>
      </c>
      <c r="N888" t="s">
        <v>138</v>
      </c>
      <c r="O888" t="s">
        <v>74</v>
      </c>
      <c r="P888" t="s">
        <v>74</v>
      </c>
      <c r="Q888" t="s">
        <v>74</v>
      </c>
      <c r="R888" t="s">
        <v>74</v>
      </c>
      <c r="S888" t="s">
        <v>74</v>
      </c>
      <c r="T888" t="s">
        <v>17332</v>
      </c>
      <c r="U888" t="s">
        <v>17333</v>
      </c>
      <c r="V888" t="s">
        <v>17334</v>
      </c>
      <c r="W888" t="s">
        <v>17335</v>
      </c>
      <c r="X888" t="s">
        <v>230</v>
      </c>
      <c r="Y888" t="s">
        <v>17336</v>
      </c>
      <c r="Z888" t="s">
        <v>17337</v>
      </c>
      <c r="AA888" t="s">
        <v>17338</v>
      </c>
      <c r="AB888" t="s">
        <v>17339</v>
      </c>
      <c r="AC888" t="s">
        <v>17340</v>
      </c>
      <c r="AD888" t="s">
        <v>17341</v>
      </c>
      <c r="AE888" t="s">
        <v>17342</v>
      </c>
      <c r="AF888" t="s">
        <v>74</v>
      </c>
      <c r="AG888">
        <v>57</v>
      </c>
      <c r="AH888">
        <v>8</v>
      </c>
      <c r="AI888">
        <v>9</v>
      </c>
      <c r="AJ888">
        <v>2</v>
      </c>
      <c r="AK888">
        <v>30</v>
      </c>
      <c r="AL888" t="s">
        <v>429</v>
      </c>
      <c r="AM888" t="s">
        <v>430</v>
      </c>
      <c r="AN888" t="s">
        <v>431</v>
      </c>
      <c r="AO888" t="s">
        <v>1401</v>
      </c>
      <c r="AP888" t="s">
        <v>1402</v>
      </c>
      <c r="AQ888" t="s">
        <v>74</v>
      </c>
      <c r="AR888" t="s">
        <v>1403</v>
      </c>
      <c r="AS888" t="s">
        <v>1404</v>
      </c>
      <c r="AT888" t="s">
        <v>16503</v>
      </c>
      <c r="AU888">
        <v>2020</v>
      </c>
      <c r="AV888">
        <v>40</v>
      </c>
      <c r="AW888">
        <v>3</v>
      </c>
      <c r="AX888" t="s">
        <v>74</v>
      </c>
      <c r="AY888" t="s">
        <v>74</v>
      </c>
      <c r="AZ888" t="s">
        <v>74</v>
      </c>
      <c r="BA888" t="s">
        <v>74</v>
      </c>
      <c r="BB888">
        <v>1526</v>
      </c>
      <c r="BC888">
        <v>1541</v>
      </c>
      <c r="BD888" t="s">
        <v>74</v>
      </c>
      <c r="BE888" t="s">
        <v>17343</v>
      </c>
      <c r="BF888" t="str">
        <f>HYPERLINK("http://dx.doi.org/10.1002/joc.6285","http://dx.doi.org/10.1002/joc.6285")</f>
        <v>http://dx.doi.org/10.1002/joc.6285</v>
      </c>
      <c r="BG888" t="s">
        <v>74</v>
      </c>
      <c r="BH888" t="s">
        <v>16167</v>
      </c>
      <c r="BI888">
        <v>16</v>
      </c>
      <c r="BJ888" t="s">
        <v>1024</v>
      </c>
      <c r="BK888" t="s">
        <v>294</v>
      </c>
      <c r="BL888" t="s">
        <v>1024</v>
      </c>
      <c r="BM888" t="s">
        <v>16505</v>
      </c>
      <c r="BN888" t="s">
        <v>74</v>
      </c>
      <c r="BO888" t="s">
        <v>74</v>
      </c>
      <c r="BP888" t="s">
        <v>74</v>
      </c>
      <c r="BQ888" t="s">
        <v>74</v>
      </c>
      <c r="BR888" t="s">
        <v>108</v>
      </c>
      <c r="BS888" t="s">
        <v>17344</v>
      </c>
      <c r="BT888" t="str">
        <f>HYPERLINK("https%3A%2F%2Fwww.webofscience.com%2Fwos%2Fwoscc%2Ffull-record%2FWOS:000484748000001","View Full Record in Web of Science")</f>
        <v>View Full Record in Web of Science</v>
      </c>
    </row>
    <row r="889" spans="1:72" x14ac:dyDescent="0.15">
      <c r="A889" t="s">
        <v>133</v>
      </c>
      <c r="B889" t="s">
        <v>17345</v>
      </c>
      <c r="C889" t="s">
        <v>74</v>
      </c>
      <c r="D889" t="s">
        <v>74</v>
      </c>
      <c r="E889" t="s">
        <v>74</v>
      </c>
      <c r="F889" t="s">
        <v>17346</v>
      </c>
      <c r="G889" t="s">
        <v>74</v>
      </c>
      <c r="H889" t="s">
        <v>74</v>
      </c>
      <c r="I889" t="s">
        <v>17347</v>
      </c>
      <c r="J889" t="s">
        <v>6815</v>
      </c>
      <c r="K889" t="s">
        <v>74</v>
      </c>
      <c r="L889" t="s">
        <v>74</v>
      </c>
      <c r="M889" t="s">
        <v>80</v>
      </c>
      <c r="N889" t="s">
        <v>3200</v>
      </c>
      <c r="O889" t="s">
        <v>74</v>
      </c>
      <c r="P889" t="s">
        <v>74</v>
      </c>
      <c r="Q889" t="s">
        <v>74</v>
      </c>
      <c r="R889" t="s">
        <v>74</v>
      </c>
      <c r="S889" t="s">
        <v>74</v>
      </c>
      <c r="T889" t="s">
        <v>74</v>
      </c>
      <c r="U889" t="s">
        <v>17348</v>
      </c>
      <c r="V889" t="s">
        <v>17349</v>
      </c>
      <c r="W889" t="s">
        <v>17350</v>
      </c>
      <c r="X889" t="s">
        <v>17351</v>
      </c>
      <c r="Y889" t="s">
        <v>17352</v>
      </c>
      <c r="Z889" t="s">
        <v>17353</v>
      </c>
      <c r="AA889" t="s">
        <v>17354</v>
      </c>
      <c r="AB889" t="s">
        <v>17355</v>
      </c>
      <c r="AC889" t="s">
        <v>17356</v>
      </c>
      <c r="AD889" t="s">
        <v>17357</v>
      </c>
      <c r="AE889" t="s">
        <v>17358</v>
      </c>
      <c r="AF889" t="s">
        <v>74</v>
      </c>
      <c r="AG889">
        <v>168</v>
      </c>
      <c r="AH889">
        <v>52</v>
      </c>
      <c r="AI889">
        <v>54</v>
      </c>
      <c r="AJ889">
        <v>3</v>
      </c>
      <c r="AK889">
        <v>45</v>
      </c>
      <c r="AL889" t="s">
        <v>2635</v>
      </c>
      <c r="AM889" t="s">
        <v>841</v>
      </c>
      <c r="AN889" t="s">
        <v>842</v>
      </c>
      <c r="AO889" t="s">
        <v>74</v>
      </c>
      <c r="AP889" t="s">
        <v>6827</v>
      </c>
      <c r="AQ889" t="s">
        <v>74</v>
      </c>
      <c r="AR889" t="s">
        <v>6828</v>
      </c>
      <c r="AS889" t="s">
        <v>6829</v>
      </c>
      <c r="AT889" t="s">
        <v>17359</v>
      </c>
      <c r="AU889">
        <v>2019</v>
      </c>
      <c r="AV889">
        <v>6</v>
      </c>
      <c r="AW889" t="s">
        <v>74</v>
      </c>
      <c r="AX889" t="s">
        <v>74</v>
      </c>
      <c r="AY889" t="s">
        <v>74</v>
      </c>
      <c r="AZ889" t="s">
        <v>74</v>
      </c>
      <c r="BA889" t="s">
        <v>74</v>
      </c>
      <c r="BB889" t="s">
        <v>74</v>
      </c>
      <c r="BC889" t="s">
        <v>74</v>
      </c>
      <c r="BD889">
        <v>165</v>
      </c>
      <c r="BE889" t="s">
        <v>17360</v>
      </c>
      <c r="BF889" t="str">
        <f>HYPERLINK("http://dx.doi.org/10.1038/s41597-019-0173-8","http://dx.doi.org/10.1038/s41597-019-0173-8")</f>
        <v>http://dx.doi.org/10.1038/s41597-019-0173-8</v>
      </c>
      <c r="BG889" t="s">
        <v>74</v>
      </c>
      <c r="BH889" t="s">
        <v>74</v>
      </c>
      <c r="BI889">
        <v>12</v>
      </c>
      <c r="BJ889" t="s">
        <v>1245</v>
      </c>
      <c r="BK889" t="s">
        <v>294</v>
      </c>
      <c r="BL889" t="s">
        <v>1246</v>
      </c>
      <c r="BM889" t="s">
        <v>17361</v>
      </c>
      <c r="BN889">
        <v>31477737</v>
      </c>
      <c r="BO889" t="s">
        <v>17362</v>
      </c>
      <c r="BP889" t="s">
        <v>74</v>
      </c>
      <c r="BQ889" t="s">
        <v>74</v>
      </c>
      <c r="BR889" t="s">
        <v>108</v>
      </c>
      <c r="BS889" t="s">
        <v>17363</v>
      </c>
      <c r="BT889" t="str">
        <f>HYPERLINK("https%3A%2F%2Fwww.webofscience.com%2Fwos%2Fwoscc%2Ffull-record%2FWOS:000483426900001","View Full Record in Web of Science")</f>
        <v>View Full Record in Web of Science</v>
      </c>
    </row>
    <row r="890" spans="1:72" x14ac:dyDescent="0.15">
      <c r="A890" t="s">
        <v>133</v>
      </c>
      <c r="B890" t="s">
        <v>17364</v>
      </c>
      <c r="C890" t="s">
        <v>74</v>
      </c>
      <c r="D890" t="s">
        <v>74</v>
      </c>
      <c r="E890" t="s">
        <v>74</v>
      </c>
      <c r="F890" t="s">
        <v>17365</v>
      </c>
      <c r="G890" t="s">
        <v>74</v>
      </c>
      <c r="H890" t="s">
        <v>74</v>
      </c>
      <c r="I890" t="s">
        <v>17366</v>
      </c>
      <c r="J890" t="s">
        <v>17367</v>
      </c>
      <c r="K890" t="s">
        <v>74</v>
      </c>
      <c r="L890" t="s">
        <v>74</v>
      </c>
      <c r="M890" t="s">
        <v>80</v>
      </c>
      <c r="N890" t="s">
        <v>138</v>
      </c>
      <c r="O890" t="s">
        <v>74</v>
      </c>
      <c r="P890" t="s">
        <v>74</v>
      </c>
      <c r="Q890" t="s">
        <v>74</v>
      </c>
      <c r="R890" t="s">
        <v>74</v>
      </c>
      <c r="S890" t="s">
        <v>74</v>
      </c>
      <c r="T890" t="s">
        <v>17368</v>
      </c>
      <c r="U890" t="s">
        <v>17369</v>
      </c>
      <c r="V890" t="s">
        <v>17370</v>
      </c>
      <c r="W890" t="s">
        <v>17371</v>
      </c>
      <c r="X890" t="s">
        <v>17372</v>
      </c>
      <c r="Y890" t="s">
        <v>17373</v>
      </c>
      <c r="Z890" t="s">
        <v>17374</v>
      </c>
      <c r="AA890" t="s">
        <v>74</v>
      </c>
      <c r="AB890" t="s">
        <v>17375</v>
      </c>
      <c r="AC890" t="s">
        <v>17376</v>
      </c>
      <c r="AD890" t="s">
        <v>17377</v>
      </c>
      <c r="AE890" t="s">
        <v>17378</v>
      </c>
      <c r="AF890" t="s">
        <v>74</v>
      </c>
      <c r="AG890">
        <v>33</v>
      </c>
      <c r="AH890">
        <v>5</v>
      </c>
      <c r="AI890">
        <v>6</v>
      </c>
      <c r="AJ890">
        <v>1</v>
      </c>
      <c r="AK890">
        <v>18</v>
      </c>
      <c r="AL890" t="s">
        <v>3717</v>
      </c>
      <c r="AM890" t="s">
        <v>3718</v>
      </c>
      <c r="AN890" t="s">
        <v>3719</v>
      </c>
      <c r="AO890" t="s">
        <v>17379</v>
      </c>
      <c r="AP890" t="s">
        <v>17380</v>
      </c>
      <c r="AQ890" t="s">
        <v>74</v>
      </c>
      <c r="AR890" t="s">
        <v>17381</v>
      </c>
      <c r="AS890" t="s">
        <v>17382</v>
      </c>
      <c r="AT890" t="s">
        <v>3499</v>
      </c>
      <c r="AU890">
        <v>2019</v>
      </c>
      <c r="AV890">
        <v>55</v>
      </c>
      <c r="AW890">
        <v>5</v>
      </c>
      <c r="AX890" t="s">
        <v>74</v>
      </c>
      <c r="AY890" t="s">
        <v>74</v>
      </c>
      <c r="AZ890" t="s">
        <v>74</v>
      </c>
      <c r="BA890" t="s">
        <v>74</v>
      </c>
      <c r="BB890">
        <v>489</v>
      </c>
      <c r="BC890">
        <v>494</v>
      </c>
      <c r="BD890" t="s">
        <v>74</v>
      </c>
      <c r="BE890" t="s">
        <v>17383</v>
      </c>
      <c r="BF890" t="str">
        <f>HYPERLINK("http://dx.doi.org/10.1134/S0003683819050077","http://dx.doi.org/10.1134/S0003683819050077")</f>
        <v>http://dx.doi.org/10.1134/S0003683819050077</v>
      </c>
      <c r="BG890" t="s">
        <v>74</v>
      </c>
      <c r="BH890" t="s">
        <v>74</v>
      </c>
      <c r="BI890">
        <v>6</v>
      </c>
      <c r="BJ890" t="s">
        <v>17384</v>
      </c>
      <c r="BK890" t="s">
        <v>294</v>
      </c>
      <c r="BL890" t="s">
        <v>17384</v>
      </c>
      <c r="BM890" t="s">
        <v>17385</v>
      </c>
      <c r="BN890" t="s">
        <v>74</v>
      </c>
      <c r="BO890" t="s">
        <v>74</v>
      </c>
      <c r="BP890" t="s">
        <v>74</v>
      </c>
      <c r="BQ890" t="s">
        <v>74</v>
      </c>
      <c r="BR890" t="s">
        <v>108</v>
      </c>
      <c r="BS890" t="s">
        <v>17386</v>
      </c>
      <c r="BT890" t="str">
        <f>HYPERLINK("https%3A%2F%2Fwww.webofscience.com%2Fwos%2Fwoscc%2Ffull-record%2FWOS:000510731900006","View Full Record in Web of Science")</f>
        <v>View Full Record in Web of Science</v>
      </c>
    </row>
    <row r="891" spans="1:72" x14ac:dyDescent="0.15">
      <c r="A891" t="s">
        <v>133</v>
      </c>
      <c r="B891" t="s">
        <v>17387</v>
      </c>
      <c r="C891" t="s">
        <v>74</v>
      </c>
      <c r="D891" t="s">
        <v>74</v>
      </c>
      <c r="E891" t="s">
        <v>74</v>
      </c>
      <c r="F891" t="s">
        <v>17388</v>
      </c>
      <c r="G891" t="s">
        <v>74</v>
      </c>
      <c r="H891" t="s">
        <v>74</v>
      </c>
      <c r="I891" t="s">
        <v>17389</v>
      </c>
      <c r="J891" t="s">
        <v>9047</v>
      </c>
      <c r="K891" t="s">
        <v>74</v>
      </c>
      <c r="L891" t="s">
        <v>74</v>
      </c>
      <c r="M891" t="s">
        <v>80</v>
      </c>
      <c r="N891" t="s">
        <v>138</v>
      </c>
      <c r="O891" t="s">
        <v>74</v>
      </c>
      <c r="P891" t="s">
        <v>74</v>
      </c>
      <c r="Q891" t="s">
        <v>74</v>
      </c>
      <c r="R891" t="s">
        <v>74</v>
      </c>
      <c r="S891" t="s">
        <v>74</v>
      </c>
      <c r="T891" t="s">
        <v>17390</v>
      </c>
      <c r="U891" t="s">
        <v>74</v>
      </c>
      <c r="V891" t="s">
        <v>17391</v>
      </c>
      <c r="W891" t="s">
        <v>17392</v>
      </c>
      <c r="X891" t="s">
        <v>17393</v>
      </c>
      <c r="Y891" t="s">
        <v>17394</v>
      </c>
      <c r="Z891" t="s">
        <v>17395</v>
      </c>
      <c r="AA891" t="s">
        <v>74</v>
      </c>
      <c r="AB891" t="s">
        <v>74</v>
      </c>
      <c r="AC891" t="s">
        <v>74</v>
      </c>
      <c r="AD891" t="s">
        <v>74</v>
      </c>
      <c r="AE891" t="s">
        <v>74</v>
      </c>
      <c r="AF891" t="s">
        <v>74</v>
      </c>
      <c r="AG891">
        <v>31</v>
      </c>
      <c r="AH891">
        <v>2</v>
      </c>
      <c r="AI891">
        <v>3</v>
      </c>
      <c r="AJ891">
        <v>0</v>
      </c>
      <c r="AK891">
        <v>15</v>
      </c>
      <c r="AL891" t="s">
        <v>605</v>
      </c>
      <c r="AM891" t="s">
        <v>1965</v>
      </c>
      <c r="AN891" t="s">
        <v>4578</v>
      </c>
      <c r="AO891" t="s">
        <v>9054</v>
      </c>
      <c r="AP891" t="s">
        <v>9055</v>
      </c>
      <c r="AQ891" t="s">
        <v>74</v>
      </c>
      <c r="AR891" t="s">
        <v>9056</v>
      </c>
      <c r="AS891" t="s">
        <v>9057</v>
      </c>
      <c r="AT891" t="s">
        <v>3499</v>
      </c>
      <c r="AU891">
        <v>2019</v>
      </c>
      <c r="AV891">
        <v>55</v>
      </c>
      <c r="AW891">
        <v>5</v>
      </c>
      <c r="AX891" t="s">
        <v>74</v>
      </c>
      <c r="AY891" t="s">
        <v>74</v>
      </c>
      <c r="AZ891" t="s">
        <v>74</v>
      </c>
      <c r="BA891" t="s">
        <v>74</v>
      </c>
      <c r="BB891">
        <v>311</v>
      </c>
      <c r="BC891">
        <v>316</v>
      </c>
      <c r="BD891" t="s">
        <v>17396</v>
      </c>
      <c r="BE891" t="s">
        <v>17397</v>
      </c>
      <c r="BF891" t="str">
        <f>HYPERLINK("http://dx.doi.org/10.1017/S0032247419000536","http://dx.doi.org/10.1017/S0032247419000536")</f>
        <v>http://dx.doi.org/10.1017/S0032247419000536</v>
      </c>
      <c r="BG891" t="s">
        <v>74</v>
      </c>
      <c r="BH891" t="s">
        <v>74</v>
      </c>
      <c r="BI891">
        <v>6</v>
      </c>
      <c r="BJ891" t="s">
        <v>9060</v>
      </c>
      <c r="BK891" t="s">
        <v>360</v>
      </c>
      <c r="BL891" t="s">
        <v>388</v>
      </c>
      <c r="BM891" t="s">
        <v>17398</v>
      </c>
      <c r="BN891" t="s">
        <v>74</v>
      </c>
      <c r="BO891" t="s">
        <v>74</v>
      </c>
      <c r="BP891" t="s">
        <v>74</v>
      </c>
      <c r="BQ891" t="s">
        <v>74</v>
      </c>
      <c r="BR891" t="s">
        <v>108</v>
      </c>
      <c r="BS891" t="s">
        <v>17399</v>
      </c>
      <c r="BT891" t="str">
        <f>HYPERLINK("https%3A%2F%2Fwww.webofscience.com%2Fwos%2Fwoscc%2Ffull-record%2FWOS:000508432300001","View Full Record in Web of Science")</f>
        <v>View Full Record in Web of Science</v>
      </c>
    </row>
    <row r="892" spans="1:72" x14ac:dyDescent="0.15">
      <c r="A892" t="s">
        <v>133</v>
      </c>
      <c r="B892" t="s">
        <v>17400</v>
      </c>
      <c r="C892" t="s">
        <v>74</v>
      </c>
      <c r="D892" t="s">
        <v>74</v>
      </c>
      <c r="E892" t="s">
        <v>74</v>
      </c>
      <c r="F892" t="s">
        <v>17401</v>
      </c>
      <c r="G892" t="s">
        <v>74</v>
      </c>
      <c r="H892" t="s">
        <v>74</v>
      </c>
      <c r="I892" t="s">
        <v>17402</v>
      </c>
      <c r="J892" t="s">
        <v>9047</v>
      </c>
      <c r="K892" t="s">
        <v>74</v>
      </c>
      <c r="L892" t="s">
        <v>74</v>
      </c>
      <c r="M892" t="s">
        <v>80</v>
      </c>
      <c r="N892" t="s">
        <v>930</v>
      </c>
      <c r="O892" t="s">
        <v>74</v>
      </c>
      <c r="P892" t="s">
        <v>74</v>
      </c>
      <c r="Q892" t="s">
        <v>74</v>
      </c>
      <c r="R892" t="s">
        <v>74</v>
      </c>
      <c r="S892" t="s">
        <v>74</v>
      </c>
      <c r="T892" t="s">
        <v>17403</v>
      </c>
      <c r="U892" t="s">
        <v>74</v>
      </c>
      <c r="V892" t="s">
        <v>17404</v>
      </c>
      <c r="W892" t="s">
        <v>17405</v>
      </c>
      <c r="X892" t="s">
        <v>17406</v>
      </c>
      <c r="Y892" t="s">
        <v>17407</v>
      </c>
      <c r="Z892" t="s">
        <v>17408</v>
      </c>
      <c r="AA892" t="s">
        <v>74</v>
      </c>
      <c r="AB892" t="s">
        <v>17409</v>
      </c>
      <c r="AC892" t="s">
        <v>74</v>
      </c>
      <c r="AD892" t="s">
        <v>74</v>
      </c>
      <c r="AE892" t="s">
        <v>74</v>
      </c>
      <c r="AF892" t="s">
        <v>74</v>
      </c>
      <c r="AG892">
        <v>13</v>
      </c>
      <c r="AH892">
        <v>0</v>
      </c>
      <c r="AI892">
        <v>0</v>
      </c>
      <c r="AJ892">
        <v>1</v>
      </c>
      <c r="AK892">
        <v>5</v>
      </c>
      <c r="AL892" t="s">
        <v>605</v>
      </c>
      <c r="AM892" t="s">
        <v>1965</v>
      </c>
      <c r="AN892" t="s">
        <v>4578</v>
      </c>
      <c r="AO892" t="s">
        <v>9054</v>
      </c>
      <c r="AP892" t="s">
        <v>9055</v>
      </c>
      <c r="AQ892" t="s">
        <v>74</v>
      </c>
      <c r="AR892" t="s">
        <v>9056</v>
      </c>
      <c r="AS892" t="s">
        <v>9057</v>
      </c>
      <c r="AT892" t="s">
        <v>3499</v>
      </c>
      <c r="AU892">
        <v>2019</v>
      </c>
      <c r="AV892">
        <v>55</v>
      </c>
      <c r="AW892">
        <v>5</v>
      </c>
      <c r="AX892" t="s">
        <v>74</v>
      </c>
      <c r="AY892" t="s">
        <v>74</v>
      </c>
      <c r="AZ892" t="s">
        <v>74</v>
      </c>
      <c r="BA892" t="s">
        <v>74</v>
      </c>
      <c r="BB892">
        <v>320</v>
      </c>
      <c r="BC892">
        <v>322</v>
      </c>
      <c r="BD892" t="s">
        <v>17410</v>
      </c>
      <c r="BE892" t="s">
        <v>17411</v>
      </c>
      <c r="BF892" t="str">
        <f>HYPERLINK("http://dx.doi.org/10.1017/S0032247419000731","http://dx.doi.org/10.1017/S0032247419000731")</f>
        <v>http://dx.doi.org/10.1017/S0032247419000731</v>
      </c>
      <c r="BG892" t="s">
        <v>74</v>
      </c>
      <c r="BH892" t="s">
        <v>74</v>
      </c>
      <c r="BI892">
        <v>3</v>
      </c>
      <c r="BJ892" t="s">
        <v>9060</v>
      </c>
      <c r="BK892" t="s">
        <v>360</v>
      </c>
      <c r="BL892" t="s">
        <v>388</v>
      </c>
      <c r="BM892" t="s">
        <v>17398</v>
      </c>
      <c r="BN892" t="s">
        <v>74</v>
      </c>
      <c r="BO892" t="s">
        <v>74</v>
      </c>
      <c r="BP892" t="s">
        <v>74</v>
      </c>
      <c r="BQ892" t="s">
        <v>74</v>
      </c>
      <c r="BR892" t="s">
        <v>108</v>
      </c>
      <c r="BS892" t="s">
        <v>17412</v>
      </c>
      <c r="BT892" t="str">
        <f>HYPERLINK("https%3A%2F%2Fwww.webofscience.com%2Fwos%2Fwoscc%2Ffull-record%2FWOS:000508432300003","View Full Record in Web of Science")</f>
        <v>View Full Record in Web of Science</v>
      </c>
    </row>
    <row r="893" spans="1:72" x14ac:dyDescent="0.15">
      <c r="A893" t="s">
        <v>133</v>
      </c>
      <c r="B893" t="s">
        <v>17413</v>
      </c>
      <c r="C893" t="s">
        <v>74</v>
      </c>
      <c r="D893" t="s">
        <v>74</v>
      </c>
      <c r="E893" t="s">
        <v>74</v>
      </c>
      <c r="F893" t="s">
        <v>17414</v>
      </c>
      <c r="G893" t="s">
        <v>74</v>
      </c>
      <c r="H893" t="s">
        <v>74</v>
      </c>
      <c r="I893" t="s">
        <v>17415</v>
      </c>
      <c r="J893" t="s">
        <v>9047</v>
      </c>
      <c r="K893" t="s">
        <v>74</v>
      </c>
      <c r="L893" t="s">
        <v>74</v>
      </c>
      <c r="M893" t="s">
        <v>80</v>
      </c>
      <c r="N893" t="s">
        <v>138</v>
      </c>
      <c r="O893" t="s">
        <v>74</v>
      </c>
      <c r="P893" t="s">
        <v>74</v>
      </c>
      <c r="Q893" t="s">
        <v>74</v>
      </c>
      <c r="R893" t="s">
        <v>74</v>
      </c>
      <c r="S893" t="s">
        <v>74</v>
      </c>
      <c r="T893" t="s">
        <v>17416</v>
      </c>
      <c r="U893" t="s">
        <v>74</v>
      </c>
      <c r="V893" t="s">
        <v>17417</v>
      </c>
      <c r="W893" t="s">
        <v>17418</v>
      </c>
      <c r="X893" t="s">
        <v>17419</v>
      </c>
      <c r="Y893" t="s">
        <v>17420</v>
      </c>
      <c r="Z893" t="s">
        <v>17421</v>
      </c>
      <c r="AA893" t="s">
        <v>74</v>
      </c>
      <c r="AB893" t="s">
        <v>17422</v>
      </c>
      <c r="AC893" t="s">
        <v>17423</v>
      </c>
      <c r="AD893" t="s">
        <v>1589</v>
      </c>
      <c r="AE893" t="s">
        <v>17424</v>
      </c>
      <c r="AF893" t="s">
        <v>74</v>
      </c>
      <c r="AG893">
        <v>17</v>
      </c>
      <c r="AH893">
        <v>0</v>
      </c>
      <c r="AI893">
        <v>0</v>
      </c>
      <c r="AJ893">
        <v>0</v>
      </c>
      <c r="AK893">
        <v>7</v>
      </c>
      <c r="AL893" t="s">
        <v>605</v>
      </c>
      <c r="AM893" t="s">
        <v>1965</v>
      </c>
      <c r="AN893" t="s">
        <v>4578</v>
      </c>
      <c r="AO893" t="s">
        <v>9054</v>
      </c>
      <c r="AP893" t="s">
        <v>9055</v>
      </c>
      <c r="AQ893" t="s">
        <v>74</v>
      </c>
      <c r="AR893" t="s">
        <v>9056</v>
      </c>
      <c r="AS893" t="s">
        <v>9057</v>
      </c>
      <c r="AT893" t="s">
        <v>3499</v>
      </c>
      <c r="AU893">
        <v>2019</v>
      </c>
      <c r="AV893">
        <v>55</v>
      </c>
      <c r="AW893">
        <v>5</v>
      </c>
      <c r="AX893" t="s">
        <v>74</v>
      </c>
      <c r="AY893" t="s">
        <v>74</v>
      </c>
      <c r="AZ893" t="s">
        <v>74</v>
      </c>
      <c r="BA893" t="s">
        <v>74</v>
      </c>
      <c r="BB893">
        <v>323</v>
      </c>
      <c r="BC893">
        <v>325</v>
      </c>
      <c r="BD893" t="s">
        <v>17425</v>
      </c>
      <c r="BE893" t="s">
        <v>17426</v>
      </c>
      <c r="BF893" t="str">
        <f>HYPERLINK("http://dx.doi.org/10.1017/S0032247419000408","http://dx.doi.org/10.1017/S0032247419000408")</f>
        <v>http://dx.doi.org/10.1017/S0032247419000408</v>
      </c>
      <c r="BG893" t="s">
        <v>74</v>
      </c>
      <c r="BH893" t="s">
        <v>74</v>
      </c>
      <c r="BI893">
        <v>3</v>
      </c>
      <c r="BJ893" t="s">
        <v>9060</v>
      </c>
      <c r="BK893" t="s">
        <v>294</v>
      </c>
      <c r="BL893" t="s">
        <v>388</v>
      </c>
      <c r="BM893" t="s">
        <v>17398</v>
      </c>
      <c r="BN893" t="s">
        <v>74</v>
      </c>
      <c r="BO893" t="s">
        <v>74</v>
      </c>
      <c r="BP893" t="s">
        <v>74</v>
      </c>
      <c r="BQ893" t="s">
        <v>74</v>
      </c>
      <c r="BR893" t="s">
        <v>108</v>
      </c>
      <c r="BS893" t="s">
        <v>17427</v>
      </c>
      <c r="BT893" t="str">
        <f>HYPERLINK("https%3A%2F%2Fwww.webofscience.com%2Fwos%2Fwoscc%2Ffull-record%2FWOS:000508432300004","View Full Record in Web of Science")</f>
        <v>View Full Record in Web of Science</v>
      </c>
    </row>
    <row r="894" spans="1:72" x14ac:dyDescent="0.15">
      <c r="A894" t="s">
        <v>133</v>
      </c>
      <c r="B894" t="s">
        <v>17428</v>
      </c>
      <c r="C894" t="s">
        <v>74</v>
      </c>
      <c r="D894" t="s">
        <v>74</v>
      </c>
      <c r="E894" t="s">
        <v>74</v>
      </c>
      <c r="F894" t="s">
        <v>17429</v>
      </c>
      <c r="G894" t="s">
        <v>74</v>
      </c>
      <c r="H894" t="s">
        <v>74</v>
      </c>
      <c r="I894" t="s">
        <v>17430</v>
      </c>
      <c r="J894" t="s">
        <v>9047</v>
      </c>
      <c r="K894" t="s">
        <v>74</v>
      </c>
      <c r="L894" t="s">
        <v>74</v>
      </c>
      <c r="M894" t="s">
        <v>80</v>
      </c>
      <c r="N894" t="s">
        <v>138</v>
      </c>
      <c r="O894" t="s">
        <v>74</v>
      </c>
      <c r="P894" t="s">
        <v>74</v>
      </c>
      <c r="Q894" t="s">
        <v>74</v>
      </c>
      <c r="R894" t="s">
        <v>74</v>
      </c>
      <c r="S894" t="s">
        <v>74</v>
      </c>
      <c r="T894" t="s">
        <v>17431</v>
      </c>
      <c r="U894" t="s">
        <v>74</v>
      </c>
      <c r="V894" t="s">
        <v>17432</v>
      </c>
      <c r="W894" t="s">
        <v>17433</v>
      </c>
      <c r="X894" t="s">
        <v>17434</v>
      </c>
      <c r="Y894" t="s">
        <v>17435</v>
      </c>
      <c r="Z894" t="s">
        <v>17436</v>
      </c>
      <c r="AA894" t="s">
        <v>74</v>
      </c>
      <c r="AB894" t="s">
        <v>17437</v>
      </c>
      <c r="AC894" t="s">
        <v>17438</v>
      </c>
      <c r="AD894" t="s">
        <v>17439</v>
      </c>
      <c r="AE894" t="s">
        <v>17440</v>
      </c>
      <c r="AF894" t="s">
        <v>74</v>
      </c>
      <c r="AG894">
        <v>21</v>
      </c>
      <c r="AH894">
        <v>0</v>
      </c>
      <c r="AI894">
        <v>0</v>
      </c>
      <c r="AJ894">
        <v>1</v>
      </c>
      <c r="AK894">
        <v>9</v>
      </c>
      <c r="AL894" t="s">
        <v>605</v>
      </c>
      <c r="AM894" t="s">
        <v>1965</v>
      </c>
      <c r="AN894" t="s">
        <v>4578</v>
      </c>
      <c r="AO894" t="s">
        <v>9054</v>
      </c>
      <c r="AP894" t="s">
        <v>9055</v>
      </c>
      <c r="AQ894" t="s">
        <v>74</v>
      </c>
      <c r="AR894" t="s">
        <v>9056</v>
      </c>
      <c r="AS894" t="s">
        <v>9057</v>
      </c>
      <c r="AT894" t="s">
        <v>3499</v>
      </c>
      <c r="AU894">
        <v>2019</v>
      </c>
      <c r="AV894">
        <v>55</v>
      </c>
      <c r="AW894">
        <v>5</v>
      </c>
      <c r="AX894" t="s">
        <v>74</v>
      </c>
      <c r="AY894" t="s">
        <v>74</v>
      </c>
      <c r="AZ894" t="s">
        <v>74</v>
      </c>
      <c r="BA894" t="s">
        <v>74</v>
      </c>
      <c r="BB894">
        <v>326</v>
      </c>
      <c r="BC894">
        <v>329</v>
      </c>
      <c r="BD894" t="s">
        <v>17441</v>
      </c>
      <c r="BE894" t="s">
        <v>17442</v>
      </c>
      <c r="BF894" t="str">
        <f>HYPERLINK("http://dx.doi.org/10.1017/S0032247419000652","http://dx.doi.org/10.1017/S0032247419000652")</f>
        <v>http://dx.doi.org/10.1017/S0032247419000652</v>
      </c>
      <c r="BG894" t="s">
        <v>74</v>
      </c>
      <c r="BH894" t="s">
        <v>74</v>
      </c>
      <c r="BI894">
        <v>4</v>
      </c>
      <c r="BJ894" t="s">
        <v>9060</v>
      </c>
      <c r="BK894" t="s">
        <v>294</v>
      </c>
      <c r="BL894" t="s">
        <v>388</v>
      </c>
      <c r="BM894" t="s">
        <v>17398</v>
      </c>
      <c r="BN894" t="s">
        <v>74</v>
      </c>
      <c r="BO894" t="s">
        <v>74</v>
      </c>
      <c r="BP894" t="s">
        <v>74</v>
      </c>
      <c r="BQ894" t="s">
        <v>74</v>
      </c>
      <c r="BR894" t="s">
        <v>108</v>
      </c>
      <c r="BS894" t="s">
        <v>17443</v>
      </c>
      <c r="BT894" t="str">
        <f>HYPERLINK("https%3A%2F%2Fwww.webofscience.com%2Fwos%2Fwoscc%2Ffull-record%2FWOS:000508432300005","View Full Record in Web of Science")</f>
        <v>View Full Record in Web of Science</v>
      </c>
    </row>
    <row r="895" spans="1:72" x14ac:dyDescent="0.15">
      <c r="A895" t="s">
        <v>133</v>
      </c>
      <c r="B895" t="s">
        <v>17444</v>
      </c>
      <c r="C895" t="s">
        <v>74</v>
      </c>
      <c r="D895" t="s">
        <v>74</v>
      </c>
      <c r="E895" t="s">
        <v>74</v>
      </c>
      <c r="F895" t="s">
        <v>17445</v>
      </c>
      <c r="G895" t="s">
        <v>74</v>
      </c>
      <c r="H895" t="s">
        <v>74</v>
      </c>
      <c r="I895" t="s">
        <v>17446</v>
      </c>
      <c r="J895" t="s">
        <v>9047</v>
      </c>
      <c r="K895" t="s">
        <v>74</v>
      </c>
      <c r="L895" t="s">
        <v>74</v>
      </c>
      <c r="M895" t="s">
        <v>80</v>
      </c>
      <c r="N895" t="s">
        <v>138</v>
      </c>
      <c r="O895" t="s">
        <v>74</v>
      </c>
      <c r="P895" t="s">
        <v>74</v>
      </c>
      <c r="Q895" t="s">
        <v>74</v>
      </c>
      <c r="R895" t="s">
        <v>74</v>
      </c>
      <c r="S895" t="s">
        <v>74</v>
      </c>
      <c r="T895" t="s">
        <v>17447</v>
      </c>
      <c r="U895" t="s">
        <v>74</v>
      </c>
      <c r="V895" t="s">
        <v>17448</v>
      </c>
      <c r="W895" t="s">
        <v>17449</v>
      </c>
      <c r="X895" t="s">
        <v>8628</v>
      </c>
      <c r="Y895" t="s">
        <v>17450</v>
      </c>
      <c r="Z895" t="s">
        <v>17451</v>
      </c>
      <c r="AA895" t="s">
        <v>74</v>
      </c>
      <c r="AB895" t="s">
        <v>74</v>
      </c>
      <c r="AC895" t="s">
        <v>74</v>
      </c>
      <c r="AD895" t="s">
        <v>74</v>
      </c>
      <c r="AE895" t="s">
        <v>74</v>
      </c>
      <c r="AF895" t="s">
        <v>74</v>
      </c>
      <c r="AG895">
        <v>24</v>
      </c>
      <c r="AH895">
        <v>3</v>
      </c>
      <c r="AI895">
        <v>3</v>
      </c>
      <c r="AJ895">
        <v>0</v>
      </c>
      <c r="AK895">
        <v>2</v>
      </c>
      <c r="AL895" t="s">
        <v>605</v>
      </c>
      <c r="AM895" t="s">
        <v>1965</v>
      </c>
      <c r="AN895" t="s">
        <v>4578</v>
      </c>
      <c r="AO895" t="s">
        <v>9054</v>
      </c>
      <c r="AP895" t="s">
        <v>9055</v>
      </c>
      <c r="AQ895" t="s">
        <v>74</v>
      </c>
      <c r="AR895" t="s">
        <v>9056</v>
      </c>
      <c r="AS895" t="s">
        <v>9057</v>
      </c>
      <c r="AT895" t="s">
        <v>3499</v>
      </c>
      <c r="AU895">
        <v>2019</v>
      </c>
      <c r="AV895">
        <v>55</v>
      </c>
      <c r="AW895">
        <v>5</v>
      </c>
      <c r="AX895" t="s">
        <v>74</v>
      </c>
      <c r="AY895" t="s">
        <v>74</v>
      </c>
      <c r="AZ895" t="s">
        <v>74</v>
      </c>
      <c r="BA895" t="s">
        <v>74</v>
      </c>
      <c r="BB895">
        <v>330</v>
      </c>
      <c r="BC895">
        <v>333</v>
      </c>
      <c r="BD895" t="s">
        <v>17452</v>
      </c>
      <c r="BE895" t="s">
        <v>17453</v>
      </c>
      <c r="BF895" t="str">
        <f>HYPERLINK("http://dx.doi.org/10.1017/S0032247419000640","http://dx.doi.org/10.1017/S0032247419000640")</f>
        <v>http://dx.doi.org/10.1017/S0032247419000640</v>
      </c>
      <c r="BG895" t="s">
        <v>74</v>
      </c>
      <c r="BH895" t="s">
        <v>74</v>
      </c>
      <c r="BI895">
        <v>4</v>
      </c>
      <c r="BJ895" t="s">
        <v>9060</v>
      </c>
      <c r="BK895" t="s">
        <v>294</v>
      </c>
      <c r="BL895" t="s">
        <v>388</v>
      </c>
      <c r="BM895" t="s">
        <v>17398</v>
      </c>
      <c r="BN895" t="s">
        <v>74</v>
      </c>
      <c r="BO895" t="s">
        <v>74</v>
      </c>
      <c r="BP895" t="s">
        <v>74</v>
      </c>
      <c r="BQ895" t="s">
        <v>74</v>
      </c>
      <c r="BR895" t="s">
        <v>108</v>
      </c>
      <c r="BS895" t="s">
        <v>17454</v>
      </c>
      <c r="BT895" t="str">
        <f>HYPERLINK("https%3A%2F%2Fwww.webofscience.com%2Fwos%2Fwoscc%2Ffull-record%2FWOS:000508432300006","View Full Record in Web of Science")</f>
        <v>View Full Record in Web of Science</v>
      </c>
    </row>
    <row r="896" spans="1:72" x14ac:dyDescent="0.15">
      <c r="A896" t="s">
        <v>133</v>
      </c>
      <c r="B896" t="s">
        <v>17455</v>
      </c>
      <c r="C896" t="s">
        <v>74</v>
      </c>
      <c r="D896" t="s">
        <v>74</v>
      </c>
      <c r="E896" t="s">
        <v>74</v>
      </c>
      <c r="F896" t="s">
        <v>17456</v>
      </c>
      <c r="G896" t="s">
        <v>74</v>
      </c>
      <c r="H896" t="s">
        <v>74</v>
      </c>
      <c r="I896" t="s">
        <v>17457</v>
      </c>
      <c r="J896" t="s">
        <v>9047</v>
      </c>
      <c r="K896" t="s">
        <v>74</v>
      </c>
      <c r="L896" t="s">
        <v>74</v>
      </c>
      <c r="M896" t="s">
        <v>80</v>
      </c>
      <c r="N896" t="s">
        <v>138</v>
      </c>
      <c r="O896" t="s">
        <v>74</v>
      </c>
      <c r="P896" t="s">
        <v>74</v>
      </c>
      <c r="Q896" t="s">
        <v>74</v>
      </c>
      <c r="R896" t="s">
        <v>74</v>
      </c>
      <c r="S896" t="s">
        <v>74</v>
      </c>
      <c r="T896" t="s">
        <v>17458</v>
      </c>
      <c r="U896" t="s">
        <v>74</v>
      </c>
      <c r="V896" t="s">
        <v>17459</v>
      </c>
      <c r="W896" t="s">
        <v>17460</v>
      </c>
      <c r="X896" t="s">
        <v>17461</v>
      </c>
      <c r="Y896" t="s">
        <v>17462</v>
      </c>
      <c r="Z896" t="s">
        <v>17463</v>
      </c>
      <c r="AA896" t="s">
        <v>74</v>
      </c>
      <c r="AB896" t="s">
        <v>74</v>
      </c>
      <c r="AC896" t="s">
        <v>74</v>
      </c>
      <c r="AD896" t="s">
        <v>74</v>
      </c>
      <c r="AE896" t="s">
        <v>74</v>
      </c>
      <c r="AF896" t="s">
        <v>74</v>
      </c>
      <c r="AG896">
        <v>8</v>
      </c>
      <c r="AH896">
        <v>0</v>
      </c>
      <c r="AI896">
        <v>0</v>
      </c>
      <c r="AJ896">
        <v>0</v>
      </c>
      <c r="AK896">
        <v>2</v>
      </c>
      <c r="AL896" t="s">
        <v>605</v>
      </c>
      <c r="AM896" t="s">
        <v>1965</v>
      </c>
      <c r="AN896" t="s">
        <v>4578</v>
      </c>
      <c r="AO896" t="s">
        <v>9054</v>
      </c>
      <c r="AP896" t="s">
        <v>9055</v>
      </c>
      <c r="AQ896" t="s">
        <v>74</v>
      </c>
      <c r="AR896" t="s">
        <v>9056</v>
      </c>
      <c r="AS896" t="s">
        <v>9057</v>
      </c>
      <c r="AT896" t="s">
        <v>3499</v>
      </c>
      <c r="AU896">
        <v>2019</v>
      </c>
      <c r="AV896">
        <v>55</v>
      </c>
      <c r="AW896">
        <v>5</v>
      </c>
      <c r="AX896" t="s">
        <v>74</v>
      </c>
      <c r="AY896" t="s">
        <v>74</v>
      </c>
      <c r="AZ896" t="s">
        <v>74</v>
      </c>
      <c r="BA896" t="s">
        <v>74</v>
      </c>
      <c r="BB896">
        <v>334</v>
      </c>
      <c r="BC896">
        <v>336</v>
      </c>
      <c r="BD896" t="s">
        <v>17464</v>
      </c>
      <c r="BE896" t="s">
        <v>17465</v>
      </c>
      <c r="BF896" t="str">
        <f>HYPERLINK("http://dx.doi.org/10.1017/S003224741900055X","http://dx.doi.org/10.1017/S003224741900055X")</f>
        <v>http://dx.doi.org/10.1017/S003224741900055X</v>
      </c>
      <c r="BG896" t="s">
        <v>74</v>
      </c>
      <c r="BH896" t="s">
        <v>74</v>
      </c>
      <c r="BI896">
        <v>3</v>
      </c>
      <c r="BJ896" t="s">
        <v>9060</v>
      </c>
      <c r="BK896" t="s">
        <v>360</v>
      </c>
      <c r="BL896" t="s">
        <v>388</v>
      </c>
      <c r="BM896" t="s">
        <v>17398</v>
      </c>
      <c r="BN896" t="s">
        <v>74</v>
      </c>
      <c r="BO896" t="s">
        <v>74</v>
      </c>
      <c r="BP896" t="s">
        <v>74</v>
      </c>
      <c r="BQ896" t="s">
        <v>74</v>
      </c>
      <c r="BR896" t="s">
        <v>108</v>
      </c>
      <c r="BS896" t="s">
        <v>17466</v>
      </c>
      <c r="BT896" t="str">
        <f>HYPERLINK("https%3A%2F%2Fwww.webofscience.com%2Fwos%2Fwoscc%2Ffull-record%2FWOS:000508432300007","View Full Record in Web of Science")</f>
        <v>View Full Record in Web of Science</v>
      </c>
    </row>
    <row r="897" spans="1:72" x14ac:dyDescent="0.15">
      <c r="A897" t="s">
        <v>133</v>
      </c>
      <c r="B897" t="s">
        <v>17467</v>
      </c>
      <c r="C897" t="s">
        <v>74</v>
      </c>
      <c r="D897" t="s">
        <v>74</v>
      </c>
      <c r="E897" t="s">
        <v>74</v>
      </c>
      <c r="F897" t="s">
        <v>17468</v>
      </c>
      <c r="G897" t="s">
        <v>74</v>
      </c>
      <c r="H897" t="s">
        <v>74</v>
      </c>
      <c r="I897" t="s">
        <v>17469</v>
      </c>
      <c r="J897" t="s">
        <v>9047</v>
      </c>
      <c r="K897" t="s">
        <v>74</v>
      </c>
      <c r="L897" t="s">
        <v>74</v>
      </c>
      <c r="M897" t="s">
        <v>80</v>
      </c>
      <c r="N897" t="s">
        <v>138</v>
      </c>
      <c r="O897" t="s">
        <v>74</v>
      </c>
      <c r="P897" t="s">
        <v>74</v>
      </c>
      <c r="Q897" t="s">
        <v>74</v>
      </c>
      <c r="R897" t="s">
        <v>74</v>
      </c>
      <c r="S897" t="s">
        <v>74</v>
      </c>
      <c r="T897" t="s">
        <v>17470</v>
      </c>
      <c r="U897" t="s">
        <v>74</v>
      </c>
      <c r="V897" t="s">
        <v>17471</v>
      </c>
      <c r="W897" t="s">
        <v>17472</v>
      </c>
      <c r="X897" t="s">
        <v>9127</v>
      </c>
      <c r="Y897" t="s">
        <v>17473</v>
      </c>
      <c r="Z897" t="s">
        <v>17474</v>
      </c>
      <c r="AA897" t="s">
        <v>74</v>
      </c>
      <c r="AB897" t="s">
        <v>17475</v>
      </c>
      <c r="AC897" t="s">
        <v>74</v>
      </c>
      <c r="AD897" t="s">
        <v>74</v>
      </c>
      <c r="AE897" t="s">
        <v>74</v>
      </c>
      <c r="AF897" t="s">
        <v>74</v>
      </c>
      <c r="AG897">
        <v>16</v>
      </c>
      <c r="AH897">
        <v>0</v>
      </c>
      <c r="AI897">
        <v>0</v>
      </c>
      <c r="AJ897">
        <v>0</v>
      </c>
      <c r="AK897">
        <v>2</v>
      </c>
      <c r="AL897" t="s">
        <v>605</v>
      </c>
      <c r="AM897" t="s">
        <v>1965</v>
      </c>
      <c r="AN897" t="s">
        <v>4578</v>
      </c>
      <c r="AO897" t="s">
        <v>9054</v>
      </c>
      <c r="AP897" t="s">
        <v>9055</v>
      </c>
      <c r="AQ897" t="s">
        <v>74</v>
      </c>
      <c r="AR897" t="s">
        <v>9056</v>
      </c>
      <c r="AS897" t="s">
        <v>9057</v>
      </c>
      <c r="AT897" t="s">
        <v>3499</v>
      </c>
      <c r="AU897">
        <v>2019</v>
      </c>
      <c r="AV897">
        <v>55</v>
      </c>
      <c r="AW897">
        <v>5</v>
      </c>
      <c r="AX897" t="s">
        <v>74</v>
      </c>
      <c r="AY897" t="s">
        <v>74</v>
      </c>
      <c r="AZ897" t="s">
        <v>74</v>
      </c>
      <c r="BA897" t="s">
        <v>74</v>
      </c>
      <c r="BB897">
        <v>337</v>
      </c>
      <c r="BC897">
        <v>340</v>
      </c>
      <c r="BD897" t="s">
        <v>17476</v>
      </c>
      <c r="BE897" t="s">
        <v>17477</v>
      </c>
      <c r="BF897" t="str">
        <f>HYPERLINK("http://dx.doi.org/10.1017/S0032247419000421","http://dx.doi.org/10.1017/S0032247419000421")</f>
        <v>http://dx.doi.org/10.1017/S0032247419000421</v>
      </c>
      <c r="BG897" t="s">
        <v>74</v>
      </c>
      <c r="BH897" t="s">
        <v>74</v>
      </c>
      <c r="BI897">
        <v>4</v>
      </c>
      <c r="BJ897" t="s">
        <v>9060</v>
      </c>
      <c r="BK897" t="s">
        <v>294</v>
      </c>
      <c r="BL897" t="s">
        <v>388</v>
      </c>
      <c r="BM897" t="s">
        <v>17398</v>
      </c>
      <c r="BN897" t="s">
        <v>74</v>
      </c>
      <c r="BO897" t="s">
        <v>74</v>
      </c>
      <c r="BP897" t="s">
        <v>74</v>
      </c>
      <c r="BQ897" t="s">
        <v>74</v>
      </c>
      <c r="BR897" t="s">
        <v>108</v>
      </c>
      <c r="BS897" t="s">
        <v>17478</v>
      </c>
      <c r="BT897" t="str">
        <f>HYPERLINK("https%3A%2F%2Fwww.webofscience.com%2Fwos%2Fwoscc%2Ffull-record%2FWOS:000508432300008","View Full Record in Web of Science")</f>
        <v>View Full Record in Web of Science</v>
      </c>
    </row>
    <row r="898" spans="1:72" x14ac:dyDescent="0.15">
      <c r="A898" t="s">
        <v>133</v>
      </c>
      <c r="B898" t="s">
        <v>17479</v>
      </c>
      <c r="C898" t="s">
        <v>74</v>
      </c>
      <c r="D898" t="s">
        <v>74</v>
      </c>
      <c r="E898" t="s">
        <v>74</v>
      </c>
      <c r="F898" t="s">
        <v>17480</v>
      </c>
      <c r="G898" t="s">
        <v>74</v>
      </c>
      <c r="H898" t="s">
        <v>74</v>
      </c>
      <c r="I898" t="s">
        <v>17481</v>
      </c>
      <c r="J898" t="s">
        <v>9047</v>
      </c>
      <c r="K898" t="s">
        <v>74</v>
      </c>
      <c r="L898" t="s">
        <v>74</v>
      </c>
      <c r="M898" t="s">
        <v>80</v>
      </c>
      <c r="N898" t="s">
        <v>138</v>
      </c>
      <c r="O898" t="s">
        <v>74</v>
      </c>
      <c r="P898" t="s">
        <v>74</v>
      </c>
      <c r="Q898" t="s">
        <v>74</v>
      </c>
      <c r="R898" t="s">
        <v>74</v>
      </c>
      <c r="S898" t="s">
        <v>74</v>
      </c>
      <c r="T898" t="s">
        <v>17482</v>
      </c>
      <c r="U898" t="s">
        <v>74</v>
      </c>
      <c r="V898" t="s">
        <v>17483</v>
      </c>
      <c r="W898" t="s">
        <v>17484</v>
      </c>
      <c r="X898" t="s">
        <v>17406</v>
      </c>
      <c r="Y898" t="s">
        <v>17485</v>
      </c>
      <c r="Z898" t="s">
        <v>17486</v>
      </c>
      <c r="AA898" t="s">
        <v>74</v>
      </c>
      <c r="AB898" t="s">
        <v>17487</v>
      </c>
      <c r="AC898" t="s">
        <v>17406</v>
      </c>
      <c r="AD898" t="s">
        <v>17406</v>
      </c>
      <c r="AE898" t="s">
        <v>17488</v>
      </c>
      <c r="AF898" t="s">
        <v>74</v>
      </c>
      <c r="AG898">
        <v>22</v>
      </c>
      <c r="AH898">
        <v>3</v>
      </c>
      <c r="AI898">
        <v>3</v>
      </c>
      <c r="AJ898">
        <v>0</v>
      </c>
      <c r="AK898">
        <v>4</v>
      </c>
      <c r="AL898" t="s">
        <v>605</v>
      </c>
      <c r="AM898" t="s">
        <v>1965</v>
      </c>
      <c r="AN898" t="s">
        <v>4578</v>
      </c>
      <c r="AO898" t="s">
        <v>9054</v>
      </c>
      <c r="AP898" t="s">
        <v>9055</v>
      </c>
      <c r="AQ898" t="s">
        <v>74</v>
      </c>
      <c r="AR898" t="s">
        <v>9056</v>
      </c>
      <c r="AS898" t="s">
        <v>9057</v>
      </c>
      <c r="AT898" t="s">
        <v>3499</v>
      </c>
      <c r="AU898">
        <v>2019</v>
      </c>
      <c r="AV898">
        <v>55</v>
      </c>
      <c r="AW898">
        <v>5</v>
      </c>
      <c r="AX898" t="s">
        <v>74</v>
      </c>
      <c r="AY898" t="s">
        <v>74</v>
      </c>
      <c r="AZ898" t="s">
        <v>74</v>
      </c>
      <c r="BA898" t="s">
        <v>74</v>
      </c>
      <c r="BB898">
        <v>351</v>
      </c>
      <c r="BC898">
        <v>357</v>
      </c>
      <c r="BD898" t="s">
        <v>17489</v>
      </c>
      <c r="BE898" t="s">
        <v>17490</v>
      </c>
      <c r="BF898" t="str">
        <f>HYPERLINK("http://dx.doi.org/10.1017/S0032247419000470","http://dx.doi.org/10.1017/S0032247419000470")</f>
        <v>http://dx.doi.org/10.1017/S0032247419000470</v>
      </c>
      <c r="BG898" t="s">
        <v>74</v>
      </c>
      <c r="BH898" t="s">
        <v>74</v>
      </c>
      <c r="BI898">
        <v>7</v>
      </c>
      <c r="BJ898" t="s">
        <v>9060</v>
      </c>
      <c r="BK898" t="s">
        <v>294</v>
      </c>
      <c r="BL898" t="s">
        <v>388</v>
      </c>
      <c r="BM898" t="s">
        <v>17398</v>
      </c>
      <c r="BN898" t="s">
        <v>74</v>
      </c>
      <c r="BO898" t="s">
        <v>74</v>
      </c>
      <c r="BP898" t="s">
        <v>74</v>
      </c>
      <c r="BQ898" t="s">
        <v>74</v>
      </c>
      <c r="BR898" t="s">
        <v>108</v>
      </c>
      <c r="BS898" t="s">
        <v>17491</v>
      </c>
      <c r="BT898" t="str">
        <f>HYPERLINK("https%3A%2F%2Fwww.webofscience.com%2Fwos%2Fwoscc%2Ffull-record%2FWOS:000508432300011","View Full Record in Web of Science")</f>
        <v>View Full Record in Web of Science</v>
      </c>
    </row>
    <row r="899" spans="1:72" x14ac:dyDescent="0.15">
      <c r="A899" t="s">
        <v>133</v>
      </c>
      <c r="B899" t="s">
        <v>17492</v>
      </c>
      <c r="C899" t="s">
        <v>74</v>
      </c>
      <c r="D899" t="s">
        <v>74</v>
      </c>
      <c r="E899" t="s">
        <v>74</v>
      </c>
      <c r="F899" t="s">
        <v>17493</v>
      </c>
      <c r="G899" t="s">
        <v>74</v>
      </c>
      <c r="H899" t="s">
        <v>74</v>
      </c>
      <c r="I899" t="s">
        <v>17494</v>
      </c>
      <c r="J899" t="s">
        <v>1462</v>
      </c>
      <c r="K899" t="s">
        <v>74</v>
      </c>
      <c r="L899" t="s">
        <v>74</v>
      </c>
      <c r="M899" t="s">
        <v>80</v>
      </c>
      <c r="N899" t="s">
        <v>138</v>
      </c>
      <c r="O899" t="s">
        <v>74</v>
      </c>
      <c r="P899" t="s">
        <v>74</v>
      </c>
      <c r="Q899" t="s">
        <v>74</v>
      </c>
      <c r="R899" t="s">
        <v>74</v>
      </c>
      <c r="S899" t="s">
        <v>74</v>
      </c>
      <c r="T899" t="s">
        <v>74</v>
      </c>
      <c r="U899" t="s">
        <v>17495</v>
      </c>
      <c r="V899" t="s">
        <v>17496</v>
      </c>
      <c r="W899" t="s">
        <v>17497</v>
      </c>
      <c r="X899" t="s">
        <v>9814</v>
      </c>
      <c r="Y899" t="s">
        <v>17498</v>
      </c>
      <c r="Z899" t="s">
        <v>17499</v>
      </c>
      <c r="AA899" t="s">
        <v>17500</v>
      </c>
      <c r="AB899" t="s">
        <v>17501</v>
      </c>
      <c r="AC899" t="s">
        <v>17502</v>
      </c>
      <c r="AD899" t="s">
        <v>17503</v>
      </c>
      <c r="AE899" t="s">
        <v>17504</v>
      </c>
      <c r="AF899" t="s">
        <v>74</v>
      </c>
      <c r="AG899">
        <v>111</v>
      </c>
      <c r="AH899">
        <v>13</v>
      </c>
      <c r="AI899">
        <v>13</v>
      </c>
      <c r="AJ899">
        <v>1</v>
      </c>
      <c r="AK899">
        <v>7</v>
      </c>
      <c r="AL899" t="s">
        <v>1264</v>
      </c>
      <c r="AM899" t="s">
        <v>1265</v>
      </c>
      <c r="AN899" t="s">
        <v>1266</v>
      </c>
      <c r="AO899" t="s">
        <v>1475</v>
      </c>
      <c r="AP899" t="s">
        <v>1476</v>
      </c>
      <c r="AQ899" t="s">
        <v>74</v>
      </c>
      <c r="AR899" t="s">
        <v>1477</v>
      </c>
      <c r="AS899" t="s">
        <v>1478</v>
      </c>
      <c r="AT899" t="s">
        <v>16929</v>
      </c>
      <c r="AU899">
        <v>2019</v>
      </c>
      <c r="AV899">
        <v>46</v>
      </c>
      <c r="AW899" t="s">
        <v>16835</v>
      </c>
      <c r="AX899" t="s">
        <v>74</v>
      </c>
      <c r="AY899" t="s">
        <v>74</v>
      </c>
      <c r="AZ899" t="s">
        <v>74</v>
      </c>
      <c r="BA899" t="s">
        <v>74</v>
      </c>
      <c r="BB899">
        <v>10404</v>
      </c>
      <c r="BC899">
        <v>10416</v>
      </c>
      <c r="BD899" t="s">
        <v>74</v>
      </c>
      <c r="BE899" t="s">
        <v>17505</v>
      </c>
      <c r="BF899" t="str">
        <f>HYPERLINK("http://dx.doi.org/10.1029/2019GL083453","http://dx.doi.org/10.1029/2019GL083453")</f>
        <v>http://dx.doi.org/10.1029/2019GL083453</v>
      </c>
      <c r="BG899" t="s">
        <v>74</v>
      </c>
      <c r="BH899" t="s">
        <v>74</v>
      </c>
      <c r="BI899">
        <v>13</v>
      </c>
      <c r="BJ899" t="s">
        <v>849</v>
      </c>
      <c r="BK899" t="s">
        <v>294</v>
      </c>
      <c r="BL899" t="s">
        <v>850</v>
      </c>
      <c r="BM899" t="s">
        <v>16931</v>
      </c>
      <c r="BN899" t="s">
        <v>74</v>
      </c>
      <c r="BO899" t="s">
        <v>2385</v>
      </c>
      <c r="BP899" t="s">
        <v>74</v>
      </c>
      <c r="BQ899" t="s">
        <v>74</v>
      </c>
      <c r="BR899" t="s">
        <v>108</v>
      </c>
      <c r="BS899" t="s">
        <v>17506</v>
      </c>
      <c r="BT899" t="str">
        <f>HYPERLINK("https%3A%2F%2Fwww.webofscience.com%2Fwos%2Fwoscc%2Ffull-record%2FWOS:000508385500023","View Full Record in Web of Science")</f>
        <v>View Full Record in Web of Science</v>
      </c>
    </row>
    <row r="900" spans="1:72" x14ac:dyDescent="0.15">
      <c r="A900" t="s">
        <v>133</v>
      </c>
      <c r="B900" t="s">
        <v>17507</v>
      </c>
      <c r="C900" t="s">
        <v>74</v>
      </c>
      <c r="D900" t="s">
        <v>74</v>
      </c>
      <c r="E900" t="s">
        <v>74</v>
      </c>
      <c r="F900" t="s">
        <v>17508</v>
      </c>
      <c r="G900" t="s">
        <v>74</v>
      </c>
      <c r="H900" t="s">
        <v>74</v>
      </c>
      <c r="I900" t="s">
        <v>17509</v>
      </c>
      <c r="J900" t="s">
        <v>17510</v>
      </c>
      <c r="K900" t="s">
        <v>74</v>
      </c>
      <c r="L900" t="s">
        <v>74</v>
      </c>
      <c r="M900" t="s">
        <v>80</v>
      </c>
      <c r="N900" t="s">
        <v>138</v>
      </c>
      <c r="O900" t="s">
        <v>74</v>
      </c>
      <c r="P900" t="s">
        <v>74</v>
      </c>
      <c r="Q900" t="s">
        <v>74</v>
      </c>
      <c r="R900" t="s">
        <v>74</v>
      </c>
      <c r="S900" t="s">
        <v>74</v>
      </c>
      <c r="T900" t="s">
        <v>17511</v>
      </c>
      <c r="U900" t="s">
        <v>17512</v>
      </c>
      <c r="V900" t="s">
        <v>17513</v>
      </c>
      <c r="W900" t="s">
        <v>17514</v>
      </c>
      <c r="X900" t="s">
        <v>74</v>
      </c>
      <c r="Y900" t="s">
        <v>17515</v>
      </c>
      <c r="Z900" t="s">
        <v>17516</v>
      </c>
      <c r="AA900" t="s">
        <v>17517</v>
      </c>
      <c r="AB900" t="s">
        <v>17518</v>
      </c>
      <c r="AC900" t="s">
        <v>74</v>
      </c>
      <c r="AD900" t="s">
        <v>74</v>
      </c>
      <c r="AE900" t="s">
        <v>74</v>
      </c>
      <c r="AF900" t="s">
        <v>74</v>
      </c>
      <c r="AG900">
        <v>114</v>
      </c>
      <c r="AH900">
        <v>7</v>
      </c>
      <c r="AI900">
        <v>7</v>
      </c>
      <c r="AJ900">
        <v>1</v>
      </c>
      <c r="AK900">
        <v>5</v>
      </c>
      <c r="AL900" t="s">
        <v>17519</v>
      </c>
      <c r="AM900" t="s">
        <v>17520</v>
      </c>
      <c r="AN900" t="s">
        <v>17521</v>
      </c>
      <c r="AO900" t="s">
        <v>17522</v>
      </c>
      <c r="AP900" t="s">
        <v>17523</v>
      </c>
      <c r="AQ900" t="s">
        <v>74</v>
      </c>
      <c r="AR900" t="s">
        <v>17524</v>
      </c>
      <c r="AS900" t="s">
        <v>17525</v>
      </c>
      <c r="AT900" t="s">
        <v>17526</v>
      </c>
      <c r="AU900">
        <v>2019</v>
      </c>
      <c r="AV900">
        <v>22</v>
      </c>
      <c r="AW900">
        <v>3</v>
      </c>
      <c r="AX900" t="s">
        <v>74</v>
      </c>
      <c r="AY900" t="s">
        <v>74</v>
      </c>
      <c r="AZ900" t="s">
        <v>74</v>
      </c>
      <c r="BA900" t="s">
        <v>74</v>
      </c>
      <c r="BB900">
        <v>199</v>
      </c>
      <c r="BC900">
        <v>216</v>
      </c>
      <c r="BD900" t="s">
        <v>74</v>
      </c>
      <c r="BE900" t="s">
        <v>17527</v>
      </c>
      <c r="BF900" t="str">
        <f>HYPERLINK("http://dx.doi.org/10.4072/rbp.2019.3.03","http://dx.doi.org/10.4072/rbp.2019.3.03")</f>
        <v>http://dx.doi.org/10.4072/rbp.2019.3.03</v>
      </c>
      <c r="BG900" t="s">
        <v>74</v>
      </c>
      <c r="BH900" t="s">
        <v>74</v>
      </c>
      <c r="BI900">
        <v>18</v>
      </c>
      <c r="BJ900" t="s">
        <v>3501</v>
      </c>
      <c r="BK900" t="s">
        <v>294</v>
      </c>
      <c r="BL900" t="s">
        <v>3501</v>
      </c>
      <c r="BM900" t="s">
        <v>17528</v>
      </c>
      <c r="BN900" t="s">
        <v>74</v>
      </c>
      <c r="BO900" t="s">
        <v>588</v>
      </c>
      <c r="BP900" t="s">
        <v>74</v>
      </c>
      <c r="BQ900" t="s">
        <v>74</v>
      </c>
      <c r="BR900" t="s">
        <v>108</v>
      </c>
      <c r="BS900" t="s">
        <v>17529</v>
      </c>
      <c r="BT900" t="str">
        <f>HYPERLINK("https%3A%2F%2Fwww.webofscience.com%2Fwos%2Fwoscc%2Ffull-record%2FWOS:000502551500003","View Full Record in Web of Science")</f>
        <v>View Full Record in Web of Science</v>
      </c>
    </row>
    <row r="901" spans="1:72" x14ac:dyDescent="0.15">
      <c r="A901" t="s">
        <v>133</v>
      </c>
      <c r="B901" t="s">
        <v>17530</v>
      </c>
      <c r="C901" t="s">
        <v>74</v>
      </c>
      <c r="D901" t="s">
        <v>74</v>
      </c>
      <c r="E901" t="s">
        <v>74</v>
      </c>
      <c r="F901" t="s">
        <v>17531</v>
      </c>
      <c r="G901" t="s">
        <v>74</v>
      </c>
      <c r="H901" t="s">
        <v>74</v>
      </c>
      <c r="I901" t="s">
        <v>17532</v>
      </c>
      <c r="J901" t="s">
        <v>14212</v>
      </c>
      <c r="K901" t="s">
        <v>74</v>
      </c>
      <c r="L901" t="s">
        <v>74</v>
      </c>
      <c r="M901" t="s">
        <v>80</v>
      </c>
      <c r="N901" t="s">
        <v>138</v>
      </c>
      <c r="O901" t="s">
        <v>74</v>
      </c>
      <c r="P901" t="s">
        <v>74</v>
      </c>
      <c r="Q901" t="s">
        <v>74</v>
      </c>
      <c r="R901" t="s">
        <v>74</v>
      </c>
      <c r="S901" t="s">
        <v>74</v>
      </c>
      <c r="T901" t="s">
        <v>17533</v>
      </c>
      <c r="U901" t="s">
        <v>17534</v>
      </c>
      <c r="V901" t="s">
        <v>17535</v>
      </c>
      <c r="W901" t="s">
        <v>17536</v>
      </c>
      <c r="X901" t="s">
        <v>2517</v>
      </c>
      <c r="Y901" t="s">
        <v>17537</v>
      </c>
      <c r="Z901" t="s">
        <v>17538</v>
      </c>
      <c r="AA901" t="s">
        <v>17539</v>
      </c>
      <c r="AB901" t="s">
        <v>17540</v>
      </c>
      <c r="AC901" t="s">
        <v>17541</v>
      </c>
      <c r="AD901" t="s">
        <v>17542</v>
      </c>
      <c r="AE901" t="s">
        <v>17543</v>
      </c>
      <c r="AF901" t="s">
        <v>74</v>
      </c>
      <c r="AG901">
        <v>44</v>
      </c>
      <c r="AH901">
        <v>113</v>
      </c>
      <c r="AI901">
        <v>120</v>
      </c>
      <c r="AJ901">
        <v>7</v>
      </c>
      <c r="AK901">
        <v>30</v>
      </c>
      <c r="AL901" t="s">
        <v>1964</v>
      </c>
      <c r="AM901" t="s">
        <v>1965</v>
      </c>
      <c r="AN901" t="s">
        <v>3452</v>
      </c>
      <c r="AO901" t="s">
        <v>14222</v>
      </c>
      <c r="AP901" t="s">
        <v>14223</v>
      </c>
      <c r="AQ901" t="s">
        <v>74</v>
      </c>
      <c r="AR901" t="s">
        <v>14224</v>
      </c>
      <c r="AS901" t="s">
        <v>14225</v>
      </c>
      <c r="AT901" t="s">
        <v>3499</v>
      </c>
      <c r="AU901">
        <v>2019</v>
      </c>
      <c r="AV901">
        <v>93</v>
      </c>
      <c r="AW901">
        <v>9</v>
      </c>
      <c r="AX901" t="s">
        <v>74</v>
      </c>
      <c r="AY901" t="s">
        <v>74</v>
      </c>
      <c r="AZ901" t="s">
        <v>74</v>
      </c>
      <c r="BA901" t="s">
        <v>74</v>
      </c>
      <c r="BB901">
        <v>1381</v>
      </c>
      <c r="BC901">
        <v>1398</v>
      </c>
      <c r="BD901" t="s">
        <v>74</v>
      </c>
      <c r="BE901" t="s">
        <v>17544</v>
      </c>
      <c r="BF901" t="str">
        <f>HYPERLINK("http://dx.doi.org/10.1007/s00190-019-01252-y","http://dx.doi.org/10.1007/s00190-019-01252-y")</f>
        <v>http://dx.doi.org/10.1007/s00190-019-01252-y</v>
      </c>
      <c r="BG901" t="s">
        <v>74</v>
      </c>
      <c r="BH901" t="s">
        <v>74</v>
      </c>
      <c r="BI901">
        <v>18</v>
      </c>
      <c r="BJ901" t="s">
        <v>14227</v>
      </c>
      <c r="BK901" t="s">
        <v>294</v>
      </c>
      <c r="BL901" t="s">
        <v>14227</v>
      </c>
      <c r="BM901" t="s">
        <v>17545</v>
      </c>
      <c r="BN901">
        <v>32454568</v>
      </c>
      <c r="BO901" t="s">
        <v>638</v>
      </c>
      <c r="BP901" t="s">
        <v>74</v>
      </c>
      <c r="BQ901" t="s">
        <v>74</v>
      </c>
      <c r="BR901" t="s">
        <v>108</v>
      </c>
      <c r="BS901" t="s">
        <v>17546</v>
      </c>
      <c r="BT901" t="str">
        <f>HYPERLINK("https%3A%2F%2Fwww.webofscience.com%2Fwos%2Fwoscc%2Ffull-record%2FWOS:000500186800009","View Full Record in Web of Science")</f>
        <v>View Full Record in Web of Science</v>
      </c>
    </row>
    <row r="902" spans="1:72" x14ac:dyDescent="0.15">
      <c r="A902" t="s">
        <v>133</v>
      </c>
      <c r="B902" t="s">
        <v>17547</v>
      </c>
      <c r="C902" t="s">
        <v>74</v>
      </c>
      <c r="D902" t="s">
        <v>74</v>
      </c>
      <c r="E902" t="s">
        <v>74</v>
      </c>
      <c r="F902" t="s">
        <v>17548</v>
      </c>
      <c r="G902" t="s">
        <v>74</v>
      </c>
      <c r="H902" t="s">
        <v>74</v>
      </c>
      <c r="I902" t="s">
        <v>17549</v>
      </c>
      <c r="J902" t="s">
        <v>14212</v>
      </c>
      <c r="K902" t="s">
        <v>74</v>
      </c>
      <c r="L902" t="s">
        <v>74</v>
      </c>
      <c r="M902" t="s">
        <v>80</v>
      </c>
      <c r="N902" t="s">
        <v>138</v>
      </c>
      <c r="O902" t="s">
        <v>74</v>
      </c>
      <c r="P902" t="s">
        <v>74</v>
      </c>
      <c r="Q902" t="s">
        <v>74</v>
      </c>
      <c r="R902" t="s">
        <v>74</v>
      </c>
      <c r="S902" t="s">
        <v>74</v>
      </c>
      <c r="T902" t="s">
        <v>17550</v>
      </c>
      <c r="U902" t="s">
        <v>17551</v>
      </c>
      <c r="V902" t="s">
        <v>17552</v>
      </c>
      <c r="W902" t="s">
        <v>17553</v>
      </c>
      <c r="X902" t="s">
        <v>1983</v>
      </c>
      <c r="Y902" t="s">
        <v>17554</v>
      </c>
      <c r="Z902" t="s">
        <v>17555</v>
      </c>
      <c r="AA902" t="s">
        <v>17556</v>
      </c>
      <c r="AB902" t="s">
        <v>17557</v>
      </c>
      <c r="AC902" t="s">
        <v>17558</v>
      </c>
      <c r="AD902" t="s">
        <v>17559</v>
      </c>
      <c r="AE902" t="s">
        <v>17560</v>
      </c>
      <c r="AF902" t="s">
        <v>74</v>
      </c>
      <c r="AG902">
        <v>40</v>
      </c>
      <c r="AH902">
        <v>8</v>
      </c>
      <c r="AI902">
        <v>8</v>
      </c>
      <c r="AJ902">
        <v>3</v>
      </c>
      <c r="AK902">
        <v>22</v>
      </c>
      <c r="AL902" t="s">
        <v>1964</v>
      </c>
      <c r="AM902" t="s">
        <v>1965</v>
      </c>
      <c r="AN902" t="s">
        <v>3452</v>
      </c>
      <c r="AO902" t="s">
        <v>14222</v>
      </c>
      <c r="AP902" t="s">
        <v>14223</v>
      </c>
      <c r="AQ902" t="s">
        <v>74</v>
      </c>
      <c r="AR902" t="s">
        <v>14224</v>
      </c>
      <c r="AS902" t="s">
        <v>14225</v>
      </c>
      <c r="AT902" t="s">
        <v>3499</v>
      </c>
      <c r="AU902">
        <v>2019</v>
      </c>
      <c r="AV902">
        <v>93</v>
      </c>
      <c r="AW902">
        <v>9</v>
      </c>
      <c r="AX902" t="s">
        <v>74</v>
      </c>
      <c r="AY902" t="s">
        <v>74</v>
      </c>
      <c r="AZ902" t="s">
        <v>74</v>
      </c>
      <c r="BA902" t="s">
        <v>74</v>
      </c>
      <c r="BB902">
        <v>1529</v>
      </c>
      <c r="BC902">
        <v>1541</v>
      </c>
      <c r="BD902" t="s">
        <v>74</v>
      </c>
      <c r="BE902" t="s">
        <v>17561</v>
      </c>
      <c r="BF902" t="str">
        <f>HYPERLINK("http://dx.doi.org/10.1007/s00190-019-01266-6","http://dx.doi.org/10.1007/s00190-019-01266-6")</f>
        <v>http://dx.doi.org/10.1007/s00190-019-01266-6</v>
      </c>
      <c r="BG902" t="s">
        <v>74</v>
      </c>
      <c r="BH902" t="s">
        <v>74</v>
      </c>
      <c r="BI902">
        <v>13</v>
      </c>
      <c r="BJ902" t="s">
        <v>14227</v>
      </c>
      <c r="BK902" t="s">
        <v>294</v>
      </c>
      <c r="BL902" t="s">
        <v>14227</v>
      </c>
      <c r="BM902" t="s">
        <v>17545</v>
      </c>
      <c r="BN902" t="s">
        <v>74</v>
      </c>
      <c r="BO902" t="s">
        <v>74</v>
      </c>
      <c r="BP902" t="s">
        <v>74</v>
      </c>
      <c r="BQ902" t="s">
        <v>74</v>
      </c>
      <c r="BR902" t="s">
        <v>108</v>
      </c>
      <c r="BS902" t="s">
        <v>17562</v>
      </c>
      <c r="BT902" t="str">
        <f>HYPERLINK("https%3A%2F%2Fwww.webofscience.com%2Fwos%2Fwoscc%2Ffull-record%2FWOS:000500186800019","View Full Record in Web of Science")</f>
        <v>View Full Record in Web of Science</v>
      </c>
    </row>
    <row r="903" spans="1:72" x14ac:dyDescent="0.15">
      <c r="A903" t="s">
        <v>133</v>
      </c>
      <c r="B903" t="s">
        <v>17563</v>
      </c>
      <c r="C903" t="s">
        <v>74</v>
      </c>
      <c r="D903" t="s">
        <v>74</v>
      </c>
      <c r="E903" t="s">
        <v>74</v>
      </c>
      <c r="F903" t="s">
        <v>17564</v>
      </c>
      <c r="G903" t="s">
        <v>74</v>
      </c>
      <c r="H903" t="s">
        <v>17565</v>
      </c>
      <c r="I903" t="s">
        <v>17566</v>
      </c>
      <c r="J903" t="s">
        <v>17567</v>
      </c>
      <c r="K903" t="s">
        <v>74</v>
      </c>
      <c r="L903" t="s">
        <v>74</v>
      </c>
      <c r="M903" t="s">
        <v>80</v>
      </c>
      <c r="N903" t="s">
        <v>138</v>
      </c>
      <c r="O903" t="s">
        <v>74</v>
      </c>
      <c r="P903" t="s">
        <v>74</v>
      </c>
      <c r="Q903" t="s">
        <v>74</v>
      </c>
      <c r="R903" t="s">
        <v>74</v>
      </c>
      <c r="S903" t="s">
        <v>74</v>
      </c>
      <c r="T903" t="s">
        <v>17568</v>
      </c>
      <c r="U903" t="s">
        <v>17569</v>
      </c>
      <c r="V903" t="s">
        <v>17570</v>
      </c>
      <c r="W903" t="s">
        <v>17571</v>
      </c>
      <c r="X903" t="s">
        <v>17572</v>
      </c>
      <c r="Y903" t="s">
        <v>17573</v>
      </c>
      <c r="Z903" t="s">
        <v>17574</v>
      </c>
      <c r="AA903" t="s">
        <v>74</v>
      </c>
      <c r="AB903" t="s">
        <v>74</v>
      </c>
      <c r="AC903" t="s">
        <v>17575</v>
      </c>
      <c r="AD903" t="s">
        <v>17576</v>
      </c>
      <c r="AE903" t="s">
        <v>17577</v>
      </c>
      <c r="AF903" t="s">
        <v>74</v>
      </c>
      <c r="AG903">
        <v>55</v>
      </c>
      <c r="AH903">
        <v>9</v>
      </c>
      <c r="AI903">
        <v>9</v>
      </c>
      <c r="AJ903">
        <v>1</v>
      </c>
      <c r="AK903">
        <v>4</v>
      </c>
      <c r="AL903" t="s">
        <v>17578</v>
      </c>
      <c r="AM903" t="s">
        <v>5419</v>
      </c>
      <c r="AN903" t="s">
        <v>17579</v>
      </c>
      <c r="AO903" t="s">
        <v>74</v>
      </c>
      <c r="AP903" t="s">
        <v>17580</v>
      </c>
      <c r="AQ903" t="s">
        <v>74</v>
      </c>
      <c r="AR903" t="s">
        <v>17581</v>
      </c>
      <c r="AS903" t="s">
        <v>17582</v>
      </c>
      <c r="AT903" t="s">
        <v>3499</v>
      </c>
      <c r="AU903">
        <v>2019</v>
      </c>
      <c r="AV903">
        <v>15</v>
      </c>
      <c r="AW903" t="s">
        <v>74</v>
      </c>
      <c r="AX903" t="s">
        <v>74</v>
      </c>
      <c r="AY903" t="s">
        <v>74</v>
      </c>
      <c r="AZ903" t="s">
        <v>74</v>
      </c>
      <c r="BA903" t="s">
        <v>74</v>
      </c>
      <c r="BB903" t="s">
        <v>74</v>
      </c>
      <c r="BC903" t="s">
        <v>74</v>
      </c>
      <c r="BD903">
        <v>100359</v>
      </c>
      <c r="BE903" t="s">
        <v>17583</v>
      </c>
      <c r="BF903" t="str">
        <f>HYPERLINK("http://dx.doi.org/10.1016/j.conctc.2019.100359","http://dx.doi.org/10.1016/j.conctc.2019.100359")</f>
        <v>http://dx.doi.org/10.1016/j.conctc.2019.100359</v>
      </c>
      <c r="BG903" t="s">
        <v>74</v>
      </c>
      <c r="BH903" t="s">
        <v>74</v>
      </c>
      <c r="BI903">
        <v>9</v>
      </c>
      <c r="BJ903" t="s">
        <v>17584</v>
      </c>
      <c r="BK903" t="s">
        <v>160</v>
      </c>
      <c r="BL903" t="s">
        <v>17585</v>
      </c>
      <c r="BM903" t="s">
        <v>17586</v>
      </c>
      <c r="BN903">
        <v>31080908</v>
      </c>
      <c r="BO903" t="s">
        <v>693</v>
      </c>
      <c r="BP903" t="s">
        <v>74</v>
      </c>
      <c r="BQ903" t="s">
        <v>74</v>
      </c>
      <c r="BR903" t="s">
        <v>108</v>
      </c>
      <c r="BS903" t="s">
        <v>17587</v>
      </c>
      <c r="BT903" t="str">
        <f>HYPERLINK("https%3A%2F%2Fwww.webofscience.com%2Fwos%2Fwoscc%2Ffull-record%2FWOS:000499127900007","View Full Record in Web of Science")</f>
        <v>View Full Record in Web of Science</v>
      </c>
    </row>
    <row r="904" spans="1:72" x14ac:dyDescent="0.15">
      <c r="A904" t="s">
        <v>133</v>
      </c>
      <c r="B904" t="s">
        <v>17588</v>
      </c>
      <c r="C904" t="s">
        <v>74</v>
      </c>
      <c r="D904" t="s">
        <v>74</v>
      </c>
      <c r="E904" t="s">
        <v>74</v>
      </c>
      <c r="F904" t="s">
        <v>17589</v>
      </c>
      <c r="G904" t="s">
        <v>74</v>
      </c>
      <c r="H904" t="s">
        <v>74</v>
      </c>
      <c r="I904" t="s">
        <v>17590</v>
      </c>
      <c r="J904" t="s">
        <v>9456</v>
      </c>
      <c r="K904" t="s">
        <v>74</v>
      </c>
      <c r="L904" t="s">
        <v>74</v>
      </c>
      <c r="M904" t="s">
        <v>80</v>
      </c>
      <c r="N904" t="s">
        <v>138</v>
      </c>
      <c r="O904" t="s">
        <v>74</v>
      </c>
      <c r="P904" t="s">
        <v>74</v>
      </c>
      <c r="Q904" t="s">
        <v>74</v>
      </c>
      <c r="R904" t="s">
        <v>74</v>
      </c>
      <c r="S904" t="s">
        <v>74</v>
      </c>
      <c r="T904" t="s">
        <v>17591</v>
      </c>
      <c r="U904" t="s">
        <v>17592</v>
      </c>
      <c r="V904" t="s">
        <v>17593</v>
      </c>
      <c r="W904" t="s">
        <v>17594</v>
      </c>
      <c r="X904" t="s">
        <v>17595</v>
      </c>
      <c r="Y904" t="s">
        <v>17596</v>
      </c>
      <c r="Z904" t="s">
        <v>17597</v>
      </c>
      <c r="AA904" t="s">
        <v>17598</v>
      </c>
      <c r="AB904" t="s">
        <v>17599</v>
      </c>
      <c r="AC904" t="s">
        <v>17600</v>
      </c>
      <c r="AD904" t="s">
        <v>17601</v>
      </c>
      <c r="AE904" t="s">
        <v>17602</v>
      </c>
      <c r="AF904" t="s">
        <v>74</v>
      </c>
      <c r="AG904">
        <v>33</v>
      </c>
      <c r="AH904">
        <v>4</v>
      </c>
      <c r="AI904">
        <v>4</v>
      </c>
      <c r="AJ904">
        <v>0</v>
      </c>
      <c r="AK904">
        <v>2</v>
      </c>
      <c r="AL904" t="s">
        <v>9468</v>
      </c>
      <c r="AM904" t="s">
        <v>3718</v>
      </c>
      <c r="AN904" t="s">
        <v>9469</v>
      </c>
      <c r="AO904" t="s">
        <v>9470</v>
      </c>
      <c r="AP904" t="s">
        <v>74</v>
      </c>
      <c r="AQ904" t="s">
        <v>74</v>
      </c>
      <c r="AR904" t="s">
        <v>9471</v>
      </c>
      <c r="AS904" t="s">
        <v>9472</v>
      </c>
      <c r="AT904" t="s">
        <v>17603</v>
      </c>
      <c r="AU904">
        <v>2019</v>
      </c>
      <c r="AV904">
        <v>19</v>
      </c>
      <c r="AW904">
        <v>5</v>
      </c>
      <c r="AX904" t="s">
        <v>74</v>
      </c>
      <c r="AY904" t="s">
        <v>74</v>
      </c>
      <c r="AZ904" t="s">
        <v>74</v>
      </c>
      <c r="BA904" t="s">
        <v>74</v>
      </c>
      <c r="BB904" t="s">
        <v>74</v>
      </c>
      <c r="BC904" t="s">
        <v>74</v>
      </c>
      <c r="BD904" t="s">
        <v>17604</v>
      </c>
      <c r="BE904" t="s">
        <v>17605</v>
      </c>
      <c r="BF904" t="str">
        <f>HYPERLINK("http://dx.doi.org/10.2205/2019ES000679","http://dx.doi.org/10.2205/2019ES000679")</f>
        <v>http://dx.doi.org/10.2205/2019ES000679</v>
      </c>
      <c r="BG904" t="s">
        <v>74</v>
      </c>
      <c r="BH904" t="s">
        <v>74</v>
      </c>
      <c r="BI904">
        <v>9</v>
      </c>
      <c r="BJ904" t="s">
        <v>849</v>
      </c>
      <c r="BK904" t="s">
        <v>160</v>
      </c>
      <c r="BL904" t="s">
        <v>850</v>
      </c>
      <c r="BM904" t="s">
        <v>17606</v>
      </c>
      <c r="BN904" t="s">
        <v>74</v>
      </c>
      <c r="BO904" t="s">
        <v>588</v>
      </c>
      <c r="BP904" t="s">
        <v>74</v>
      </c>
      <c r="BQ904" t="s">
        <v>74</v>
      </c>
      <c r="BR904" t="s">
        <v>108</v>
      </c>
      <c r="BS904" t="s">
        <v>17607</v>
      </c>
      <c r="BT904" t="str">
        <f>HYPERLINK("https%3A%2F%2Fwww.webofscience.com%2Fwos%2Fwoscc%2Ffull-record%2FWOS:000496539300005","View Full Record in Web of Science")</f>
        <v>View Full Record in Web of Science</v>
      </c>
    </row>
    <row r="905" spans="1:72" x14ac:dyDescent="0.15">
      <c r="A905" t="s">
        <v>133</v>
      </c>
      <c r="B905" t="s">
        <v>17608</v>
      </c>
      <c r="C905" t="s">
        <v>74</v>
      </c>
      <c r="D905" t="s">
        <v>74</v>
      </c>
      <c r="E905" t="s">
        <v>74</v>
      </c>
      <c r="F905" t="s">
        <v>17609</v>
      </c>
      <c r="G905" t="s">
        <v>74</v>
      </c>
      <c r="H905" t="s">
        <v>74</v>
      </c>
      <c r="I905" t="s">
        <v>17610</v>
      </c>
      <c r="J905" t="s">
        <v>4967</v>
      </c>
      <c r="K905" t="s">
        <v>74</v>
      </c>
      <c r="L905" t="s">
        <v>74</v>
      </c>
      <c r="M905" t="s">
        <v>4968</v>
      </c>
      <c r="N905" t="s">
        <v>138</v>
      </c>
      <c r="O905" t="s">
        <v>74</v>
      </c>
      <c r="P905" t="s">
        <v>74</v>
      </c>
      <c r="Q905" t="s">
        <v>74</v>
      </c>
      <c r="R905" t="s">
        <v>74</v>
      </c>
      <c r="S905" t="s">
        <v>74</v>
      </c>
      <c r="T905" t="s">
        <v>17611</v>
      </c>
      <c r="U905" t="s">
        <v>17612</v>
      </c>
      <c r="V905" t="s">
        <v>17613</v>
      </c>
      <c r="W905" t="s">
        <v>17614</v>
      </c>
      <c r="X905" t="s">
        <v>1983</v>
      </c>
      <c r="Y905" t="s">
        <v>17615</v>
      </c>
      <c r="Z905" t="s">
        <v>17616</v>
      </c>
      <c r="AA905" t="s">
        <v>17617</v>
      </c>
      <c r="AB905" t="s">
        <v>74</v>
      </c>
      <c r="AC905" t="s">
        <v>74</v>
      </c>
      <c r="AD905" t="s">
        <v>74</v>
      </c>
      <c r="AE905" t="s">
        <v>74</v>
      </c>
      <c r="AF905" t="s">
        <v>74</v>
      </c>
      <c r="AG905">
        <v>31</v>
      </c>
      <c r="AH905">
        <v>3</v>
      </c>
      <c r="AI905">
        <v>9</v>
      </c>
      <c r="AJ905">
        <v>1</v>
      </c>
      <c r="AK905">
        <v>10</v>
      </c>
      <c r="AL905" t="s">
        <v>4977</v>
      </c>
      <c r="AM905" t="s">
        <v>3542</v>
      </c>
      <c r="AN905" t="s">
        <v>4978</v>
      </c>
      <c r="AO905" t="s">
        <v>4979</v>
      </c>
      <c r="AP905" t="s">
        <v>74</v>
      </c>
      <c r="AQ905" t="s">
        <v>74</v>
      </c>
      <c r="AR905" t="s">
        <v>4980</v>
      </c>
      <c r="AS905" t="s">
        <v>4981</v>
      </c>
      <c r="AT905" t="s">
        <v>3499</v>
      </c>
      <c r="AU905">
        <v>2019</v>
      </c>
      <c r="AV905">
        <v>62</v>
      </c>
      <c r="AW905">
        <v>9</v>
      </c>
      <c r="AX905" t="s">
        <v>74</v>
      </c>
      <c r="AY905" t="s">
        <v>74</v>
      </c>
      <c r="AZ905" t="s">
        <v>74</v>
      </c>
      <c r="BA905" t="s">
        <v>74</v>
      </c>
      <c r="BB905">
        <v>3279</v>
      </c>
      <c r="BC905">
        <v>3295</v>
      </c>
      <c r="BD905" t="s">
        <v>74</v>
      </c>
      <c r="BE905" t="s">
        <v>17618</v>
      </c>
      <c r="BF905" t="str">
        <f>HYPERLINK("http://dx.doi.org/10.6038/cjg2019M0534","http://dx.doi.org/10.6038/cjg2019M0534")</f>
        <v>http://dx.doi.org/10.6038/cjg2019M0534</v>
      </c>
      <c r="BG905" t="s">
        <v>74</v>
      </c>
      <c r="BH905" t="s">
        <v>74</v>
      </c>
      <c r="BI905">
        <v>17</v>
      </c>
      <c r="BJ905" t="s">
        <v>1067</v>
      </c>
      <c r="BK905" t="s">
        <v>294</v>
      </c>
      <c r="BL905" t="s">
        <v>1067</v>
      </c>
      <c r="BM905" t="s">
        <v>17619</v>
      </c>
      <c r="BN905" t="s">
        <v>74</v>
      </c>
      <c r="BO905" t="s">
        <v>74</v>
      </c>
      <c r="BP905" t="s">
        <v>74</v>
      </c>
      <c r="BQ905" t="s">
        <v>74</v>
      </c>
      <c r="BR905" t="s">
        <v>108</v>
      </c>
      <c r="BS905" t="s">
        <v>17620</v>
      </c>
      <c r="BT905" t="str">
        <f>HYPERLINK("https%3A%2F%2Fwww.webofscience.com%2Fwos%2Fwoscc%2Ffull-record%2FWOS:000495040900007","View Full Record in Web of Science")</f>
        <v>View Full Record in Web of Science</v>
      </c>
    </row>
    <row r="906" spans="1:72" x14ac:dyDescent="0.15">
      <c r="A906" t="s">
        <v>133</v>
      </c>
      <c r="B906" t="s">
        <v>17621</v>
      </c>
      <c r="C906" t="s">
        <v>74</v>
      </c>
      <c r="D906" t="s">
        <v>74</v>
      </c>
      <c r="E906" t="s">
        <v>74</v>
      </c>
      <c r="F906" t="s">
        <v>17622</v>
      </c>
      <c r="G906" t="s">
        <v>74</v>
      </c>
      <c r="H906" t="s">
        <v>74</v>
      </c>
      <c r="I906" t="s">
        <v>17623</v>
      </c>
      <c r="J906" t="s">
        <v>17624</v>
      </c>
      <c r="K906" t="s">
        <v>74</v>
      </c>
      <c r="L906" t="s">
        <v>74</v>
      </c>
      <c r="M906" t="s">
        <v>80</v>
      </c>
      <c r="N906" t="s">
        <v>138</v>
      </c>
      <c r="O906" t="s">
        <v>74</v>
      </c>
      <c r="P906" t="s">
        <v>74</v>
      </c>
      <c r="Q906" t="s">
        <v>74</v>
      </c>
      <c r="R906" t="s">
        <v>74</v>
      </c>
      <c r="S906" t="s">
        <v>74</v>
      </c>
      <c r="T906" t="s">
        <v>17625</v>
      </c>
      <c r="U906" t="s">
        <v>17626</v>
      </c>
      <c r="V906" t="s">
        <v>17627</v>
      </c>
      <c r="W906" t="s">
        <v>17628</v>
      </c>
      <c r="X906" t="s">
        <v>17629</v>
      </c>
      <c r="Y906" t="s">
        <v>17630</v>
      </c>
      <c r="Z906" t="s">
        <v>17631</v>
      </c>
      <c r="AA906" t="s">
        <v>17632</v>
      </c>
      <c r="AB906" t="s">
        <v>17633</v>
      </c>
      <c r="AC906" t="s">
        <v>74</v>
      </c>
      <c r="AD906" t="s">
        <v>74</v>
      </c>
      <c r="AE906" t="s">
        <v>74</v>
      </c>
      <c r="AF906" t="s">
        <v>74</v>
      </c>
      <c r="AG906">
        <v>53</v>
      </c>
      <c r="AH906">
        <v>2</v>
      </c>
      <c r="AI906">
        <v>2</v>
      </c>
      <c r="AJ906">
        <v>1</v>
      </c>
      <c r="AK906">
        <v>9</v>
      </c>
      <c r="AL906" t="s">
        <v>683</v>
      </c>
      <c r="AM906" t="s">
        <v>684</v>
      </c>
      <c r="AN906" t="s">
        <v>685</v>
      </c>
      <c r="AO906" t="s">
        <v>74</v>
      </c>
      <c r="AP906" t="s">
        <v>17634</v>
      </c>
      <c r="AQ906" t="s">
        <v>74</v>
      </c>
      <c r="AR906" t="s">
        <v>17635</v>
      </c>
      <c r="AS906" t="s">
        <v>17636</v>
      </c>
      <c r="AT906" t="s">
        <v>3499</v>
      </c>
      <c r="AU906">
        <v>2019</v>
      </c>
      <c r="AV906">
        <v>11</v>
      </c>
      <c r="AW906">
        <v>18</v>
      </c>
      <c r="AX906" t="s">
        <v>74</v>
      </c>
      <c r="AY906" t="s">
        <v>74</v>
      </c>
      <c r="AZ906" t="s">
        <v>74</v>
      </c>
      <c r="BA906" t="s">
        <v>74</v>
      </c>
      <c r="BB906" t="s">
        <v>74</v>
      </c>
      <c r="BC906" t="s">
        <v>74</v>
      </c>
      <c r="BD906">
        <v>4853</v>
      </c>
      <c r="BE906" t="s">
        <v>17637</v>
      </c>
      <c r="BF906" t="str">
        <f>HYPERLINK("http://dx.doi.org/10.3390/su11184853","http://dx.doi.org/10.3390/su11184853")</f>
        <v>http://dx.doi.org/10.3390/su11184853</v>
      </c>
      <c r="BG906" t="s">
        <v>74</v>
      </c>
      <c r="BH906" t="s">
        <v>74</v>
      </c>
      <c r="BI906">
        <v>11</v>
      </c>
      <c r="BJ906" t="s">
        <v>16211</v>
      </c>
      <c r="BK906" t="s">
        <v>360</v>
      </c>
      <c r="BL906" t="s">
        <v>16212</v>
      </c>
      <c r="BM906" t="s">
        <v>17638</v>
      </c>
      <c r="BN906" t="s">
        <v>74</v>
      </c>
      <c r="BO906" t="s">
        <v>2934</v>
      </c>
      <c r="BP906" t="s">
        <v>74</v>
      </c>
      <c r="BQ906" t="s">
        <v>74</v>
      </c>
      <c r="BR906" t="s">
        <v>108</v>
      </c>
      <c r="BS906" t="s">
        <v>17639</v>
      </c>
      <c r="BT906" t="str">
        <f>HYPERLINK("https%3A%2F%2Fwww.webofscience.com%2Fwos%2Fwoscc%2Ffull-record%2FWOS:000489104700039","View Full Record in Web of Science")</f>
        <v>View Full Record in Web of Science</v>
      </c>
    </row>
    <row r="907" spans="1:72" x14ac:dyDescent="0.15">
      <c r="A907" t="s">
        <v>133</v>
      </c>
      <c r="B907" t="s">
        <v>17640</v>
      </c>
      <c r="C907" t="s">
        <v>74</v>
      </c>
      <c r="D907" t="s">
        <v>74</v>
      </c>
      <c r="E907" t="s">
        <v>74</v>
      </c>
      <c r="F907" t="s">
        <v>17641</v>
      </c>
      <c r="G907" t="s">
        <v>74</v>
      </c>
      <c r="H907" t="s">
        <v>74</v>
      </c>
      <c r="I907" t="s">
        <v>17642</v>
      </c>
      <c r="J907" t="s">
        <v>17643</v>
      </c>
      <c r="K907" t="s">
        <v>74</v>
      </c>
      <c r="L907" t="s">
        <v>74</v>
      </c>
      <c r="M907" t="s">
        <v>80</v>
      </c>
      <c r="N907" t="s">
        <v>138</v>
      </c>
      <c r="O907" t="s">
        <v>74</v>
      </c>
      <c r="P907" t="s">
        <v>74</v>
      </c>
      <c r="Q907" t="s">
        <v>74</v>
      </c>
      <c r="R907" t="s">
        <v>74</v>
      </c>
      <c r="S907" t="s">
        <v>74</v>
      </c>
      <c r="T907" t="s">
        <v>17644</v>
      </c>
      <c r="U907" t="s">
        <v>17645</v>
      </c>
      <c r="V907" t="s">
        <v>17646</v>
      </c>
      <c r="W907" t="s">
        <v>17647</v>
      </c>
      <c r="X907" t="s">
        <v>17648</v>
      </c>
      <c r="Y907" t="s">
        <v>17649</v>
      </c>
      <c r="Z907" t="s">
        <v>17650</v>
      </c>
      <c r="AA907" t="s">
        <v>17651</v>
      </c>
      <c r="AB907" t="s">
        <v>74</v>
      </c>
      <c r="AC907" t="s">
        <v>17652</v>
      </c>
      <c r="AD907" t="s">
        <v>10977</v>
      </c>
      <c r="AE907" t="s">
        <v>17653</v>
      </c>
      <c r="AF907" t="s">
        <v>74</v>
      </c>
      <c r="AG907">
        <v>60</v>
      </c>
      <c r="AH907">
        <v>2</v>
      </c>
      <c r="AI907">
        <v>3</v>
      </c>
      <c r="AJ907">
        <v>2</v>
      </c>
      <c r="AK907">
        <v>17</v>
      </c>
      <c r="AL907" t="s">
        <v>683</v>
      </c>
      <c r="AM907" t="s">
        <v>684</v>
      </c>
      <c r="AN907" t="s">
        <v>685</v>
      </c>
      <c r="AO907" t="s">
        <v>74</v>
      </c>
      <c r="AP907" t="s">
        <v>17654</v>
      </c>
      <c r="AQ907" t="s">
        <v>74</v>
      </c>
      <c r="AR907" t="s">
        <v>17655</v>
      </c>
      <c r="AS907" t="s">
        <v>17656</v>
      </c>
      <c r="AT907" t="s">
        <v>3499</v>
      </c>
      <c r="AU907">
        <v>2019</v>
      </c>
      <c r="AV907">
        <v>3</v>
      </c>
      <c r="AW907">
        <v>3</v>
      </c>
      <c r="AX907" t="s">
        <v>74</v>
      </c>
      <c r="AY907" t="s">
        <v>74</v>
      </c>
      <c r="AZ907" t="s">
        <v>74</v>
      </c>
      <c r="BA907" t="s">
        <v>74</v>
      </c>
      <c r="BB907" t="s">
        <v>74</v>
      </c>
      <c r="BC907" t="s">
        <v>74</v>
      </c>
      <c r="BD907">
        <v>57</v>
      </c>
      <c r="BE907" t="s">
        <v>17657</v>
      </c>
      <c r="BF907" t="str">
        <f>HYPERLINK("http://dx.doi.org/10.3390/soilsystems3030057","http://dx.doi.org/10.3390/soilsystems3030057")</f>
        <v>http://dx.doi.org/10.3390/soilsystems3030057</v>
      </c>
      <c r="BG907" t="s">
        <v>74</v>
      </c>
      <c r="BH907" t="s">
        <v>74</v>
      </c>
      <c r="BI907">
        <v>13</v>
      </c>
      <c r="BJ907" t="s">
        <v>11695</v>
      </c>
      <c r="BK907" t="s">
        <v>160</v>
      </c>
      <c r="BL907" t="s">
        <v>11696</v>
      </c>
      <c r="BM907" t="s">
        <v>17658</v>
      </c>
      <c r="BN907" t="s">
        <v>74</v>
      </c>
      <c r="BO907" t="s">
        <v>107</v>
      </c>
      <c r="BP907" t="s">
        <v>74</v>
      </c>
      <c r="BQ907" t="s">
        <v>74</v>
      </c>
      <c r="BR907" t="s">
        <v>108</v>
      </c>
      <c r="BS907" t="s">
        <v>17659</v>
      </c>
      <c r="BT907" t="str">
        <f>HYPERLINK("https%3A%2F%2Fwww.webofscience.com%2Fwos%2Fwoscc%2Ffull-record%2FWOS:000492988900005","View Full Record in Web of Science")</f>
        <v>View Full Record in Web of Science</v>
      </c>
    </row>
    <row r="908" spans="1:72" x14ac:dyDescent="0.15">
      <c r="A908" t="s">
        <v>133</v>
      </c>
      <c r="B908" t="s">
        <v>17660</v>
      </c>
      <c r="C908" t="s">
        <v>74</v>
      </c>
      <c r="D908" t="s">
        <v>74</v>
      </c>
      <c r="E908" t="s">
        <v>74</v>
      </c>
      <c r="F908" t="s">
        <v>17661</v>
      </c>
      <c r="G908" t="s">
        <v>74</v>
      </c>
      <c r="H908" t="s">
        <v>74</v>
      </c>
      <c r="I908" t="s">
        <v>17662</v>
      </c>
      <c r="J908" t="s">
        <v>3931</v>
      </c>
      <c r="K908" t="s">
        <v>74</v>
      </c>
      <c r="L908" t="s">
        <v>74</v>
      </c>
      <c r="M908" t="s">
        <v>80</v>
      </c>
      <c r="N908" t="s">
        <v>930</v>
      </c>
      <c r="O908" t="s">
        <v>74</v>
      </c>
      <c r="P908" t="s">
        <v>74</v>
      </c>
      <c r="Q908" t="s">
        <v>74</v>
      </c>
      <c r="R908" t="s">
        <v>74</v>
      </c>
      <c r="S908" t="s">
        <v>74</v>
      </c>
      <c r="T908" t="s">
        <v>17663</v>
      </c>
      <c r="U908" t="s">
        <v>17664</v>
      </c>
      <c r="V908" t="s">
        <v>17665</v>
      </c>
      <c r="W908" t="s">
        <v>17666</v>
      </c>
      <c r="X908" t="s">
        <v>17667</v>
      </c>
      <c r="Y908" t="s">
        <v>17668</v>
      </c>
      <c r="Z908" t="s">
        <v>17669</v>
      </c>
      <c r="AA908" t="s">
        <v>17670</v>
      </c>
      <c r="AB908" t="s">
        <v>17671</v>
      </c>
      <c r="AC908" t="s">
        <v>17672</v>
      </c>
      <c r="AD908" t="s">
        <v>17673</v>
      </c>
      <c r="AE908" t="s">
        <v>17674</v>
      </c>
      <c r="AF908" t="s">
        <v>74</v>
      </c>
      <c r="AG908">
        <v>178</v>
      </c>
      <c r="AH908">
        <v>54</v>
      </c>
      <c r="AI908">
        <v>57</v>
      </c>
      <c r="AJ908">
        <v>2</v>
      </c>
      <c r="AK908">
        <v>55</v>
      </c>
      <c r="AL908" t="s">
        <v>1264</v>
      </c>
      <c r="AM908" t="s">
        <v>1265</v>
      </c>
      <c r="AN908" t="s">
        <v>1266</v>
      </c>
      <c r="AO908" t="s">
        <v>3942</v>
      </c>
      <c r="AP908" t="s">
        <v>3943</v>
      </c>
      <c r="AQ908" t="s">
        <v>74</v>
      </c>
      <c r="AR908" t="s">
        <v>3944</v>
      </c>
      <c r="AS908" t="s">
        <v>3945</v>
      </c>
      <c r="AT908" t="s">
        <v>3499</v>
      </c>
      <c r="AU908">
        <v>2019</v>
      </c>
      <c r="AV908">
        <v>57</v>
      </c>
      <c r="AW908">
        <v>3</v>
      </c>
      <c r="AX908" t="s">
        <v>74</v>
      </c>
      <c r="AY908" t="s">
        <v>74</v>
      </c>
      <c r="AZ908" t="s">
        <v>74</v>
      </c>
      <c r="BA908" t="s">
        <v>74</v>
      </c>
      <c r="BB908">
        <v>1037</v>
      </c>
      <c r="BC908">
        <v>1064</v>
      </c>
      <c r="BD908" t="s">
        <v>74</v>
      </c>
      <c r="BE908" t="s">
        <v>17675</v>
      </c>
      <c r="BF908" t="str">
        <f>HYPERLINK("http://dx.doi.org/10.1029/2018RG000631","http://dx.doi.org/10.1029/2018RG000631")</f>
        <v>http://dx.doi.org/10.1029/2018RG000631</v>
      </c>
      <c r="BG908" t="s">
        <v>74</v>
      </c>
      <c r="BH908" t="s">
        <v>74</v>
      </c>
      <c r="BI908">
        <v>28</v>
      </c>
      <c r="BJ908" t="s">
        <v>1067</v>
      </c>
      <c r="BK908" t="s">
        <v>294</v>
      </c>
      <c r="BL908" t="s">
        <v>1067</v>
      </c>
      <c r="BM908" t="s">
        <v>17676</v>
      </c>
      <c r="BN908" t="s">
        <v>74</v>
      </c>
      <c r="BO908" t="s">
        <v>74</v>
      </c>
      <c r="BP908" t="s">
        <v>74</v>
      </c>
      <c r="BQ908" t="s">
        <v>74</v>
      </c>
      <c r="BR908" t="s">
        <v>108</v>
      </c>
      <c r="BS908" t="s">
        <v>17677</v>
      </c>
      <c r="BT908" t="str">
        <f>HYPERLINK("https%3A%2F%2Fwww.webofscience.com%2Fwos%2Fwoscc%2Ffull-record%2FWOS:000492796700009","View Full Record in Web of Science")</f>
        <v>View Full Record in Web of Science</v>
      </c>
    </row>
    <row r="909" spans="1:72" x14ac:dyDescent="0.15">
      <c r="A909" t="s">
        <v>133</v>
      </c>
      <c r="B909" t="s">
        <v>17678</v>
      </c>
      <c r="C909" t="s">
        <v>74</v>
      </c>
      <c r="D909" t="s">
        <v>74</v>
      </c>
      <c r="E909" t="s">
        <v>74</v>
      </c>
      <c r="F909" t="s">
        <v>17679</v>
      </c>
      <c r="G909" t="s">
        <v>74</v>
      </c>
      <c r="H909" t="s">
        <v>74</v>
      </c>
      <c r="I909" t="s">
        <v>17680</v>
      </c>
      <c r="J909" t="s">
        <v>1928</v>
      </c>
      <c r="K909" t="s">
        <v>74</v>
      </c>
      <c r="L909" t="s">
        <v>74</v>
      </c>
      <c r="M909" t="s">
        <v>80</v>
      </c>
      <c r="N909" t="s">
        <v>138</v>
      </c>
      <c r="O909" t="s">
        <v>74</v>
      </c>
      <c r="P909" t="s">
        <v>74</v>
      </c>
      <c r="Q909" t="s">
        <v>74</v>
      </c>
      <c r="R909" t="s">
        <v>74</v>
      </c>
      <c r="S909" t="s">
        <v>74</v>
      </c>
      <c r="T909" t="s">
        <v>74</v>
      </c>
      <c r="U909" t="s">
        <v>17681</v>
      </c>
      <c r="V909" t="s">
        <v>17682</v>
      </c>
      <c r="W909" t="s">
        <v>17683</v>
      </c>
      <c r="X909" t="s">
        <v>17684</v>
      </c>
      <c r="Y909" t="s">
        <v>17685</v>
      </c>
      <c r="Z909" t="s">
        <v>17686</v>
      </c>
      <c r="AA909" t="s">
        <v>17687</v>
      </c>
      <c r="AB909" t="s">
        <v>17688</v>
      </c>
      <c r="AC909" t="s">
        <v>74</v>
      </c>
      <c r="AD909" t="s">
        <v>74</v>
      </c>
      <c r="AE909" t="s">
        <v>74</v>
      </c>
      <c r="AF909" t="s">
        <v>74</v>
      </c>
      <c r="AG909">
        <v>51</v>
      </c>
      <c r="AH909">
        <v>4</v>
      </c>
      <c r="AI909">
        <v>4</v>
      </c>
      <c r="AJ909">
        <v>0</v>
      </c>
      <c r="AK909">
        <v>15</v>
      </c>
      <c r="AL909" t="s">
        <v>1264</v>
      </c>
      <c r="AM909" t="s">
        <v>1265</v>
      </c>
      <c r="AN909" t="s">
        <v>1266</v>
      </c>
      <c r="AO909" t="s">
        <v>1940</v>
      </c>
      <c r="AP909" t="s">
        <v>1941</v>
      </c>
      <c r="AQ909" t="s">
        <v>74</v>
      </c>
      <c r="AR909" t="s">
        <v>1942</v>
      </c>
      <c r="AS909" t="s">
        <v>1943</v>
      </c>
      <c r="AT909" t="s">
        <v>3499</v>
      </c>
      <c r="AU909">
        <v>2019</v>
      </c>
      <c r="AV909">
        <v>124</v>
      </c>
      <c r="AW909">
        <v>9</v>
      </c>
      <c r="AX909" t="s">
        <v>74</v>
      </c>
      <c r="AY909" t="s">
        <v>74</v>
      </c>
      <c r="AZ909" t="s">
        <v>74</v>
      </c>
      <c r="BA909" t="s">
        <v>74</v>
      </c>
      <c r="BB909">
        <v>6459</v>
      </c>
      <c r="BC909">
        <v>6477</v>
      </c>
      <c r="BD909" t="s">
        <v>74</v>
      </c>
      <c r="BE909" t="s">
        <v>17689</v>
      </c>
      <c r="BF909" t="str">
        <f>HYPERLINK("http://dx.doi.org/10.1029/2018JC014559","http://dx.doi.org/10.1029/2018JC014559")</f>
        <v>http://dx.doi.org/10.1029/2018JC014559</v>
      </c>
      <c r="BG909" t="s">
        <v>74</v>
      </c>
      <c r="BH909" t="s">
        <v>74</v>
      </c>
      <c r="BI909">
        <v>19</v>
      </c>
      <c r="BJ909" t="s">
        <v>1945</v>
      </c>
      <c r="BK909" t="s">
        <v>294</v>
      </c>
      <c r="BL909" t="s">
        <v>1945</v>
      </c>
      <c r="BM909" t="s">
        <v>16895</v>
      </c>
      <c r="BN909" t="s">
        <v>74</v>
      </c>
      <c r="BO909" t="s">
        <v>8543</v>
      </c>
      <c r="BP909" t="s">
        <v>74</v>
      </c>
      <c r="BQ909" t="s">
        <v>74</v>
      </c>
      <c r="BR909" t="s">
        <v>108</v>
      </c>
      <c r="BS909" t="s">
        <v>17690</v>
      </c>
      <c r="BT909" t="str">
        <f>HYPERLINK("https%3A%2F%2Fwww.webofscience.com%2Fwos%2Fwoscc%2Ffull-record%2FWOS:000492197000002","View Full Record in Web of Science")</f>
        <v>View Full Record in Web of Science</v>
      </c>
    </row>
    <row r="910" spans="1:72" x14ac:dyDescent="0.15">
      <c r="A910" t="s">
        <v>133</v>
      </c>
      <c r="B910" t="s">
        <v>17691</v>
      </c>
      <c r="C910" t="s">
        <v>74</v>
      </c>
      <c r="D910" t="s">
        <v>74</v>
      </c>
      <c r="E910" t="s">
        <v>74</v>
      </c>
      <c r="F910" t="s">
        <v>17692</v>
      </c>
      <c r="G910" t="s">
        <v>74</v>
      </c>
      <c r="H910" t="s">
        <v>74</v>
      </c>
      <c r="I910" t="s">
        <v>17693</v>
      </c>
      <c r="J910" t="s">
        <v>3574</v>
      </c>
      <c r="K910" t="s">
        <v>74</v>
      </c>
      <c r="L910" t="s">
        <v>74</v>
      </c>
      <c r="M910" t="s">
        <v>80</v>
      </c>
      <c r="N910" t="s">
        <v>138</v>
      </c>
      <c r="O910" t="s">
        <v>74</v>
      </c>
      <c r="P910" t="s">
        <v>74</v>
      </c>
      <c r="Q910" t="s">
        <v>74</v>
      </c>
      <c r="R910" t="s">
        <v>74</v>
      </c>
      <c r="S910" t="s">
        <v>74</v>
      </c>
      <c r="T910" t="s">
        <v>17694</v>
      </c>
      <c r="U910" t="s">
        <v>17695</v>
      </c>
      <c r="V910" t="s">
        <v>17696</v>
      </c>
      <c r="W910" t="s">
        <v>17697</v>
      </c>
      <c r="X910" t="s">
        <v>17698</v>
      </c>
      <c r="Y910" t="s">
        <v>17699</v>
      </c>
      <c r="Z910" t="s">
        <v>17700</v>
      </c>
      <c r="AA910" t="s">
        <v>17701</v>
      </c>
      <c r="AB910" t="s">
        <v>17702</v>
      </c>
      <c r="AC910" t="s">
        <v>17703</v>
      </c>
      <c r="AD910" t="s">
        <v>149</v>
      </c>
      <c r="AE910" t="s">
        <v>17704</v>
      </c>
      <c r="AF910" t="s">
        <v>74</v>
      </c>
      <c r="AG910">
        <v>34</v>
      </c>
      <c r="AH910">
        <v>12</v>
      </c>
      <c r="AI910">
        <v>13</v>
      </c>
      <c r="AJ910">
        <v>0</v>
      </c>
      <c r="AK910">
        <v>8</v>
      </c>
      <c r="AL910" t="s">
        <v>3581</v>
      </c>
      <c r="AM910" t="s">
        <v>1965</v>
      </c>
      <c r="AN910" t="s">
        <v>3582</v>
      </c>
      <c r="AO910" t="s">
        <v>3583</v>
      </c>
      <c r="AP910" t="s">
        <v>3584</v>
      </c>
      <c r="AQ910" t="s">
        <v>74</v>
      </c>
      <c r="AR910" t="s">
        <v>3585</v>
      </c>
      <c r="AS910" t="s">
        <v>3586</v>
      </c>
      <c r="AT910" t="s">
        <v>3499</v>
      </c>
      <c r="AU910">
        <v>2019</v>
      </c>
      <c r="AV910">
        <v>55</v>
      </c>
      <c r="AW910">
        <v>5</v>
      </c>
      <c r="AX910" t="s">
        <v>74</v>
      </c>
      <c r="AY910" t="s">
        <v>74</v>
      </c>
      <c r="AZ910" t="s">
        <v>74</v>
      </c>
      <c r="BA910" t="s">
        <v>74</v>
      </c>
      <c r="BB910">
        <v>412</v>
      </c>
      <c r="BC910">
        <v>422</v>
      </c>
      <c r="BD910" t="s">
        <v>74</v>
      </c>
      <c r="BE910" t="s">
        <v>17705</v>
      </c>
      <c r="BF910" t="str">
        <f>HYPERLINK("http://dx.doi.org/10.1134/S0001433819050074","http://dx.doi.org/10.1134/S0001433819050074")</f>
        <v>http://dx.doi.org/10.1134/S0001433819050074</v>
      </c>
      <c r="BG910" t="s">
        <v>74</v>
      </c>
      <c r="BH910" t="s">
        <v>74</v>
      </c>
      <c r="BI910">
        <v>11</v>
      </c>
      <c r="BJ910" t="s">
        <v>610</v>
      </c>
      <c r="BK910" t="s">
        <v>294</v>
      </c>
      <c r="BL910" t="s">
        <v>610</v>
      </c>
      <c r="BM910" t="s">
        <v>17706</v>
      </c>
      <c r="BN910" t="s">
        <v>74</v>
      </c>
      <c r="BO910" t="s">
        <v>74</v>
      </c>
      <c r="BP910" t="s">
        <v>74</v>
      </c>
      <c r="BQ910" t="s">
        <v>74</v>
      </c>
      <c r="BR910" t="s">
        <v>108</v>
      </c>
      <c r="BS910" t="s">
        <v>17707</v>
      </c>
      <c r="BT910" t="str">
        <f>HYPERLINK("https%3A%2F%2Fwww.webofscience.com%2Fwos%2Fwoscc%2Ffull-record%2FWOS:000491493700005","View Full Record in Web of Science")</f>
        <v>View Full Record in Web of Science</v>
      </c>
    </row>
    <row r="911" spans="1:72" x14ac:dyDescent="0.15">
      <c r="A911" t="s">
        <v>133</v>
      </c>
      <c r="B911" t="s">
        <v>17708</v>
      </c>
      <c r="C911" t="s">
        <v>74</v>
      </c>
      <c r="D911" t="s">
        <v>74</v>
      </c>
      <c r="E911" t="s">
        <v>74</v>
      </c>
      <c r="F911" t="s">
        <v>17709</v>
      </c>
      <c r="G911" t="s">
        <v>74</v>
      </c>
      <c r="H911" t="s">
        <v>74</v>
      </c>
      <c r="I911" t="s">
        <v>17710</v>
      </c>
      <c r="J911" t="s">
        <v>3574</v>
      </c>
      <c r="K911" t="s">
        <v>74</v>
      </c>
      <c r="L911" t="s">
        <v>74</v>
      </c>
      <c r="M911" t="s">
        <v>80</v>
      </c>
      <c r="N911" t="s">
        <v>138</v>
      </c>
      <c r="O911" t="s">
        <v>74</v>
      </c>
      <c r="P911" t="s">
        <v>74</v>
      </c>
      <c r="Q911" t="s">
        <v>74</v>
      </c>
      <c r="R911" t="s">
        <v>74</v>
      </c>
      <c r="S911" t="s">
        <v>74</v>
      </c>
      <c r="T911" t="s">
        <v>17711</v>
      </c>
      <c r="U911" t="s">
        <v>17712</v>
      </c>
      <c r="V911" t="s">
        <v>17713</v>
      </c>
      <c r="W911" t="s">
        <v>17714</v>
      </c>
      <c r="X911" t="s">
        <v>1120</v>
      </c>
      <c r="Y911" t="s">
        <v>17715</v>
      </c>
      <c r="Z911" t="s">
        <v>17716</v>
      </c>
      <c r="AA911" t="s">
        <v>17717</v>
      </c>
      <c r="AB911" t="s">
        <v>17718</v>
      </c>
      <c r="AC911" t="s">
        <v>17719</v>
      </c>
      <c r="AD911" t="s">
        <v>17720</v>
      </c>
      <c r="AE911" t="s">
        <v>17721</v>
      </c>
      <c r="AF911" t="s">
        <v>74</v>
      </c>
      <c r="AG911">
        <v>34</v>
      </c>
      <c r="AH911">
        <v>0</v>
      </c>
      <c r="AI911">
        <v>0</v>
      </c>
      <c r="AJ911">
        <v>0</v>
      </c>
      <c r="AK911">
        <v>4</v>
      </c>
      <c r="AL911" t="s">
        <v>3581</v>
      </c>
      <c r="AM911" t="s">
        <v>1965</v>
      </c>
      <c r="AN911" t="s">
        <v>3582</v>
      </c>
      <c r="AO911" t="s">
        <v>3583</v>
      </c>
      <c r="AP911" t="s">
        <v>3584</v>
      </c>
      <c r="AQ911" t="s">
        <v>74</v>
      </c>
      <c r="AR911" t="s">
        <v>3585</v>
      </c>
      <c r="AS911" t="s">
        <v>3586</v>
      </c>
      <c r="AT911" t="s">
        <v>3499</v>
      </c>
      <c r="AU911">
        <v>2019</v>
      </c>
      <c r="AV911">
        <v>55</v>
      </c>
      <c r="AW911">
        <v>5</v>
      </c>
      <c r="AX911" t="s">
        <v>74</v>
      </c>
      <c r="AY911" t="s">
        <v>74</v>
      </c>
      <c r="AZ911" t="s">
        <v>74</v>
      </c>
      <c r="BA911" t="s">
        <v>74</v>
      </c>
      <c r="BB911">
        <v>480</v>
      </c>
      <c r="BC911">
        <v>491</v>
      </c>
      <c r="BD911" t="s">
        <v>74</v>
      </c>
      <c r="BE911" t="s">
        <v>17722</v>
      </c>
      <c r="BF911" t="str">
        <f>HYPERLINK("http://dx.doi.org/10.1134/S0001433819050116","http://dx.doi.org/10.1134/S0001433819050116")</f>
        <v>http://dx.doi.org/10.1134/S0001433819050116</v>
      </c>
      <c r="BG911" t="s">
        <v>74</v>
      </c>
      <c r="BH911" t="s">
        <v>74</v>
      </c>
      <c r="BI911">
        <v>12</v>
      </c>
      <c r="BJ911" t="s">
        <v>610</v>
      </c>
      <c r="BK911" t="s">
        <v>294</v>
      </c>
      <c r="BL911" t="s">
        <v>610</v>
      </c>
      <c r="BM911" t="s">
        <v>17706</v>
      </c>
      <c r="BN911" t="s">
        <v>74</v>
      </c>
      <c r="BO911" t="s">
        <v>74</v>
      </c>
      <c r="BP911" t="s">
        <v>74</v>
      </c>
      <c r="BQ911" t="s">
        <v>74</v>
      </c>
      <c r="BR911" t="s">
        <v>108</v>
      </c>
      <c r="BS911" t="s">
        <v>17723</v>
      </c>
      <c r="BT911" t="str">
        <f>HYPERLINK("https%3A%2F%2Fwww.webofscience.com%2Fwos%2Fwoscc%2Ffull-record%2FWOS:000491493700012","View Full Record in Web of Science")</f>
        <v>View Full Record in Web of Science</v>
      </c>
    </row>
    <row r="912" spans="1:72" x14ac:dyDescent="0.15">
      <c r="A912" t="s">
        <v>133</v>
      </c>
      <c r="B912" t="s">
        <v>17724</v>
      </c>
      <c r="C912" t="s">
        <v>74</v>
      </c>
      <c r="D912" t="s">
        <v>74</v>
      </c>
      <c r="E912" t="s">
        <v>74</v>
      </c>
      <c r="F912" t="s">
        <v>17725</v>
      </c>
      <c r="G912" t="s">
        <v>74</v>
      </c>
      <c r="H912" t="s">
        <v>74</v>
      </c>
      <c r="I912" t="s">
        <v>17726</v>
      </c>
      <c r="J912" t="s">
        <v>5314</v>
      </c>
      <c r="K912" t="s">
        <v>74</v>
      </c>
      <c r="L912" t="s">
        <v>74</v>
      </c>
      <c r="M912" t="s">
        <v>80</v>
      </c>
      <c r="N912" t="s">
        <v>1996</v>
      </c>
      <c r="O912" t="s">
        <v>17727</v>
      </c>
      <c r="P912" t="s">
        <v>17728</v>
      </c>
      <c r="Q912" t="s">
        <v>17729</v>
      </c>
      <c r="R912" t="s">
        <v>74</v>
      </c>
      <c r="S912" t="s">
        <v>74</v>
      </c>
      <c r="T912" t="s">
        <v>17730</v>
      </c>
      <c r="U912" t="s">
        <v>17731</v>
      </c>
      <c r="V912" t="s">
        <v>17732</v>
      </c>
      <c r="W912" t="s">
        <v>17733</v>
      </c>
      <c r="X912" t="s">
        <v>17734</v>
      </c>
      <c r="Y912" t="s">
        <v>17735</v>
      </c>
      <c r="Z912" t="s">
        <v>17736</v>
      </c>
      <c r="AA912" t="s">
        <v>17737</v>
      </c>
      <c r="AB912" t="s">
        <v>74</v>
      </c>
      <c r="AC912" t="s">
        <v>17738</v>
      </c>
      <c r="AD912" t="s">
        <v>17739</v>
      </c>
      <c r="AE912" t="s">
        <v>17740</v>
      </c>
      <c r="AF912" t="s">
        <v>74</v>
      </c>
      <c r="AG912">
        <v>38</v>
      </c>
      <c r="AH912">
        <v>5</v>
      </c>
      <c r="AI912">
        <v>6</v>
      </c>
      <c r="AJ912">
        <v>1</v>
      </c>
      <c r="AK912">
        <v>13</v>
      </c>
      <c r="AL912" t="s">
        <v>284</v>
      </c>
      <c r="AM912" t="s">
        <v>285</v>
      </c>
      <c r="AN912" t="s">
        <v>286</v>
      </c>
      <c r="AO912" t="s">
        <v>5324</v>
      </c>
      <c r="AP912" t="s">
        <v>5325</v>
      </c>
      <c r="AQ912" t="s">
        <v>74</v>
      </c>
      <c r="AR912" t="s">
        <v>5326</v>
      </c>
      <c r="AS912" t="s">
        <v>5327</v>
      </c>
      <c r="AT912" t="s">
        <v>3499</v>
      </c>
      <c r="AU912">
        <v>2019</v>
      </c>
      <c r="AV912">
        <v>21</v>
      </c>
      <c r="AW912" t="s">
        <v>74</v>
      </c>
      <c r="AX912" t="s">
        <v>74</v>
      </c>
      <c r="AY912" t="s">
        <v>74</v>
      </c>
      <c r="AZ912" t="s">
        <v>555</v>
      </c>
      <c r="BA912" t="s">
        <v>74</v>
      </c>
      <c r="BB912">
        <v>224</v>
      </c>
      <c r="BC912">
        <v>227</v>
      </c>
      <c r="BD912" t="s">
        <v>74</v>
      </c>
      <c r="BE912" t="s">
        <v>17741</v>
      </c>
      <c r="BF912" t="str">
        <f>HYPERLINK("http://dx.doi.org/10.1016/j.polar.2019.03.001","http://dx.doi.org/10.1016/j.polar.2019.03.001")</f>
        <v>http://dx.doi.org/10.1016/j.polar.2019.03.001</v>
      </c>
      <c r="BG912" t="s">
        <v>74</v>
      </c>
      <c r="BH912" t="s">
        <v>74</v>
      </c>
      <c r="BI912">
        <v>4</v>
      </c>
      <c r="BJ912" t="s">
        <v>159</v>
      </c>
      <c r="BK912" t="s">
        <v>2020</v>
      </c>
      <c r="BL912" t="s">
        <v>161</v>
      </c>
      <c r="BM912" t="s">
        <v>17742</v>
      </c>
      <c r="BN912" t="s">
        <v>74</v>
      </c>
      <c r="BO912" t="s">
        <v>559</v>
      </c>
      <c r="BP912" t="s">
        <v>74</v>
      </c>
      <c r="BQ912" t="s">
        <v>74</v>
      </c>
      <c r="BR912" t="s">
        <v>108</v>
      </c>
      <c r="BS912" t="s">
        <v>17743</v>
      </c>
      <c r="BT912" t="str">
        <f>HYPERLINK("https%3A%2F%2Fwww.webofscience.com%2Fwos%2Fwoscc%2Ffull-record%2FWOS:000490973400026","View Full Record in Web of Science")</f>
        <v>View Full Record in Web of Science</v>
      </c>
    </row>
    <row r="913" spans="1:72" x14ac:dyDescent="0.15">
      <c r="A913" t="s">
        <v>133</v>
      </c>
      <c r="B913" t="s">
        <v>17744</v>
      </c>
      <c r="C913" t="s">
        <v>74</v>
      </c>
      <c r="D913" t="s">
        <v>74</v>
      </c>
      <c r="E913" t="s">
        <v>74</v>
      </c>
      <c r="F913" t="s">
        <v>17745</v>
      </c>
      <c r="G913" t="s">
        <v>74</v>
      </c>
      <c r="H913" t="s">
        <v>74</v>
      </c>
      <c r="I913" t="s">
        <v>17746</v>
      </c>
      <c r="J913" t="s">
        <v>17747</v>
      </c>
      <c r="K913" t="s">
        <v>74</v>
      </c>
      <c r="L913" t="s">
        <v>74</v>
      </c>
      <c r="M913" t="s">
        <v>80</v>
      </c>
      <c r="N913" t="s">
        <v>138</v>
      </c>
      <c r="O913" t="s">
        <v>74</v>
      </c>
      <c r="P913" t="s">
        <v>74</v>
      </c>
      <c r="Q913" t="s">
        <v>74</v>
      </c>
      <c r="R913" t="s">
        <v>74</v>
      </c>
      <c r="S913" t="s">
        <v>74</v>
      </c>
      <c r="T913" t="s">
        <v>17748</v>
      </c>
      <c r="U913" t="s">
        <v>17749</v>
      </c>
      <c r="V913" t="s">
        <v>17750</v>
      </c>
      <c r="W913" t="s">
        <v>17751</v>
      </c>
      <c r="X913" t="s">
        <v>17752</v>
      </c>
      <c r="Y913" t="s">
        <v>17753</v>
      </c>
      <c r="Z913" t="s">
        <v>17754</v>
      </c>
      <c r="AA913" t="s">
        <v>17755</v>
      </c>
      <c r="AB913" t="s">
        <v>17756</v>
      </c>
      <c r="AC913" t="s">
        <v>17757</v>
      </c>
      <c r="AD913" t="s">
        <v>17758</v>
      </c>
      <c r="AE913" t="s">
        <v>17759</v>
      </c>
      <c r="AF913" t="s">
        <v>74</v>
      </c>
      <c r="AG913">
        <v>82</v>
      </c>
      <c r="AH913">
        <v>27</v>
      </c>
      <c r="AI913">
        <v>29</v>
      </c>
      <c r="AJ913">
        <v>2</v>
      </c>
      <c r="AK913">
        <v>38</v>
      </c>
      <c r="AL913" t="s">
        <v>1264</v>
      </c>
      <c r="AM913" t="s">
        <v>1265</v>
      </c>
      <c r="AN913" t="s">
        <v>1266</v>
      </c>
      <c r="AO913" t="s">
        <v>17760</v>
      </c>
      <c r="AP913" t="s">
        <v>17761</v>
      </c>
      <c r="AQ913" t="s">
        <v>74</v>
      </c>
      <c r="AR913" t="s">
        <v>17762</v>
      </c>
      <c r="AS913" t="s">
        <v>17763</v>
      </c>
      <c r="AT913" t="s">
        <v>3499</v>
      </c>
      <c r="AU913">
        <v>2019</v>
      </c>
      <c r="AV913">
        <v>124</v>
      </c>
      <c r="AW913">
        <v>9</v>
      </c>
      <c r="AX913" t="s">
        <v>74</v>
      </c>
      <c r="AY913" t="s">
        <v>74</v>
      </c>
      <c r="AZ913" t="s">
        <v>74</v>
      </c>
      <c r="BA913" t="s">
        <v>74</v>
      </c>
      <c r="BB913">
        <v>2324</v>
      </c>
      <c r="BC913">
        <v>2344</v>
      </c>
      <c r="BD913" t="s">
        <v>74</v>
      </c>
      <c r="BE913" t="s">
        <v>17764</v>
      </c>
      <c r="BF913" t="str">
        <f>HYPERLINK("http://dx.doi.org/10.1029/2019JF005060","http://dx.doi.org/10.1029/2019JF005060")</f>
        <v>http://dx.doi.org/10.1029/2019JF005060</v>
      </c>
      <c r="BG913" t="s">
        <v>74</v>
      </c>
      <c r="BH913" t="s">
        <v>74</v>
      </c>
      <c r="BI913">
        <v>21</v>
      </c>
      <c r="BJ913" t="s">
        <v>849</v>
      </c>
      <c r="BK913" t="s">
        <v>294</v>
      </c>
      <c r="BL913" t="s">
        <v>850</v>
      </c>
      <c r="BM913" t="s">
        <v>17765</v>
      </c>
      <c r="BN913" t="s">
        <v>74</v>
      </c>
      <c r="BO913" t="s">
        <v>74</v>
      </c>
      <c r="BP913" t="s">
        <v>74</v>
      </c>
      <c r="BQ913" t="s">
        <v>74</v>
      </c>
      <c r="BR913" t="s">
        <v>108</v>
      </c>
      <c r="BS913" t="s">
        <v>17766</v>
      </c>
      <c r="BT913" t="str">
        <f>HYPERLINK("https%3A%2F%2Fwww.webofscience.com%2Fwos%2Fwoscc%2Ffull-record%2FWOS:000491482500001","View Full Record in Web of Science")</f>
        <v>View Full Record in Web of Science</v>
      </c>
    </row>
    <row r="914" spans="1:72" x14ac:dyDescent="0.15">
      <c r="A914" t="s">
        <v>133</v>
      </c>
      <c r="B914" t="s">
        <v>17767</v>
      </c>
      <c r="C914" t="s">
        <v>74</v>
      </c>
      <c r="D914" t="s">
        <v>74</v>
      </c>
      <c r="E914" t="s">
        <v>74</v>
      </c>
      <c r="F914" t="s">
        <v>17768</v>
      </c>
      <c r="G914" t="s">
        <v>74</v>
      </c>
      <c r="H914" t="s">
        <v>74</v>
      </c>
      <c r="I914" t="s">
        <v>17769</v>
      </c>
      <c r="J914" t="s">
        <v>17770</v>
      </c>
      <c r="K914" t="s">
        <v>74</v>
      </c>
      <c r="L914" t="s">
        <v>74</v>
      </c>
      <c r="M914" t="s">
        <v>80</v>
      </c>
      <c r="N914" t="s">
        <v>138</v>
      </c>
      <c r="O914" t="s">
        <v>74</v>
      </c>
      <c r="P914" t="s">
        <v>74</v>
      </c>
      <c r="Q914" t="s">
        <v>74</v>
      </c>
      <c r="R914" t="s">
        <v>74</v>
      </c>
      <c r="S914" t="s">
        <v>74</v>
      </c>
      <c r="T914" t="s">
        <v>17771</v>
      </c>
      <c r="U914" t="s">
        <v>17772</v>
      </c>
      <c r="V914" t="s">
        <v>17773</v>
      </c>
      <c r="W914" t="s">
        <v>17774</v>
      </c>
      <c r="X914" t="s">
        <v>17775</v>
      </c>
      <c r="Y914" t="s">
        <v>17776</v>
      </c>
      <c r="Z914" t="s">
        <v>17777</v>
      </c>
      <c r="AA914" t="s">
        <v>17778</v>
      </c>
      <c r="AB914" t="s">
        <v>17779</v>
      </c>
      <c r="AC914" t="s">
        <v>17780</v>
      </c>
      <c r="AD914" t="s">
        <v>17781</v>
      </c>
      <c r="AE914" t="s">
        <v>17782</v>
      </c>
      <c r="AF914" t="s">
        <v>74</v>
      </c>
      <c r="AG914">
        <v>43</v>
      </c>
      <c r="AH914">
        <v>22</v>
      </c>
      <c r="AI914">
        <v>22</v>
      </c>
      <c r="AJ914">
        <v>1</v>
      </c>
      <c r="AK914">
        <v>11</v>
      </c>
      <c r="AL914" t="s">
        <v>3717</v>
      </c>
      <c r="AM914" t="s">
        <v>3718</v>
      </c>
      <c r="AN914" t="s">
        <v>3719</v>
      </c>
      <c r="AO914" t="s">
        <v>17783</v>
      </c>
      <c r="AP914" t="s">
        <v>17784</v>
      </c>
      <c r="AQ914" t="s">
        <v>74</v>
      </c>
      <c r="AR914" t="s">
        <v>17785</v>
      </c>
      <c r="AS914" t="s">
        <v>17786</v>
      </c>
      <c r="AT914" t="s">
        <v>3499</v>
      </c>
      <c r="AU914">
        <v>2019</v>
      </c>
      <c r="AV914">
        <v>32</v>
      </c>
      <c r="AW914">
        <v>5</v>
      </c>
      <c r="AX914" t="s">
        <v>74</v>
      </c>
      <c r="AY914" t="s">
        <v>74</v>
      </c>
      <c r="AZ914" t="s">
        <v>74</v>
      </c>
      <c r="BA914" t="s">
        <v>74</v>
      </c>
      <c r="BB914">
        <v>511</v>
      </c>
      <c r="BC914">
        <v>520</v>
      </c>
      <c r="BD914" t="s">
        <v>74</v>
      </c>
      <c r="BE914" t="s">
        <v>17787</v>
      </c>
      <c r="BF914" t="str">
        <f>HYPERLINK("http://dx.doi.org/10.1134/S1024856019050130","http://dx.doi.org/10.1134/S1024856019050130")</f>
        <v>http://dx.doi.org/10.1134/S1024856019050130</v>
      </c>
      <c r="BG914" t="s">
        <v>74</v>
      </c>
      <c r="BH914" t="s">
        <v>74</v>
      </c>
      <c r="BI914">
        <v>10</v>
      </c>
      <c r="BJ914" t="s">
        <v>17788</v>
      </c>
      <c r="BK914" t="s">
        <v>160</v>
      </c>
      <c r="BL914" t="s">
        <v>17788</v>
      </c>
      <c r="BM914" t="s">
        <v>17789</v>
      </c>
      <c r="BN914" t="s">
        <v>74</v>
      </c>
      <c r="BO914" t="s">
        <v>74</v>
      </c>
      <c r="BP914" t="s">
        <v>74</v>
      </c>
      <c r="BQ914" t="s">
        <v>74</v>
      </c>
      <c r="BR914" t="s">
        <v>108</v>
      </c>
      <c r="BS914" t="s">
        <v>17790</v>
      </c>
      <c r="BT914" t="str">
        <f>HYPERLINK("https%3A%2F%2Fwww.webofscience.com%2Fwos%2Fwoscc%2Ffull-record%2FWOS:000490950300004","View Full Record in Web of Science")</f>
        <v>View Full Record in Web of Science</v>
      </c>
    </row>
    <row r="915" spans="1:72" x14ac:dyDescent="0.15">
      <c r="A915" t="s">
        <v>133</v>
      </c>
      <c r="B915" t="s">
        <v>17791</v>
      </c>
      <c r="C915" t="s">
        <v>74</v>
      </c>
      <c r="D915" t="s">
        <v>74</v>
      </c>
      <c r="E915" t="s">
        <v>74</v>
      </c>
      <c r="F915" t="s">
        <v>17792</v>
      </c>
      <c r="G915" t="s">
        <v>74</v>
      </c>
      <c r="H915" t="s">
        <v>74</v>
      </c>
      <c r="I915" t="s">
        <v>17793</v>
      </c>
      <c r="J915" t="s">
        <v>5664</v>
      </c>
      <c r="K915" t="s">
        <v>74</v>
      </c>
      <c r="L915" t="s">
        <v>74</v>
      </c>
      <c r="M915" t="s">
        <v>80</v>
      </c>
      <c r="N915" t="s">
        <v>138</v>
      </c>
      <c r="O915" t="s">
        <v>74</v>
      </c>
      <c r="P915" t="s">
        <v>74</v>
      </c>
      <c r="Q915" t="s">
        <v>74</v>
      </c>
      <c r="R915" t="s">
        <v>74</v>
      </c>
      <c r="S915" t="s">
        <v>74</v>
      </c>
      <c r="T915" t="s">
        <v>74</v>
      </c>
      <c r="U915" t="s">
        <v>17794</v>
      </c>
      <c r="V915" t="s">
        <v>17795</v>
      </c>
      <c r="W915" t="s">
        <v>17796</v>
      </c>
      <c r="X915" t="s">
        <v>17797</v>
      </c>
      <c r="Y915" t="s">
        <v>17798</v>
      </c>
      <c r="Z915" t="s">
        <v>17799</v>
      </c>
      <c r="AA915" t="s">
        <v>17800</v>
      </c>
      <c r="AB915" t="s">
        <v>17801</v>
      </c>
      <c r="AC915" t="s">
        <v>17802</v>
      </c>
      <c r="AD915" t="s">
        <v>17803</v>
      </c>
      <c r="AE915" t="s">
        <v>17804</v>
      </c>
      <c r="AF915" t="s">
        <v>74</v>
      </c>
      <c r="AG915">
        <v>63</v>
      </c>
      <c r="AH915">
        <v>24</v>
      </c>
      <c r="AI915">
        <v>25</v>
      </c>
      <c r="AJ915">
        <v>0</v>
      </c>
      <c r="AK915">
        <v>13</v>
      </c>
      <c r="AL915" t="s">
        <v>1016</v>
      </c>
      <c r="AM915" t="s">
        <v>1017</v>
      </c>
      <c r="AN915" t="s">
        <v>4703</v>
      </c>
      <c r="AO915" t="s">
        <v>5676</v>
      </c>
      <c r="AP915" t="s">
        <v>5677</v>
      </c>
      <c r="AQ915" t="s">
        <v>74</v>
      </c>
      <c r="AR915" t="s">
        <v>5678</v>
      </c>
      <c r="AS915" t="s">
        <v>5679</v>
      </c>
      <c r="AT915" t="s">
        <v>3499</v>
      </c>
      <c r="AU915">
        <v>2019</v>
      </c>
      <c r="AV915">
        <v>100</v>
      </c>
      <c r="AW915">
        <v>9</v>
      </c>
      <c r="AX915" t="s">
        <v>74</v>
      </c>
      <c r="AY915" t="s">
        <v>74</v>
      </c>
      <c r="AZ915" t="s">
        <v>74</v>
      </c>
      <c r="BA915" t="s">
        <v>74</v>
      </c>
      <c r="BB915">
        <v>1795</v>
      </c>
      <c r="BC915">
        <v>1817</v>
      </c>
      <c r="BD915" t="s">
        <v>74</v>
      </c>
      <c r="BE915" t="s">
        <v>17805</v>
      </c>
      <c r="BF915" t="str">
        <f>HYPERLINK("http://dx.doi.org/10.1175/BAMS-D-18-0217.1","http://dx.doi.org/10.1175/BAMS-D-18-0217.1")</f>
        <v>http://dx.doi.org/10.1175/BAMS-D-18-0217.1</v>
      </c>
      <c r="BG915" t="s">
        <v>74</v>
      </c>
      <c r="BH915" t="s">
        <v>74</v>
      </c>
      <c r="BI915">
        <v>23</v>
      </c>
      <c r="BJ915" t="s">
        <v>1024</v>
      </c>
      <c r="BK915" t="s">
        <v>294</v>
      </c>
      <c r="BL915" t="s">
        <v>1024</v>
      </c>
      <c r="BM915" t="s">
        <v>17806</v>
      </c>
      <c r="BN915" t="s">
        <v>74</v>
      </c>
      <c r="BO915" t="s">
        <v>8243</v>
      </c>
      <c r="BP915" t="s">
        <v>74</v>
      </c>
      <c r="BQ915" t="s">
        <v>74</v>
      </c>
      <c r="BR915" t="s">
        <v>108</v>
      </c>
      <c r="BS915" t="s">
        <v>17807</v>
      </c>
      <c r="BT915" t="str">
        <f>HYPERLINK("https%3A%2F%2Fwww.webofscience.com%2Fwos%2Fwoscc%2Ffull-record%2FWOS:000489716700016","View Full Record in Web of Science")</f>
        <v>View Full Record in Web of Science</v>
      </c>
    </row>
    <row r="916" spans="1:72" x14ac:dyDescent="0.15">
      <c r="A916" t="s">
        <v>133</v>
      </c>
      <c r="B916" t="s">
        <v>17808</v>
      </c>
      <c r="C916" t="s">
        <v>74</v>
      </c>
      <c r="D916" t="s">
        <v>74</v>
      </c>
      <c r="E916" t="s">
        <v>74</v>
      </c>
      <c r="F916" t="s">
        <v>17809</v>
      </c>
      <c r="G916" t="s">
        <v>74</v>
      </c>
      <c r="H916" t="s">
        <v>74</v>
      </c>
      <c r="I916" t="s">
        <v>17810</v>
      </c>
      <c r="J916" t="s">
        <v>17811</v>
      </c>
      <c r="K916" t="s">
        <v>74</v>
      </c>
      <c r="L916" t="s">
        <v>74</v>
      </c>
      <c r="M916" t="s">
        <v>80</v>
      </c>
      <c r="N916" t="s">
        <v>138</v>
      </c>
      <c r="O916" t="s">
        <v>74</v>
      </c>
      <c r="P916" t="s">
        <v>74</v>
      </c>
      <c r="Q916" t="s">
        <v>74</v>
      </c>
      <c r="R916" t="s">
        <v>74</v>
      </c>
      <c r="S916" t="s">
        <v>74</v>
      </c>
      <c r="T916" t="s">
        <v>17812</v>
      </c>
      <c r="U916" t="s">
        <v>17813</v>
      </c>
      <c r="V916" t="s">
        <v>17814</v>
      </c>
      <c r="W916" t="s">
        <v>17815</v>
      </c>
      <c r="X916" t="s">
        <v>17816</v>
      </c>
      <c r="Y916" t="s">
        <v>17817</v>
      </c>
      <c r="Z916" t="s">
        <v>17818</v>
      </c>
      <c r="AA916" t="s">
        <v>17819</v>
      </c>
      <c r="AB916" t="s">
        <v>17820</v>
      </c>
      <c r="AC916" t="s">
        <v>17821</v>
      </c>
      <c r="AD916" t="s">
        <v>17822</v>
      </c>
      <c r="AE916" t="s">
        <v>17823</v>
      </c>
      <c r="AF916" t="s">
        <v>74</v>
      </c>
      <c r="AG916">
        <v>75</v>
      </c>
      <c r="AH916">
        <v>21</v>
      </c>
      <c r="AI916">
        <v>21</v>
      </c>
      <c r="AJ916">
        <v>1</v>
      </c>
      <c r="AK916">
        <v>23</v>
      </c>
      <c r="AL916" t="s">
        <v>709</v>
      </c>
      <c r="AM916" t="s">
        <v>380</v>
      </c>
      <c r="AN916" t="s">
        <v>710</v>
      </c>
      <c r="AO916" t="s">
        <v>17824</v>
      </c>
      <c r="AP916" t="s">
        <v>17825</v>
      </c>
      <c r="AQ916" t="s">
        <v>74</v>
      </c>
      <c r="AR916" t="s">
        <v>17826</v>
      </c>
      <c r="AS916" t="s">
        <v>17827</v>
      </c>
      <c r="AT916" t="s">
        <v>3499</v>
      </c>
      <c r="AU916">
        <v>2019</v>
      </c>
      <c r="AV916">
        <v>237</v>
      </c>
      <c r="AW916" t="s">
        <v>74</v>
      </c>
      <c r="AX916" t="s">
        <v>74</v>
      </c>
      <c r="AY916" t="s">
        <v>74</v>
      </c>
      <c r="AZ916" t="s">
        <v>74</v>
      </c>
      <c r="BA916" t="s">
        <v>74</v>
      </c>
      <c r="BB916">
        <v>514</v>
      </c>
      <c r="BC916">
        <v>524</v>
      </c>
      <c r="BD916" t="s">
        <v>74</v>
      </c>
      <c r="BE916" t="s">
        <v>17828</v>
      </c>
      <c r="BF916" t="str">
        <f>HYPERLINK("http://dx.doi.org/10.1016/j.biocon.2019.06.023","http://dx.doi.org/10.1016/j.biocon.2019.06.023")</f>
        <v>http://dx.doi.org/10.1016/j.biocon.2019.06.023</v>
      </c>
      <c r="BG916" t="s">
        <v>74</v>
      </c>
      <c r="BH916" t="s">
        <v>74</v>
      </c>
      <c r="BI916">
        <v>11</v>
      </c>
      <c r="BJ916" t="s">
        <v>1596</v>
      </c>
      <c r="BK916" t="s">
        <v>294</v>
      </c>
      <c r="BL916" t="s">
        <v>295</v>
      </c>
      <c r="BM916" t="s">
        <v>17829</v>
      </c>
      <c r="BN916" t="s">
        <v>74</v>
      </c>
      <c r="BO916" t="s">
        <v>666</v>
      </c>
      <c r="BP916" t="s">
        <v>74</v>
      </c>
      <c r="BQ916" t="s">
        <v>74</v>
      </c>
      <c r="BR916" t="s">
        <v>108</v>
      </c>
      <c r="BS916" t="s">
        <v>17830</v>
      </c>
      <c r="BT916" t="str">
        <f>HYPERLINK("https%3A%2F%2Fwww.webofscience.com%2Fwos%2Fwoscc%2Ffull-record%2FWOS:000488314700055","View Full Record in Web of Science")</f>
        <v>View Full Record in Web of Science</v>
      </c>
    </row>
    <row r="917" spans="1:72" x14ac:dyDescent="0.15">
      <c r="A917" t="s">
        <v>133</v>
      </c>
      <c r="B917" t="s">
        <v>17831</v>
      </c>
      <c r="C917" t="s">
        <v>74</v>
      </c>
      <c r="D917" t="s">
        <v>74</v>
      </c>
      <c r="E917" t="s">
        <v>74</v>
      </c>
      <c r="F917" t="s">
        <v>17832</v>
      </c>
      <c r="G917" t="s">
        <v>74</v>
      </c>
      <c r="H917" t="s">
        <v>74</v>
      </c>
      <c r="I917" t="s">
        <v>17833</v>
      </c>
      <c r="J917" t="s">
        <v>4473</v>
      </c>
      <c r="K917" t="s">
        <v>74</v>
      </c>
      <c r="L917" t="s">
        <v>74</v>
      </c>
      <c r="M917" t="s">
        <v>80</v>
      </c>
      <c r="N917" t="s">
        <v>138</v>
      </c>
      <c r="O917" t="s">
        <v>74</v>
      </c>
      <c r="P917" t="s">
        <v>74</v>
      </c>
      <c r="Q917" t="s">
        <v>74</v>
      </c>
      <c r="R917" t="s">
        <v>74</v>
      </c>
      <c r="S917" t="s">
        <v>74</v>
      </c>
      <c r="T917" t="s">
        <v>17834</v>
      </c>
      <c r="U917" t="s">
        <v>17835</v>
      </c>
      <c r="V917" t="s">
        <v>17836</v>
      </c>
      <c r="W917" t="s">
        <v>17837</v>
      </c>
      <c r="X917" t="s">
        <v>17838</v>
      </c>
      <c r="Y917" t="s">
        <v>17839</v>
      </c>
      <c r="Z917" t="s">
        <v>17840</v>
      </c>
      <c r="AA917" t="s">
        <v>17841</v>
      </c>
      <c r="AB917" t="s">
        <v>17842</v>
      </c>
      <c r="AC917" t="s">
        <v>17843</v>
      </c>
      <c r="AD917" t="s">
        <v>17844</v>
      </c>
      <c r="AE917" t="s">
        <v>17845</v>
      </c>
      <c r="AF917" t="s">
        <v>74</v>
      </c>
      <c r="AG917">
        <v>56</v>
      </c>
      <c r="AH917">
        <v>3</v>
      </c>
      <c r="AI917">
        <v>3</v>
      </c>
      <c r="AJ917">
        <v>0</v>
      </c>
      <c r="AK917">
        <v>2</v>
      </c>
      <c r="AL917" t="s">
        <v>17846</v>
      </c>
      <c r="AM917" t="s">
        <v>17847</v>
      </c>
      <c r="AN917" t="s">
        <v>17848</v>
      </c>
      <c r="AO917" t="s">
        <v>4489</v>
      </c>
      <c r="AP917" t="s">
        <v>4490</v>
      </c>
      <c r="AQ917" t="s">
        <v>74</v>
      </c>
      <c r="AR917" t="s">
        <v>4491</v>
      </c>
      <c r="AS917" t="s">
        <v>4492</v>
      </c>
      <c r="AT917" t="s">
        <v>3499</v>
      </c>
      <c r="AU917">
        <v>2019</v>
      </c>
      <c r="AV917">
        <v>18</v>
      </c>
      <c r="AW917">
        <v>6</v>
      </c>
      <c r="AX917" t="s">
        <v>74</v>
      </c>
      <c r="AY917" t="s">
        <v>74</v>
      </c>
      <c r="AZ917" t="s">
        <v>74</v>
      </c>
      <c r="BA917" t="s">
        <v>74</v>
      </c>
      <c r="BB917">
        <v>599</v>
      </c>
      <c r="BC917">
        <v>617</v>
      </c>
      <c r="BD917" t="s">
        <v>74</v>
      </c>
      <c r="BE917" t="s">
        <v>17849</v>
      </c>
      <c r="BF917" t="str">
        <f>HYPERLINK("http://dx.doi.org/10.1016/j.crpv.2019.06.003","http://dx.doi.org/10.1016/j.crpv.2019.06.003")</f>
        <v>http://dx.doi.org/10.1016/j.crpv.2019.06.003</v>
      </c>
      <c r="BG917" t="s">
        <v>74</v>
      </c>
      <c r="BH917" t="s">
        <v>74</v>
      </c>
      <c r="BI917">
        <v>19</v>
      </c>
      <c r="BJ917" t="s">
        <v>3501</v>
      </c>
      <c r="BK917" t="s">
        <v>294</v>
      </c>
      <c r="BL917" t="s">
        <v>3501</v>
      </c>
      <c r="BM917" t="s">
        <v>17850</v>
      </c>
      <c r="BN917" t="s">
        <v>74</v>
      </c>
      <c r="BO917" t="s">
        <v>1482</v>
      </c>
      <c r="BP917" t="s">
        <v>74</v>
      </c>
      <c r="BQ917" t="s">
        <v>74</v>
      </c>
      <c r="BR917" t="s">
        <v>108</v>
      </c>
      <c r="BS917" t="s">
        <v>17851</v>
      </c>
      <c r="BT917" t="str">
        <f>HYPERLINK("https%3A%2F%2Fwww.webofscience.com%2Fwos%2Fwoscc%2Ffull-record%2FWOS:000489851900002","View Full Record in Web of Science")</f>
        <v>View Full Record in Web of Science</v>
      </c>
    </row>
    <row r="918" spans="1:72" x14ac:dyDescent="0.15">
      <c r="A918" t="s">
        <v>133</v>
      </c>
      <c r="B918" t="s">
        <v>17852</v>
      </c>
      <c r="C918" t="s">
        <v>74</v>
      </c>
      <c r="D918" t="s">
        <v>74</v>
      </c>
      <c r="E918" t="s">
        <v>74</v>
      </c>
      <c r="F918" t="s">
        <v>17853</v>
      </c>
      <c r="G918" t="s">
        <v>74</v>
      </c>
      <c r="H918" t="s">
        <v>74</v>
      </c>
      <c r="I918" t="s">
        <v>17854</v>
      </c>
      <c r="J918" t="s">
        <v>17855</v>
      </c>
      <c r="K918" t="s">
        <v>74</v>
      </c>
      <c r="L918" t="s">
        <v>74</v>
      </c>
      <c r="M918" t="s">
        <v>80</v>
      </c>
      <c r="N918" t="s">
        <v>138</v>
      </c>
      <c r="O918" t="s">
        <v>74</v>
      </c>
      <c r="P918" t="s">
        <v>74</v>
      </c>
      <c r="Q918" t="s">
        <v>74</v>
      </c>
      <c r="R918" t="s">
        <v>74</v>
      </c>
      <c r="S918" t="s">
        <v>74</v>
      </c>
      <c r="T918" t="s">
        <v>17856</v>
      </c>
      <c r="U918" t="s">
        <v>17857</v>
      </c>
      <c r="V918" t="s">
        <v>17858</v>
      </c>
      <c r="W918" t="s">
        <v>17859</v>
      </c>
      <c r="X918" t="s">
        <v>17860</v>
      </c>
      <c r="Y918" t="s">
        <v>17861</v>
      </c>
      <c r="Z918" t="s">
        <v>17862</v>
      </c>
      <c r="AA918" t="s">
        <v>17863</v>
      </c>
      <c r="AB918" t="s">
        <v>17864</v>
      </c>
      <c r="AC918" t="s">
        <v>17865</v>
      </c>
      <c r="AD918" t="s">
        <v>17866</v>
      </c>
      <c r="AE918" t="s">
        <v>17867</v>
      </c>
      <c r="AF918" t="s">
        <v>74</v>
      </c>
      <c r="AG918">
        <v>65</v>
      </c>
      <c r="AH918">
        <v>3</v>
      </c>
      <c r="AI918">
        <v>3</v>
      </c>
      <c r="AJ918">
        <v>1</v>
      </c>
      <c r="AK918">
        <v>9</v>
      </c>
      <c r="AL918" t="s">
        <v>683</v>
      </c>
      <c r="AM918" t="s">
        <v>684</v>
      </c>
      <c r="AN918" t="s">
        <v>685</v>
      </c>
      <c r="AO918" t="s">
        <v>74</v>
      </c>
      <c r="AP918" t="s">
        <v>17868</v>
      </c>
      <c r="AQ918" t="s">
        <v>74</v>
      </c>
      <c r="AR918" t="s">
        <v>17869</v>
      </c>
      <c r="AS918" t="s">
        <v>17870</v>
      </c>
      <c r="AT918" t="s">
        <v>3499</v>
      </c>
      <c r="AU918">
        <v>2019</v>
      </c>
      <c r="AV918">
        <v>21</v>
      </c>
      <c r="AW918">
        <v>9</v>
      </c>
      <c r="AX918" t="s">
        <v>74</v>
      </c>
      <c r="AY918" t="s">
        <v>74</v>
      </c>
      <c r="AZ918" t="s">
        <v>74</v>
      </c>
      <c r="BA918" t="s">
        <v>74</v>
      </c>
      <c r="BB918" t="s">
        <v>74</v>
      </c>
      <c r="BC918" t="s">
        <v>74</v>
      </c>
      <c r="BD918">
        <v>893</v>
      </c>
      <c r="BE918" t="s">
        <v>17871</v>
      </c>
      <c r="BF918" t="str">
        <f>HYPERLINK("http://dx.doi.org/10.3390/e21090893","http://dx.doi.org/10.3390/e21090893")</f>
        <v>http://dx.doi.org/10.3390/e21090893</v>
      </c>
      <c r="BG918" t="s">
        <v>74</v>
      </c>
      <c r="BH918" t="s">
        <v>74</v>
      </c>
      <c r="BI918">
        <v>15</v>
      </c>
      <c r="BJ918" t="s">
        <v>15354</v>
      </c>
      <c r="BK918" t="s">
        <v>294</v>
      </c>
      <c r="BL918" t="s">
        <v>7968</v>
      </c>
      <c r="BM918" t="s">
        <v>17872</v>
      </c>
      <c r="BN918" t="s">
        <v>74</v>
      </c>
      <c r="BO918" t="s">
        <v>693</v>
      </c>
      <c r="BP918" t="s">
        <v>74</v>
      </c>
      <c r="BQ918" t="s">
        <v>74</v>
      </c>
      <c r="BR918" t="s">
        <v>108</v>
      </c>
      <c r="BS918" t="s">
        <v>17873</v>
      </c>
      <c r="BT918" t="str">
        <f>HYPERLINK("https%3A%2F%2Fwww.webofscience.com%2Fwos%2Fwoscc%2Ffull-record%2FWOS:000489176800077","View Full Record in Web of Science")</f>
        <v>View Full Record in Web of Science</v>
      </c>
    </row>
    <row r="919" spans="1:72" x14ac:dyDescent="0.15">
      <c r="A919" t="s">
        <v>133</v>
      </c>
      <c r="B919" t="s">
        <v>17874</v>
      </c>
      <c r="C919" t="s">
        <v>74</v>
      </c>
      <c r="D919" t="s">
        <v>74</v>
      </c>
      <c r="E919" t="s">
        <v>74</v>
      </c>
      <c r="F919" t="s">
        <v>17875</v>
      </c>
      <c r="G919" t="s">
        <v>74</v>
      </c>
      <c r="H919" t="s">
        <v>74</v>
      </c>
      <c r="I919" t="s">
        <v>17876</v>
      </c>
      <c r="J919" t="s">
        <v>17877</v>
      </c>
      <c r="K919" t="s">
        <v>74</v>
      </c>
      <c r="L919" t="s">
        <v>74</v>
      </c>
      <c r="M919" t="s">
        <v>80</v>
      </c>
      <c r="N919" t="s">
        <v>138</v>
      </c>
      <c r="O919" t="s">
        <v>74</v>
      </c>
      <c r="P919" t="s">
        <v>74</v>
      </c>
      <c r="Q919" t="s">
        <v>74</v>
      </c>
      <c r="R919" t="s">
        <v>74</v>
      </c>
      <c r="S919" t="s">
        <v>74</v>
      </c>
      <c r="T919" t="s">
        <v>17878</v>
      </c>
      <c r="U919" t="s">
        <v>17879</v>
      </c>
      <c r="V919" t="s">
        <v>17880</v>
      </c>
      <c r="W919" t="s">
        <v>17881</v>
      </c>
      <c r="X919" t="s">
        <v>17882</v>
      </c>
      <c r="Y919" t="s">
        <v>17883</v>
      </c>
      <c r="Z919" t="s">
        <v>17884</v>
      </c>
      <c r="AA919" t="s">
        <v>17885</v>
      </c>
      <c r="AB919" t="s">
        <v>17886</v>
      </c>
      <c r="AC919" t="s">
        <v>17887</v>
      </c>
      <c r="AD919" t="s">
        <v>17888</v>
      </c>
      <c r="AE919" t="s">
        <v>17889</v>
      </c>
      <c r="AF919" t="s">
        <v>74</v>
      </c>
      <c r="AG919">
        <v>70</v>
      </c>
      <c r="AH919">
        <v>47</v>
      </c>
      <c r="AI919">
        <v>52</v>
      </c>
      <c r="AJ919">
        <v>9</v>
      </c>
      <c r="AK919">
        <v>62</v>
      </c>
      <c r="AL919" t="s">
        <v>578</v>
      </c>
      <c r="AM919" t="s">
        <v>380</v>
      </c>
      <c r="AN919" t="s">
        <v>579</v>
      </c>
      <c r="AO919" t="s">
        <v>17890</v>
      </c>
      <c r="AP919" t="s">
        <v>17891</v>
      </c>
      <c r="AQ919" t="s">
        <v>74</v>
      </c>
      <c r="AR919" t="s">
        <v>17892</v>
      </c>
      <c r="AS919" t="s">
        <v>17893</v>
      </c>
      <c r="AT919" t="s">
        <v>3499</v>
      </c>
      <c r="AU919">
        <v>2019</v>
      </c>
      <c r="AV919">
        <v>95</v>
      </c>
      <c r="AW919">
        <v>9</v>
      </c>
      <c r="AX919" t="s">
        <v>74</v>
      </c>
      <c r="AY919" t="s">
        <v>74</v>
      </c>
      <c r="AZ919" t="s">
        <v>74</v>
      </c>
      <c r="BA919" t="s">
        <v>74</v>
      </c>
      <c r="BB919" t="s">
        <v>74</v>
      </c>
      <c r="BC919" t="s">
        <v>74</v>
      </c>
      <c r="BD919" t="s">
        <v>17894</v>
      </c>
      <c r="BE919" t="s">
        <v>17895</v>
      </c>
      <c r="BF919" t="str">
        <f>HYPERLINK("http://dx.doi.org/10.1093/femsec/fiz128","http://dx.doi.org/10.1093/femsec/fiz128")</f>
        <v>http://dx.doi.org/10.1093/femsec/fiz128</v>
      </c>
      <c r="BG919" t="s">
        <v>74</v>
      </c>
      <c r="BH919" t="s">
        <v>74</v>
      </c>
      <c r="BI919">
        <v>13</v>
      </c>
      <c r="BJ919" t="s">
        <v>1713</v>
      </c>
      <c r="BK919" t="s">
        <v>294</v>
      </c>
      <c r="BL919" t="s">
        <v>1713</v>
      </c>
      <c r="BM919" t="s">
        <v>17896</v>
      </c>
      <c r="BN919">
        <v>31429869</v>
      </c>
      <c r="BO919" t="s">
        <v>17897</v>
      </c>
      <c r="BP919" t="s">
        <v>74</v>
      </c>
      <c r="BQ919" t="s">
        <v>74</v>
      </c>
      <c r="BR919" t="s">
        <v>108</v>
      </c>
      <c r="BS919" t="s">
        <v>17898</v>
      </c>
      <c r="BT919" t="str">
        <f>HYPERLINK("https%3A%2F%2Fwww.webofscience.com%2Fwos%2Fwoscc%2Ffull-record%2FWOS:000489713400011","View Full Record in Web of Science")</f>
        <v>View Full Record in Web of Science</v>
      </c>
    </row>
    <row r="920" spans="1:72" x14ac:dyDescent="0.15">
      <c r="A920" t="s">
        <v>133</v>
      </c>
      <c r="B920" t="s">
        <v>17899</v>
      </c>
      <c r="C920" t="s">
        <v>74</v>
      </c>
      <c r="D920" t="s">
        <v>74</v>
      </c>
      <c r="E920" t="s">
        <v>74</v>
      </c>
      <c r="F920" t="s">
        <v>17900</v>
      </c>
      <c r="G920" t="s">
        <v>74</v>
      </c>
      <c r="H920" t="s">
        <v>74</v>
      </c>
      <c r="I920" t="s">
        <v>17901</v>
      </c>
      <c r="J920" t="s">
        <v>17902</v>
      </c>
      <c r="K920" t="s">
        <v>74</v>
      </c>
      <c r="L920" t="s">
        <v>74</v>
      </c>
      <c r="M920" t="s">
        <v>80</v>
      </c>
      <c r="N920" t="s">
        <v>3200</v>
      </c>
      <c r="O920" t="s">
        <v>74</v>
      </c>
      <c r="P920" t="s">
        <v>74</v>
      </c>
      <c r="Q920" t="s">
        <v>74</v>
      </c>
      <c r="R920" t="s">
        <v>74</v>
      </c>
      <c r="S920" t="s">
        <v>74</v>
      </c>
      <c r="T920" t="s">
        <v>17903</v>
      </c>
      <c r="U920" t="s">
        <v>17904</v>
      </c>
      <c r="V920" t="s">
        <v>17905</v>
      </c>
      <c r="W920" t="s">
        <v>17906</v>
      </c>
      <c r="X920" t="s">
        <v>17907</v>
      </c>
      <c r="Y920" t="s">
        <v>17908</v>
      </c>
      <c r="Z920" t="s">
        <v>17909</v>
      </c>
      <c r="AA920" t="s">
        <v>17910</v>
      </c>
      <c r="AB920" t="s">
        <v>17911</v>
      </c>
      <c r="AC920" t="s">
        <v>17912</v>
      </c>
      <c r="AD920" t="s">
        <v>17913</v>
      </c>
      <c r="AE920" t="s">
        <v>17914</v>
      </c>
      <c r="AF920" t="s">
        <v>74</v>
      </c>
      <c r="AG920">
        <v>119</v>
      </c>
      <c r="AH920">
        <v>10</v>
      </c>
      <c r="AI920">
        <v>14</v>
      </c>
      <c r="AJ920">
        <v>6</v>
      </c>
      <c r="AK920">
        <v>72</v>
      </c>
      <c r="AL920" t="s">
        <v>578</v>
      </c>
      <c r="AM920" t="s">
        <v>380</v>
      </c>
      <c r="AN920" t="s">
        <v>579</v>
      </c>
      <c r="AO920" t="s">
        <v>17915</v>
      </c>
      <c r="AP920" t="s">
        <v>74</v>
      </c>
      <c r="AQ920" t="s">
        <v>74</v>
      </c>
      <c r="AR920" t="s">
        <v>17902</v>
      </c>
      <c r="AS920" t="s">
        <v>17916</v>
      </c>
      <c r="AT920" t="s">
        <v>3499</v>
      </c>
      <c r="AU920">
        <v>2019</v>
      </c>
      <c r="AV920">
        <v>8</v>
      </c>
      <c r="AW920">
        <v>9</v>
      </c>
      <c r="AX920" t="s">
        <v>74</v>
      </c>
      <c r="AY920" t="s">
        <v>74</v>
      </c>
      <c r="AZ920" t="s">
        <v>74</v>
      </c>
      <c r="BA920" t="s">
        <v>74</v>
      </c>
      <c r="BB920" t="s">
        <v>74</v>
      </c>
      <c r="BC920" t="s">
        <v>74</v>
      </c>
      <c r="BD920" t="s">
        <v>17917</v>
      </c>
      <c r="BE920" t="s">
        <v>17918</v>
      </c>
      <c r="BF920" t="str">
        <f>HYPERLINK("http://dx.doi.org/10.1093/gigascience/giz117","http://dx.doi.org/10.1093/gigascience/giz117")</f>
        <v>http://dx.doi.org/10.1093/gigascience/giz117</v>
      </c>
      <c r="BG920" t="s">
        <v>74</v>
      </c>
      <c r="BH920" t="s">
        <v>74</v>
      </c>
      <c r="BI920">
        <v>17</v>
      </c>
      <c r="BJ920" t="s">
        <v>6571</v>
      </c>
      <c r="BK920" t="s">
        <v>294</v>
      </c>
      <c r="BL920" t="s">
        <v>6572</v>
      </c>
      <c r="BM920" t="s">
        <v>17919</v>
      </c>
      <c r="BN920">
        <v>31531675</v>
      </c>
      <c r="BO920" t="s">
        <v>1791</v>
      </c>
      <c r="BP920" t="s">
        <v>74</v>
      </c>
      <c r="BQ920" t="s">
        <v>74</v>
      </c>
      <c r="BR920" t="s">
        <v>108</v>
      </c>
      <c r="BS920" t="s">
        <v>17920</v>
      </c>
      <c r="BT920" t="str">
        <f>HYPERLINK("https%3A%2F%2Fwww.webofscience.com%2Fwos%2Fwoscc%2Ffull-record%2FWOS:000489271100012","View Full Record in Web of Science")</f>
        <v>View Full Record in Web of Science</v>
      </c>
    </row>
    <row r="921" spans="1:72" x14ac:dyDescent="0.15">
      <c r="A921" t="s">
        <v>133</v>
      </c>
      <c r="B921" t="s">
        <v>17921</v>
      </c>
      <c r="C921" t="s">
        <v>74</v>
      </c>
      <c r="D921" t="s">
        <v>74</v>
      </c>
      <c r="E921" t="s">
        <v>74</v>
      </c>
      <c r="F921" t="s">
        <v>17922</v>
      </c>
      <c r="G921" t="s">
        <v>74</v>
      </c>
      <c r="H921" t="s">
        <v>74</v>
      </c>
      <c r="I921" t="s">
        <v>17923</v>
      </c>
      <c r="J921" t="s">
        <v>3420</v>
      </c>
      <c r="K921" t="s">
        <v>74</v>
      </c>
      <c r="L921" t="s">
        <v>74</v>
      </c>
      <c r="M921" t="s">
        <v>80</v>
      </c>
      <c r="N921" t="s">
        <v>138</v>
      </c>
      <c r="O921" t="s">
        <v>74</v>
      </c>
      <c r="P921" t="s">
        <v>74</v>
      </c>
      <c r="Q921" t="s">
        <v>74</v>
      </c>
      <c r="R921" t="s">
        <v>74</v>
      </c>
      <c r="S921" t="s">
        <v>74</v>
      </c>
      <c r="T921" t="s">
        <v>17924</v>
      </c>
      <c r="U921" t="s">
        <v>17925</v>
      </c>
      <c r="V921" t="s">
        <v>17926</v>
      </c>
      <c r="W921" t="s">
        <v>17927</v>
      </c>
      <c r="X921" t="s">
        <v>17928</v>
      </c>
      <c r="Y921" t="s">
        <v>17929</v>
      </c>
      <c r="Z921" t="s">
        <v>17930</v>
      </c>
      <c r="AA921" t="s">
        <v>17931</v>
      </c>
      <c r="AB921" t="s">
        <v>74</v>
      </c>
      <c r="AC921" t="s">
        <v>17932</v>
      </c>
      <c r="AD921" t="s">
        <v>17933</v>
      </c>
      <c r="AE921" t="s">
        <v>17934</v>
      </c>
      <c r="AF921" t="s">
        <v>74</v>
      </c>
      <c r="AG921">
        <v>44</v>
      </c>
      <c r="AH921">
        <v>8</v>
      </c>
      <c r="AI921">
        <v>10</v>
      </c>
      <c r="AJ921">
        <v>1</v>
      </c>
      <c r="AK921">
        <v>24</v>
      </c>
      <c r="AL921" t="s">
        <v>683</v>
      </c>
      <c r="AM921" t="s">
        <v>684</v>
      </c>
      <c r="AN921" t="s">
        <v>685</v>
      </c>
      <c r="AO921" t="s">
        <v>74</v>
      </c>
      <c r="AP921" t="s">
        <v>3432</v>
      </c>
      <c r="AQ921" t="s">
        <v>74</v>
      </c>
      <c r="AR921" t="s">
        <v>3433</v>
      </c>
      <c r="AS921" t="s">
        <v>3434</v>
      </c>
      <c r="AT921" t="s">
        <v>3499</v>
      </c>
      <c r="AU921">
        <v>2019</v>
      </c>
      <c r="AV921">
        <v>11</v>
      </c>
      <c r="AW921">
        <v>18</v>
      </c>
      <c r="AX921" t="s">
        <v>74</v>
      </c>
      <c r="AY921" t="s">
        <v>74</v>
      </c>
      <c r="AZ921" t="s">
        <v>74</v>
      </c>
      <c r="BA921" t="s">
        <v>74</v>
      </c>
      <c r="BB921" t="s">
        <v>74</v>
      </c>
      <c r="BC921" t="s">
        <v>74</v>
      </c>
      <c r="BD921">
        <v>2158</v>
      </c>
      <c r="BE921" t="s">
        <v>17935</v>
      </c>
      <c r="BF921" t="str">
        <f>HYPERLINK("http://dx.doi.org/10.3390/rs11182158","http://dx.doi.org/10.3390/rs11182158")</f>
        <v>http://dx.doi.org/10.3390/rs11182158</v>
      </c>
      <c r="BG921" t="s">
        <v>74</v>
      </c>
      <c r="BH921" t="s">
        <v>74</v>
      </c>
      <c r="BI921">
        <v>23</v>
      </c>
      <c r="BJ921" t="s">
        <v>3436</v>
      </c>
      <c r="BK921" t="s">
        <v>294</v>
      </c>
      <c r="BL921" t="s">
        <v>3437</v>
      </c>
      <c r="BM921" t="s">
        <v>17936</v>
      </c>
      <c r="BN921" t="s">
        <v>74</v>
      </c>
      <c r="BO921" t="s">
        <v>2934</v>
      </c>
      <c r="BP921" t="s">
        <v>74</v>
      </c>
      <c r="BQ921" t="s">
        <v>74</v>
      </c>
      <c r="BR921" t="s">
        <v>108</v>
      </c>
      <c r="BS921" t="s">
        <v>17937</v>
      </c>
      <c r="BT921" t="str">
        <f>HYPERLINK("https%3A%2F%2Fwww.webofscience.com%2Fwos%2Fwoscc%2Ffull-record%2FWOS:000489101500088","View Full Record in Web of Science")</f>
        <v>View Full Record in Web of Science</v>
      </c>
    </row>
    <row r="922" spans="1:72" x14ac:dyDescent="0.15">
      <c r="A922" t="s">
        <v>133</v>
      </c>
      <c r="B922" t="s">
        <v>17938</v>
      </c>
      <c r="C922" t="s">
        <v>74</v>
      </c>
      <c r="D922" t="s">
        <v>74</v>
      </c>
      <c r="E922" t="s">
        <v>74</v>
      </c>
      <c r="F922" t="s">
        <v>17939</v>
      </c>
      <c r="G922" t="s">
        <v>74</v>
      </c>
      <c r="H922" t="s">
        <v>74</v>
      </c>
      <c r="I922" t="s">
        <v>17940</v>
      </c>
      <c r="J922" t="s">
        <v>4109</v>
      </c>
      <c r="K922" t="s">
        <v>74</v>
      </c>
      <c r="L922" t="s">
        <v>74</v>
      </c>
      <c r="M922" t="s">
        <v>80</v>
      </c>
      <c r="N922" t="s">
        <v>138</v>
      </c>
      <c r="O922" t="s">
        <v>74</v>
      </c>
      <c r="P922" t="s">
        <v>74</v>
      </c>
      <c r="Q922" t="s">
        <v>74</v>
      </c>
      <c r="R922" t="s">
        <v>74</v>
      </c>
      <c r="S922" t="s">
        <v>74</v>
      </c>
      <c r="T922" t="s">
        <v>17941</v>
      </c>
      <c r="U922" t="s">
        <v>17942</v>
      </c>
      <c r="V922" t="s">
        <v>17943</v>
      </c>
      <c r="W922" t="s">
        <v>17944</v>
      </c>
      <c r="X922" t="s">
        <v>17945</v>
      </c>
      <c r="Y922" t="s">
        <v>17946</v>
      </c>
      <c r="Z922" t="s">
        <v>8806</v>
      </c>
      <c r="AA922" t="s">
        <v>17947</v>
      </c>
      <c r="AB922" t="s">
        <v>17948</v>
      </c>
      <c r="AC922" t="s">
        <v>17949</v>
      </c>
      <c r="AD922" t="s">
        <v>17950</v>
      </c>
      <c r="AE922" t="s">
        <v>17951</v>
      </c>
      <c r="AF922" t="s">
        <v>74</v>
      </c>
      <c r="AG922">
        <v>117</v>
      </c>
      <c r="AH922">
        <v>16</v>
      </c>
      <c r="AI922">
        <v>17</v>
      </c>
      <c r="AJ922">
        <v>0</v>
      </c>
      <c r="AK922">
        <v>9</v>
      </c>
      <c r="AL922" t="s">
        <v>683</v>
      </c>
      <c r="AM922" t="s">
        <v>684</v>
      </c>
      <c r="AN922" t="s">
        <v>685</v>
      </c>
      <c r="AO922" t="s">
        <v>74</v>
      </c>
      <c r="AP922" t="s">
        <v>4122</v>
      </c>
      <c r="AQ922" t="s">
        <v>74</v>
      </c>
      <c r="AR922" t="s">
        <v>4109</v>
      </c>
      <c r="AS922" t="s">
        <v>4123</v>
      </c>
      <c r="AT922" t="s">
        <v>3499</v>
      </c>
      <c r="AU922">
        <v>2019</v>
      </c>
      <c r="AV922">
        <v>7</v>
      </c>
      <c r="AW922">
        <v>9</v>
      </c>
      <c r="AX922" t="s">
        <v>74</v>
      </c>
      <c r="AY922" t="s">
        <v>74</v>
      </c>
      <c r="AZ922" t="s">
        <v>74</v>
      </c>
      <c r="BA922" t="s">
        <v>74</v>
      </c>
      <c r="BB922" t="s">
        <v>74</v>
      </c>
      <c r="BC922" t="s">
        <v>74</v>
      </c>
      <c r="BD922">
        <v>333</v>
      </c>
      <c r="BE922" t="s">
        <v>17952</v>
      </c>
      <c r="BF922" t="str">
        <f>HYPERLINK("http://dx.doi.org/10.3390/microorganisms7090333","http://dx.doi.org/10.3390/microorganisms7090333")</f>
        <v>http://dx.doi.org/10.3390/microorganisms7090333</v>
      </c>
      <c r="BG922" t="s">
        <v>74</v>
      </c>
      <c r="BH922" t="s">
        <v>74</v>
      </c>
      <c r="BI922">
        <v>25</v>
      </c>
      <c r="BJ922" t="s">
        <v>1713</v>
      </c>
      <c r="BK922" t="s">
        <v>294</v>
      </c>
      <c r="BL922" t="s">
        <v>1713</v>
      </c>
      <c r="BM922" t="s">
        <v>17953</v>
      </c>
      <c r="BN922">
        <v>31505750</v>
      </c>
      <c r="BO922" t="s">
        <v>693</v>
      </c>
      <c r="BP922" t="s">
        <v>74</v>
      </c>
      <c r="BQ922" t="s">
        <v>74</v>
      </c>
      <c r="BR922" t="s">
        <v>108</v>
      </c>
      <c r="BS922" t="s">
        <v>17954</v>
      </c>
      <c r="BT922" t="str">
        <f>HYPERLINK("https%3A%2F%2Fwww.webofscience.com%2Fwos%2Fwoscc%2Ffull-record%2FWOS:000489131300060","View Full Record in Web of Science")</f>
        <v>View Full Record in Web of Science</v>
      </c>
    </row>
    <row r="923" spans="1:72" x14ac:dyDescent="0.15">
      <c r="A923" t="s">
        <v>133</v>
      </c>
      <c r="B923" t="s">
        <v>17955</v>
      </c>
      <c r="C923" t="s">
        <v>74</v>
      </c>
      <c r="D923" t="s">
        <v>74</v>
      </c>
      <c r="E923" t="s">
        <v>74</v>
      </c>
      <c r="F923" t="s">
        <v>17956</v>
      </c>
      <c r="G923" t="s">
        <v>74</v>
      </c>
      <c r="H923" t="s">
        <v>74</v>
      </c>
      <c r="I923" t="s">
        <v>17957</v>
      </c>
      <c r="J923" t="s">
        <v>9841</v>
      </c>
      <c r="K923" t="s">
        <v>74</v>
      </c>
      <c r="L923" t="s">
        <v>74</v>
      </c>
      <c r="M923" t="s">
        <v>80</v>
      </c>
      <c r="N923" t="s">
        <v>138</v>
      </c>
      <c r="O923" t="s">
        <v>74</v>
      </c>
      <c r="P923" t="s">
        <v>74</v>
      </c>
      <c r="Q923" t="s">
        <v>74</v>
      </c>
      <c r="R923" t="s">
        <v>74</v>
      </c>
      <c r="S923" t="s">
        <v>74</v>
      </c>
      <c r="T923" t="s">
        <v>17958</v>
      </c>
      <c r="U923" t="s">
        <v>17959</v>
      </c>
      <c r="V923" t="s">
        <v>17960</v>
      </c>
      <c r="W923" t="s">
        <v>17961</v>
      </c>
      <c r="X923" t="s">
        <v>17962</v>
      </c>
      <c r="Y923" t="s">
        <v>17963</v>
      </c>
      <c r="Z923" t="s">
        <v>17964</v>
      </c>
      <c r="AA923" t="s">
        <v>17965</v>
      </c>
      <c r="AB923" t="s">
        <v>17966</v>
      </c>
      <c r="AC923" t="s">
        <v>17967</v>
      </c>
      <c r="AD923" t="s">
        <v>17968</v>
      </c>
      <c r="AE923" t="s">
        <v>17969</v>
      </c>
      <c r="AF923" t="s">
        <v>74</v>
      </c>
      <c r="AG923">
        <v>29</v>
      </c>
      <c r="AH923">
        <v>3</v>
      </c>
      <c r="AI923">
        <v>4</v>
      </c>
      <c r="AJ923">
        <v>2</v>
      </c>
      <c r="AK923">
        <v>10</v>
      </c>
      <c r="AL923" t="s">
        <v>3717</v>
      </c>
      <c r="AM923" t="s">
        <v>3718</v>
      </c>
      <c r="AN923" t="s">
        <v>3719</v>
      </c>
      <c r="AO923" t="s">
        <v>9854</v>
      </c>
      <c r="AP923" t="s">
        <v>9855</v>
      </c>
      <c r="AQ923" t="s">
        <v>74</v>
      </c>
      <c r="AR923" t="s">
        <v>9856</v>
      </c>
      <c r="AS923" t="s">
        <v>9857</v>
      </c>
      <c r="AT923" t="s">
        <v>3499</v>
      </c>
      <c r="AU923">
        <v>2019</v>
      </c>
      <c r="AV923">
        <v>44</v>
      </c>
      <c r="AW923">
        <v>9</v>
      </c>
      <c r="AX923" t="s">
        <v>74</v>
      </c>
      <c r="AY923" t="s">
        <v>74</v>
      </c>
      <c r="AZ923" t="s">
        <v>74</v>
      </c>
      <c r="BA923" t="s">
        <v>74</v>
      </c>
      <c r="BB923">
        <v>579</v>
      </c>
      <c r="BC923">
        <v>587</v>
      </c>
      <c r="BD923" t="s">
        <v>74</v>
      </c>
      <c r="BE923" t="s">
        <v>17970</v>
      </c>
      <c r="BF923" t="str">
        <f>HYPERLINK("http://dx.doi.org/10.3103/S1068373919090012","http://dx.doi.org/10.3103/S1068373919090012")</f>
        <v>http://dx.doi.org/10.3103/S1068373919090012</v>
      </c>
      <c r="BG923" t="s">
        <v>74</v>
      </c>
      <c r="BH923" t="s">
        <v>74</v>
      </c>
      <c r="BI923">
        <v>9</v>
      </c>
      <c r="BJ923" t="s">
        <v>1024</v>
      </c>
      <c r="BK923" t="s">
        <v>294</v>
      </c>
      <c r="BL923" t="s">
        <v>1024</v>
      </c>
      <c r="BM923" t="s">
        <v>17971</v>
      </c>
      <c r="BN923" t="s">
        <v>74</v>
      </c>
      <c r="BO923" t="s">
        <v>74</v>
      </c>
      <c r="BP923" t="s">
        <v>74</v>
      </c>
      <c r="BQ923" t="s">
        <v>74</v>
      </c>
      <c r="BR923" t="s">
        <v>108</v>
      </c>
      <c r="BS923" t="s">
        <v>17972</v>
      </c>
      <c r="BT923" t="str">
        <f>HYPERLINK("https%3A%2F%2Fwww.webofscience.com%2Fwos%2Fwoscc%2Ffull-record%2FWOS:000488928200001","View Full Record in Web of Science")</f>
        <v>View Full Record in Web of Science</v>
      </c>
    </row>
    <row r="924" spans="1:72" x14ac:dyDescent="0.15">
      <c r="A924" t="s">
        <v>133</v>
      </c>
      <c r="B924" t="s">
        <v>17973</v>
      </c>
      <c r="C924" t="s">
        <v>74</v>
      </c>
      <c r="D924" t="s">
        <v>74</v>
      </c>
      <c r="E924" t="s">
        <v>74</v>
      </c>
      <c r="F924" t="s">
        <v>17974</v>
      </c>
      <c r="G924" t="s">
        <v>74</v>
      </c>
      <c r="H924" t="s">
        <v>74</v>
      </c>
      <c r="I924" t="s">
        <v>17975</v>
      </c>
      <c r="J924" t="s">
        <v>17976</v>
      </c>
      <c r="K924" t="s">
        <v>74</v>
      </c>
      <c r="L924" t="s">
        <v>74</v>
      </c>
      <c r="M924" t="s">
        <v>80</v>
      </c>
      <c r="N924" t="s">
        <v>138</v>
      </c>
      <c r="O924" t="s">
        <v>74</v>
      </c>
      <c r="P924" t="s">
        <v>74</v>
      </c>
      <c r="Q924" t="s">
        <v>74</v>
      </c>
      <c r="R924" t="s">
        <v>74</v>
      </c>
      <c r="S924" t="s">
        <v>74</v>
      </c>
      <c r="T924" t="s">
        <v>17977</v>
      </c>
      <c r="U924" t="s">
        <v>17978</v>
      </c>
      <c r="V924" t="s">
        <v>17979</v>
      </c>
      <c r="W924" t="s">
        <v>17980</v>
      </c>
      <c r="X924" t="s">
        <v>17981</v>
      </c>
      <c r="Y924" t="s">
        <v>17982</v>
      </c>
      <c r="Z924" t="s">
        <v>17983</v>
      </c>
      <c r="AA924" t="s">
        <v>17984</v>
      </c>
      <c r="AB924" t="s">
        <v>17985</v>
      </c>
      <c r="AC924" t="s">
        <v>17986</v>
      </c>
      <c r="AD924" t="s">
        <v>17987</v>
      </c>
      <c r="AE924" t="s">
        <v>17988</v>
      </c>
      <c r="AF924" t="s">
        <v>74</v>
      </c>
      <c r="AG924">
        <v>25</v>
      </c>
      <c r="AH924">
        <v>11</v>
      </c>
      <c r="AI924">
        <v>11</v>
      </c>
      <c r="AJ924">
        <v>0</v>
      </c>
      <c r="AK924">
        <v>1</v>
      </c>
      <c r="AL924" t="s">
        <v>1729</v>
      </c>
      <c r="AM924" t="s">
        <v>1730</v>
      </c>
      <c r="AN924" t="s">
        <v>1731</v>
      </c>
      <c r="AO924" t="s">
        <v>17989</v>
      </c>
      <c r="AP924" t="s">
        <v>17990</v>
      </c>
      <c r="AQ924" t="s">
        <v>74</v>
      </c>
      <c r="AR924" t="s">
        <v>17991</v>
      </c>
      <c r="AS924" t="s">
        <v>17992</v>
      </c>
      <c r="AT924" t="s">
        <v>3499</v>
      </c>
      <c r="AU924">
        <v>2019</v>
      </c>
      <c r="AV924">
        <v>15</v>
      </c>
      <c r="AW924">
        <v>9</v>
      </c>
      <c r="AX924" t="s">
        <v>74</v>
      </c>
      <c r="AY924" t="s">
        <v>74</v>
      </c>
      <c r="AZ924" t="s">
        <v>74</v>
      </c>
      <c r="BA924" t="s">
        <v>74</v>
      </c>
      <c r="BB924" t="s">
        <v>74</v>
      </c>
      <c r="BC924" t="s">
        <v>74</v>
      </c>
      <c r="BD924">
        <v>20190279</v>
      </c>
      <c r="BE924" t="s">
        <v>17993</v>
      </c>
      <c r="BF924" t="str">
        <f>HYPERLINK("http://dx.doi.org/10.1098/rsbl.2019.0279","http://dx.doi.org/10.1098/rsbl.2019.0279")</f>
        <v>http://dx.doi.org/10.1098/rsbl.2019.0279</v>
      </c>
      <c r="BG924" t="s">
        <v>74</v>
      </c>
      <c r="BH924" t="s">
        <v>74</v>
      </c>
      <c r="BI924">
        <v>5</v>
      </c>
      <c r="BJ924" t="s">
        <v>17994</v>
      </c>
      <c r="BK924" t="s">
        <v>294</v>
      </c>
      <c r="BL924" t="s">
        <v>17995</v>
      </c>
      <c r="BM924" t="s">
        <v>17996</v>
      </c>
      <c r="BN924">
        <v>31480936</v>
      </c>
      <c r="BO924" t="s">
        <v>1740</v>
      </c>
      <c r="BP924" t="s">
        <v>74</v>
      </c>
      <c r="BQ924" t="s">
        <v>74</v>
      </c>
      <c r="BR924" t="s">
        <v>108</v>
      </c>
      <c r="BS924" t="s">
        <v>17997</v>
      </c>
      <c r="BT924" t="str">
        <f>HYPERLINK("https%3A%2F%2Fwww.webofscience.com%2Fwos%2Fwoscc%2Ffull-record%2FWOS:000488576000004","View Full Record in Web of Science")</f>
        <v>View Full Record in Web of Science</v>
      </c>
    </row>
    <row r="925" spans="1:72" x14ac:dyDescent="0.15">
      <c r="A925" t="s">
        <v>133</v>
      </c>
      <c r="B925" t="s">
        <v>17998</v>
      </c>
      <c r="C925" t="s">
        <v>74</v>
      </c>
      <c r="D925" t="s">
        <v>74</v>
      </c>
      <c r="E925" t="s">
        <v>74</v>
      </c>
      <c r="F925" t="s">
        <v>17999</v>
      </c>
      <c r="G925" t="s">
        <v>74</v>
      </c>
      <c r="H925" t="s">
        <v>74</v>
      </c>
      <c r="I925" t="s">
        <v>18000</v>
      </c>
      <c r="J925" t="s">
        <v>4239</v>
      </c>
      <c r="K925" t="s">
        <v>74</v>
      </c>
      <c r="L925" t="s">
        <v>74</v>
      </c>
      <c r="M925" t="s">
        <v>80</v>
      </c>
      <c r="N925" t="s">
        <v>138</v>
      </c>
      <c r="O925" t="s">
        <v>74</v>
      </c>
      <c r="P925" t="s">
        <v>74</v>
      </c>
      <c r="Q925" t="s">
        <v>74</v>
      </c>
      <c r="R925" t="s">
        <v>74</v>
      </c>
      <c r="S925" t="s">
        <v>74</v>
      </c>
      <c r="T925" t="s">
        <v>18001</v>
      </c>
      <c r="U925" t="s">
        <v>18002</v>
      </c>
      <c r="V925" t="s">
        <v>18003</v>
      </c>
      <c r="W925" t="s">
        <v>18004</v>
      </c>
      <c r="X925" t="s">
        <v>18005</v>
      </c>
      <c r="Y925" t="s">
        <v>18006</v>
      </c>
      <c r="Z925" t="s">
        <v>18007</v>
      </c>
      <c r="AA925" t="s">
        <v>18008</v>
      </c>
      <c r="AB925" t="s">
        <v>18009</v>
      </c>
      <c r="AC925" t="s">
        <v>18010</v>
      </c>
      <c r="AD925" t="s">
        <v>18011</v>
      </c>
      <c r="AE925" t="s">
        <v>18012</v>
      </c>
      <c r="AF925" t="s">
        <v>74</v>
      </c>
      <c r="AG925">
        <v>65</v>
      </c>
      <c r="AH925">
        <v>4</v>
      </c>
      <c r="AI925">
        <v>5</v>
      </c>
      <c r="AJ925">
        <v>1</v>
      </c>
      <c r="AK925">
        <v>4</v>
      </c>
      <c r="AL925" t="s">
        <v>683</v>
      </c>
      <c r="AM925" t="s">
        <v>684</v>
      </c>
      <c r="AN925" t="s">
        <v>685</v>
      </c>
      <c r="AO925" t="s">
        <v>74</v>
      </c>
      <c r="AP925" t="s">
        <v>4252</v>
      </c>
      <c r="AQ925" t="s">
        <v>74</v>
      </c>
      <c r="AR925" t="s">
        <v>4239</v>
      </c>
      <c r="AS925" t="s">
        <v>4253</v>
      </c>
      <c r="AT925" t="s">
        <v>3499</v>
      </c>
      <c r="AU925">
        <v>2019</v>
      </c>
      <c r="AV925">
        <v>9</v>
      </c>
      <c r="AW925">
        <v>9</v>
      </c>
      <c r="AX925" t="s">
        <v>74</v>
      </c>
      <c r="AY925" t="s">
        <v>74</v>
      </c>
      <c r="AZ925" t="s">
        <v>74</v>
      </c>
      <c r="BA925" t="s">
        <v>74</v>
      </c>
      <c r="BB925" t="s">
        <v>74</v>
      </c>
      <c r="BC925" t="s">
        <v>74</v>
      </c>
      <c r="BD925">
        <v>374</v>
      </c>
      <c r="BE925" t="s">
        <v>18013</v>
      </c>
      <c r="BF925" t="str">
        <f>HYPERLINK("http://dx.doi.org/10.3390/geosciences9090374","http://dx.doi.org/10.3390/geosciences9090374")</f>
        <v>http://dx.doi.org/10.3390/geosciences9090374</v>
      </c>
      <c r="BG925" t="s">
        <v>74</v>
      </c>
      <c r="BH925" t="s">
        <v>74</v>
      </c>
      <c r="BI925">
        <v>34</v>
      </c>
      <c r="BJ925" t="s">
        <v>849</v>
      </c>
      <c r="BK925" t="s">
        <v>160</v>
      </c>
      <c r="BL925" t="s">
        <v>850</v>
      </c>
      <c r="BM925" t="s">
        <v>18014</v>
      </c>
      <c r="BN925" t="s">
        <v>74</v>
      </c>
      <c r="BO925" t="s">
        <v>18015</v>
      </c>
      <c r="BP925" t="s">
        <v>74</v>
      </c>
      <c r="BQ925" t="s">
        <v>74</v>
      </c>
      <c r="BR925" t="s">
        <v>108</v>
      </c>
      <c r="BS925" t="s">
        <v>18016</v>
      </c>
      <c r="BT925" t="str">
        <f>HYPERLINK("https%3A%2F%2Fwww.webofscience.com%2Fwos%2Fwoscc%2Ffull-record%2FWOS:000487634500027","View Full Record in Web of Science")</f>
        <v>View Full Record in Web of Science</v>
      </c>
    </row>
    <row r="926" spans="1:72" x14ac:dyDescent="0.15">
      <c r="A926" t="s">
        <v>133</v>
      </c>
      <c r="B926" t="s">
        <v>18017</v>
      </c>
      <c r="C926" t="s">
        <v>74</v>
      </c>
      <c r="D926" t="s">
        <v>74</v>
      </c>
      <c r="E926" t="s">
        <v>74</v>
      </c>
      <c r="F926" t="s">
        <v>18018</v>
      </c>
      <c r="G926" t="s">
        <v>74</v>
      </c>
      <c r="H926" t="s">
        <v>74</v>
      </c>
      <c r="I926" t="s">
        <v>18019</v>
      </c>
      <c r="J926" t="s">
        <v>18020</v>
      </c>
      <c r="K926" t="s">
        <v>74</v>
      </c>
      <c r="L926" t="s">
        <v>74</v>
      </c>
      <c r="M926" t="s">
        <v>80</v>
      </c>
      <c r="N926" t="s">
        <v>138</v>
      </c>
      <c r="O926" t="s">
        <v>74</v>
      </c>
      <c r="P926" t="s">
        <v>74</v>
      </c>
      <c r="Q926" t="s">
        <v>74</v>
      </c>
      <c r="R926" t="s">
        <v>74</v>
      </c>
      <c r="S926" t="s">
        <v>74</v>
      </c>
      <c r="T926" t="s">
        <v>18021</v>
      </c>
      <c r="U926" t="s">
        <v>18022</v>
      </c>
      <c r="V926" t="s">
        <v>18023</v>
      </c>
      <c r="W926" t="s">
        <v>18024</v>
      </c>
      <c r="X926" t="s">
        <v>18025</v>
      </c>
      <c r="Y926" t="s">
        <v>18026</v>
      </c>
      <c r="Z926" t="s">
        <v>18027</v>
      </c>
      <c r="AA926" t="s">
        <v>74</v>
      </c>
      <c r="AB926" t="s">
        <v>18028</v>
      </c>
      <c r="AC926" t="s">
        <v>18029</v>
      </c>
      <c r="AD926" t="s">
        <v>18029</v>
      </c>
      <c r="AE926" t="s">
        <v>18030</v>
      </c>
      <c r="AF926" t="s">
        <v>74</v>
      </c>
      <c r="AG926">
        <v>200</v>
      </c>
      <c r="AH926">
        <v>5</v>
      </c>
      <c r="AI926">
        <v>5</v>
      </c>
      <c r="AJ926">
        <v>2</v>
      </c>
      <c r="AK926">
        <v>8</v>
      </c>
      <c r="AL926" t="s">
        <v>683</v>
      </c>
      <c r="AM926" t="s">
        <v>684</v>
      </c>
      <c r="AN926" t="s">
        <v>685</v>
      </c>
      <c r="AO926" t="s">
        <v>74</v>
      </c>
      <c r="AP926" t="s">
        <v>18031</v>
      </c>
      <c r="AQ926" t="s">
        <v>74</v>
      </c>
      <c r="AR926" t="s">
        <v>18020</v>
      </c>
      <c r="AS926" t="s">
        <v>18032</v>
      </c>
      <c r="AT926" t="s">
        <v>3499</v>
      </c>
      <c r="AU926">
        <v>2019</v>
      </c>
      <c r="AV926">
        <v>7</v>
      </c>
      <c r="AW926">
        <v>9</v>
      </c>
      <c r="AX926" t="s">
        <v>74</v>
      </c>
      <c r="AY926" t="s">
        <v>74</v>
      </c>
      <c r="AZ926" t="s">
        <v>74</v>
      </c>
      <c r="BA926" t="s">
        <v>74</v>
      </c>
      <c r="BB926" t="s">
        <v>74</v>
      </c>
      <c r="BC926" t="s">
        <v>74</v>
      </c>
      <c r="BD926">
        <v>112</v>
      </c>
      <c r="BE926" t="s">
        <v>18033</v>
      </c>
      <c r="BF926" t="str">
        <f>HYPERLINK("http://dx.doi.org/10.3390/cli7090112","http://dx.doi.org/10.3390/cli7090112")</f>
        <v>http://dx.doi.org/10.3390/cli7090112</v>
      </c>
      <c r="BG926" t="s">
        <v>74</v>
      </c>
      <c r="BH926" t="s">
        <v>74</v>
      </c>
      <c r="BI926">
        <v>52</v>
      </c>
      <c r="BJ926" t="s">
        <v>1024</v>
      </c>
      <c r="BK926" t="s">
        <v>160</v>
      </c>
      <c r="BL926" t="s">
        <v>1024</v>
      </c>
      <c r="BM926" t="s">
        <v>18034</v>
      </c>
      <c r="BN926" t="s">
        <v>74</v>
      </c>
      <c r="BO926" t="s">
        <v>107</v>
      </c>
      <c r="BP926" t="s">
        <v>74</v>
      </c>
      <c r="BQ926" t="s">
        <v>74</v>
      </c>
      <c r="BR926" t="s">
        <v>108</v>
      </c>
      <c r="BS926" t="s">
        <v>18035</v>
      </c>
      <c r="BT926" t="str">
        <f>HYPERLINK("https%3A%2F%2Fwww.webofscience.com%2Fwos%2Fwoscc%2Ffull-record%2FWOS:000488008500006","View Full Record in Web of Science")</f>
        <v>View Full Record in Web of Science</v>
      </c>
    </row>
    <row r="927" spans="1:72" x14ac:dyDescent="0.15">
      <c r="A927" t="s">
        <v>133</v>
      </c>
      <c r="B927" t="s">
        <v>18036</v>
      </c>
      <c r="C927" t="s">
        <v>74</v>
      </c>
      <c r="D927" t="s">
        <v>74</v>
      </c>
      <c r="E927" t="s">
        <v>74</v>
      </c>
      <c r="F927" t="s">
        <v>18037</v>
      </c>
      <c r="G927" t="s">
        <v>74</v>
      </c>
      <c r="H927" t="s">
        <v>74</v>
      </c>
      <c r="I927" t="s">
        <v>18038</v>
      </c>
      <c r="J927" t="s">
        <v>4170</v>
      </c>
      <c r="K927" t="s">
        <v>74</v>
      </c>
      <c r="L927" t="s">
        <v>74</v>
      </c>
      <c r="M927" t="s">
        <v>80</v>
      </c>
      <c r="N927" t="s">
        <v>138</v>
      </c>
      <c r="O927" t="s">
        <v>74</v>
      </c>
      <c r="P927" t="s">
        <v>74</v>
      </c>
      <c r="Q927" t="s">
        <v>74</v>
      </c>
      <c r="R927" t="s">
        <v>74</v>
      </c>
      <c r="S927" t="s">
        <v>74</v>
      </c>
      <c r="T927" t="s">
        <v>18039</v>
      </c>
      <c r="U927" t="s">
        <v>18040</v>
      </c>
      <c r="V927" t="s">
        <v>18041</v>
      </c>
      <c r="W927" t="s">
        <v>18042</v>
      </c>
      <c r="X927" t="s">
        <v>18043</v>
      </c>
      <c r="Y927" t="s">
        <v>18044</v>
      </c>
      <c r="Z927" t="s">
        <v>18045</v>
      </c>
      <c r="AA927" t="s">
        <v>18046</v>
      </c>
      <c r="AB927" t="s">
        <v>18047</v>
      </c>
      <c r="AC927" t="s">
        <v>18048</v>
      </c>
      <c r="AD927" t="s">
        <v>18049</v>
      </c>
      <c r="AE927" t="s">
        <v>18050</v>
      </c>
      <c r="AF927" t="s">
        <v>74</v>
      </c>
      <c r="AG927">
        <v>81</v>
      </c>
      <c r="AH927">
        <v>27</v>
      </c>
      <c r="AI927">
        <v>30</v>
      </c>
      <c r="AJ927">
        <v>4</v>
      </c>
      <c r="AK927">
        <v>41</v>
      </c>
      <c r="AL927" t="s">
        <v>379</v>
      </c>
      <c r="AM927" t="s">
        <v>380</v>
      </c>
      <c r="AN927" t="s">
        <v>381</v>
      </c>
      <c r="AO927" t="s">
        <v>4183</v>
      </c>
      <c r="AP927" t="s">
        <v>4184</v>
      </c>
      <c r="AQ927" t="s">
        <v>74</v>
      </c>
      <c r="AR927" t="s">
        <v>4185</v>
      </c>
      <c r="AS927" t="s">
        <v>4186</v>
      </c>
      <c r="AT927" t="s">
        <v>3499</v>
      </c>
      <c r="AU927">
        <v>2019</v>
      </c>
      <c r="AV927">
        <v>151</v>
      </c>
      <c r="AW927" t="s">
        <v>74</v>
      </c>
      <c r="AX927" t="s">
        <v>74</v>
      </c>
      <c r="AY927" t="s">
        <v>74</v>
      </c>
      <c r="AZ927" t="s">
        <v>74</v>
      </c>
      <c r="BA927" t="s">
        <v>74</v>
      </c>
      <c r="BB927" t="s">
        <v>74</v>
      </c>
      <c r="BC927" t="s">
        <v>74</v>
      </c>
      <c r="BD927">
        <v>103059</v>
      </c>
      <c r="BE927" t="s">
        <v>18051</v>
      </c>
      <c r="BF927" t="str">
        <f>HYPERLINK("http://dx.doi.org/10.1016/j.dsr.2019.06.005","http://dx.doi.org/10.1016/j.dsr.2019.06.005")</f>
        <v>http://dx.doi.org/10.1016/j.dsr.2019.06.005</v>
      </c>
      <c r="BG927" t="s">
        <v>74</v>
      </c>
      <c r="BH927" t="s">
        <v>74</v>
      </c>
      <c r="BI927">
        <v>15</v>
      </c>
      <c r="BJ927" t="s">
        <v>1945</v>
      </c>
      <c r="BK927" t="s">
        <v>294</v>
      </c>
      <c r="BL927" t="s">
        <v>1945</v>
      </c>
      <c r="BM927" t="s">
        <v>18052</v>
      </c>
      <c r="BN927" t="s">
        <v>74</v>
      </c>
      <c r="BO927" t="s">
        <v>7770</v>
      </c>
      <c r="BP927" t="s">
        <v>74</v>
      </c>
      <c r="BQ927" t="s">
        <v>74</v>
      </c>
      <c r="BR927" t="s">
        <v>108</v>
      </c>
      <c r="BS927" t="s">
        <v>18053</v>
      </c>
      <c r="BT927" t="str">
        <f>HYPERLINK("https%3A%2F%2Fwww.webofscience.com%2Fwos%2Fwoscc%2Ffull-record%2FWOS:000488141500003","View Full Record in Web of Science")</f>
        <v>View Full Record in Web of Science</v>
      </c>
    </row>
    <row r="928" spans="1:72" x14ac:dyDescent="0.15">
      <c r="A928" t="s">
        <v>133</v>
      </c>
      <c r="B928" t="s">
        <v>18054</v>
      </c>
      <c r="C928" t="s">
        <v>74</v>
      </c>
      <c r="D928" t="s">
        <v>74</v>
      </c>
      <c r="E928" t="s">
        <v>74</v>
      </c>
      <c r="F928" t="s">
        <v>18055</v>
      </c>
      <c r="G928" t="s">
        <v>74</v>
      </c>
      <c r="H928" t="s">
        <v>74</v>
      </c>
      <c r="I928" t="s">
        <v>18056</v>
      </c>
      <c r="J928" t="s">
        <v>18057</v>
      </c>
      <c r="K928" t="s">
        <v>74</v>
      </c>
      <c r="L928" t="s">
        <v>74</v>
      </c>
      <c r="M928" t="s">
        <v>80</v>
      </c>
      <c r="N928" t="s">
        <v>138</v>
      </c>
      <c r="O928" t="s">
        <v>74</v>
      </c>
      <c r="P928" t="s">
        <v>74</v>
      </c>
      <c r="Q928" t="s">
        <v>74</v>
      </c>
      <c r="R928" t="s">
        <v>74</v>
      </c>
      <c r="S928" t="s">
        <v>74</v>
      </c>
      <c r="T928" t="s">
        <v>18058</v>
      </c>
      <c r="U928" t="s">
        <v>18059</v>
      </c>
      <c r="V928" t="s">
        <v>18060</v>
      </c>
      <c r="W928" t="s">
        <v>18061</v>
      </c>
      <c r="X928" t="s">
        <v>18062</v>
      </c>
      <c r="Y928" t="s">
        <v>18063</v>
      </c>
      <c r="Z928" t="s">
        <v>18064</v>
      </c>
      <c r="AA928" t="s">
        <v>18065</v>
      </c>
      <c r="AB928" t="s">
        <v>18066</v>
      </c>
      <c r="AC928" t="s">
        <v>74</v>
      </c>
      <c r="AD928" t="s">
        <v>74</v>
      </c>
      <c r="AE928" t="s">
        <v>74</v>
      </c>
      <c r="AF928" t="s">
        <v>74</v>
      </c>
      <c r="AG928">
        <v>28</v>
      </c>
      <c r="AH928">
        <v>19</v>
      </c>
      <c r="AI928">
        <v>21</v>
      </c>
      <c r="AJ928">
        <v>4</v>
      </c>
      <c r="AK928">
        <v>17</v>
      </c>
      <c r="AL928" t="s">
        <v>284</v>
      </c>
      <c r="AM928" t="s">
        <v>285</v>
      </c>
      <c r="AN928" t="s">
        <v>286</v>
      </c>
      <c r="AO928" t="s">
        <v>18067</v>
      </c>
      <c r="AP928" t="s">
        <v>18068</v>
      </c>
      <c r="AQ928" t="s">
        <v>74</v>
      </c>
      <c r="AR928" t="s">
        <v>18069</v>
      </c>
      <c r="AS928" t="s">
        <v>18070</v>
      </c>
      <c r="AT928" t="s">
        <v>3499</v>
      </c>
      <c r="AU928">
        <v>2019</v>
      </c>
      <c r="AV928">
        <v>87</v>
      </c>
      <c r="AW928" t="s">
        <v>74</v>
      </c>
      <c r="AX928" t="s">
        <v>74</v>
      </c>
      <c r="AY928" t="s">
        <v>74</v>
      </c>
      <c r="AZ928" t="s">
        <v>74</v>
      </c>
      <c r="BA928" t="s">
        <v>74</v>
      </c>
      <c r="BB928" t="s">
        <v>74</v>
      </c>
      <c r="BC928" t="s">
        <v>74</v>
      </c>
      <c r="BD928">
        <v>101097</v>
      </c>
      <c r="BE928" t="s">
        <v>18071</v>
      </c>
      <c r="BF928" t="str">
        <f>HYPERLINK("http://dx.doi.org/10.1016/j.dynatmoce.2019.101097","http://dx.doi.org/10.1016/j.dynatmoce.2019.101097")</f>
        <v>http://dx.doi.org/10.1016/j.dynatmoce.2019.101097</v>
      </c>
      <c r="BG928" t="s">
        <v>74</v>
      </c>
      <c r="BH928" t="s">
        <v>74</v>
      </c>
      <c r="BI928">
        <v>6</v>
      </c>
      <c r="BJ928" t="s">
        <v>18072</v>
      </c>
      <c r="BK928" t="s">
        <v>294</v>
      </c>
      <c r="BL928" t="s">
        <v>18072</v>
      </c>
      <c r="BM928" t="s">
        <v>18073</v>
      </c>
      <c r="BN928" t="s">
        <v>74</v>
      </c>
      <c r="BO928" t="s">
        <v>74</v>
      </c>
      <c r="BP928" t="s">
        <v>74</v>
      </c>
      <c r="BQ928" t="s">
        <v>74</v>
      </c>
      <c r="BR928" t="s">
        <v>108</v>
      </c>
      <c r="BS928" t="s">
        <v>18074</v>
      </c>
      <c r="BT928" t="str">
        <f>HYPERLINK("https%3A%2F%2Fwww.webofscience.com%2Fwos%2Fwoscc%2Ffull-record%2FWOS:000488137700004","View Full Record in Web of Science")</f>
        <v>View Full Record in Web of Science</v>
      </c>
    </row>
    <row r="929" spans="1:72" x14ac:dyDescent="0.15">
      <c r="A929" t="s">
        <v>133</v>
      </c>
      <c r="B929" t="s">
        <v>18075</v>
      </c>
      <c r="C929" t="s">
        <v>74</v>
      </c>
      <c r="D929" t="s">
        <v>74</v>
      </c>
      <c r="E929" t="s">
        <v>74</v>
      </c>
      <c r="F929" t="s">
        <v>18076</v>
      </c>
      <c r="G929" t="s">
        <v>74</v>
      </c>
      <c r="H929" t="s">
        <v>74</v>
      </c>
      <c r="I929" t="s">
        <v>18077</v>
      </c>
      <c r="J929" t="s">
        <v>671</v>
      </c>
      <c r="K929" t="s">
        <v>74</v>
      </c>
      <c r="L929" t="s">
        <v>74</v>
      </c>
      <c r="M929" t="s">
        <v>80</v>
      </c>
      <c r="N929" t="s">
        <v>138</v>
      </c>
      <c r="O929" t="s">
        <v>74</v>
      </c>
      <c r="P929" t="s">
        <v>74</v>
      </c>
      <c r="Q929" t="s">
        <v>74</v>
      </c>
      <c r="R929" t="s">
        <v>74</v>
      </c>
      <c r="S929" t="s">
        <v>74</v>
      </c>
      <c r="T929" t="s">
        <v>18078</v>
      </c>
      <c r="U929" t="s">
        <v>18079</v>
      </c>
      <c r="V929" t="s">
        <v>18080</v>
      </c>
      <c r="W929" t="s">
        <v>18081</v>
      </c>
      <c r="X929" t="s">
        <v>18082</v>
      </c>
      <c r="Y929" t="s">
        <v>18083</v>
      </c>
      <c r="Z929" t="s">
        <v>18084</v>
      </c>
      <c r="AA929" t="s">
        <v>18085</v>
      </c>
      <c r="AB929" t="s">
        <v>18086</v>
      </c>
      <c r="AC929" t="s">
        <v>18087</v>
      </c>
      <c r="AD929" t="s">
        <v>18088</v>
      </c>
      <c r="AE929" t="s">
        <v>18089</v>
      </c>
      <c r="AF929" t="s">
        <v>74</v>
      </c>
      <c r="AG929">
        <v>35</v>
      </c>
      <c r="AH929">
        <v>10</v>
      </c>
      <c r="AI929">
        <v>12</v>
      </c>
      <c r="AJ929">
        <v>1</v>
      </c>
      <c r="AK929">
        <v>11</v>
      </c>
      <c r="AL929" t="s">
        <v>683</v>
      </c>
      <c r="AM929" t="s">
        <v>684</v>
      </c>
      <c r="AN929" t="s">
        <v>685</v>
      </c>
      <c r="AO929" t="s">
        <v>74</v>
      </c>
      <c r="AP929" t="s">
        <v>686</v>
      </c>
      <c r="AQ929" t="s">
        <v>74</v>
      </c>
      <c r="AR929" t="s">
        <v>687</v>
      </c>
      <c r="AS929" t="s">
        <v>688</v>
      </c>
      <c r="AT929" t="s">
        <v>3499</v>
      </c>
      <c r="AU929">
        <v>2019</v>
      </c>
      <c r="AV929">
        <v>17</v>
      </c>
      <c r="AW929">
        <v>9</v>
      </c>
      <c r="AX929" t="s">
        <v>74</v>
      </c>
      <c r="AY929" t="s">
        <v>74</v>
      </c>
      <c r="AZ929" t="s">
        <v>74</v>
      </c>
      <c r="BA929" t="s">
        <v>74</v>
      </c>
      <c r="BB929" t="s">
        <v>74</v>
      </c>
      <c r="BC929" t="s">
        <v>74</v>
      </c>
      <c r="BD929">
        <v>513</v>
      </c>
      <c r="BE929" t="s">
        <v>18090</v>
      </c>
      <c r="BF929" t="str">
        <f>HYPERLINK("http://dx.doi.org/10.3390/md17090513","http://dx.doi.org/10.3390/md17090513")</f>
        <v>http://dx.doi.org/10.3390/md17090513</v>
      </c>
      <c r="BG929" t="s">
        <v>74</v>
      </c>
      <c r="BH929" t="s">
        <v>74</v>
      </c>
      <c r="BI929">
        <v>13</v>
      </c>
      <c r="BJ929" t="s">
        <v>690</v>
      </c>
      <c r="BK929" t="s">
        <v>294</v>
      </c>
      <c r="BL929" t="s">
        <v>691</v>
      </c>
      <c r="BM929" t="s">
        <v>18091</v>
      </c>
      <c r="BN929">
        <v>31480497</v>
      </c>
      <c r="BO929" t="s">
        <v>2934</v>
      </c>
      <c r="BP929" t="s">
        <v>74</v>
      </c>
      <c r="BQ929" t="s">
        <v>74</v>
      </c>
      <c r="BR929" t="s">
        <v>108</v>
      </c>
      <c r="BS929" t="s">
        <v>18092</v>
      </c>
      <c r="BT929" t="str">
        <f>HYPERLINK("https%3A%2F%2Fwww.webofscience.com%2Fwos%2Fwoscc%2Ffull-record%2FWOS:000487959700049","View Full Record in Web of Science")</f>
        <v>View Full Record in Web of Science</v>
      </c>
    </row>
    <row r="930" spans="1:72" x14ac:dyDescent="0.15">
      <c r="A930" t="s">
        <v>133</v>
      </c>
      <c r="B930" t="s">
        <v>18093</v>
      </c>
      <c r="C930" t="s">
        <v>74</v>
      </c>
      <c r="D930" t="s">
        <v>74</v>
      </c>
      <c r="E930" t="s">
        <v>74</v>
      </c>
      <c r="F930" t="s">
        <v>18094</v>
      </c>
      <c r="G930" t="s">
        <v>74</v>
      </c>
      <c r="H930" t="s">
        <v>74</v>
      </c>
      <c r="I930" t="s">
        <v>18095</v>
      </c>
      <c r="J930" t="s">
        <v>9135</v>
      </c>
      <c r="K930" t="s">
        <v>74</v>
      </c>
      <c r="L930" t="s">
        <v>74</v>
      </c>
      <c r="M930" t="s">
        <v>80</v>
      </c>
      <c r="N930" t="s">
        <v>138</v>
      </c>
      <c r="O930" t="s">
        <v>74</v>
      </c>
      <c r="P930" t="s">
        <v>74</v>
      </c>
      <c r="Q930" t="s">
        <v>74</v>
      </c>
      <c r="R930" t="s">
        <v>74</v>
      </c>
      <c r="S930" t="s">
        <v>74</v>
      </c>
      <c r="T930" t="s">
        <v>18096</v>
      </c>
      <c r="U930" t="s">
        <v>18097</v>
      </c>
      <c r="V930" t="s">
        <v>18098</v>
      </c>
      <c r="W930" t="s">
        <v>18099</v>
      </c>
      <c r="X930" t="s">
        <v>18100</v>
      </c>
      <c r="Y930" t="s">
        <v>18101</v>
      </c>
      <c r="Z930" t="s">
        <v>1122</v>
      </c>
      <c r="AA930" t="s">
        <v>18102</v>
      </c>
      <c r="AB930" t="s">
        <v>18103</v>
      </c>
      <c r="AC930" t="s">
        <v>18104</v>
      </c>
      <c r="AD930" t="s">
        <v>18105</v>
      </c>
      <c r="AE930" t="s">
        <v>18106</v>
      </c>
      <c r="AF930" t="s">
        <v>74</v>
      </c>
      <c r="AG930">
        <v>94</v>
      </c>
      <c r="AH930">
        <v>10</v>
      </c>
      <c r="AI930">
        <v>11</v>
      </c>
      <c r="AJ930">
        <v>0</v>
      </c>
      <c r="AK930">
        <v>11</v>
      </c>
      <c r="AL930" t="s">
        <v>605</v>
      </c>
      <c r="AM930" t="s">
        <v>1965</v>
      </c>
      <c r="AN930" t="s">
        <v>4578</v>
      </c>
      <c r="AO930" t="s">
        <v>9146</v>
      </c>
      <c r="AP930" t="s">
        <v>9147</v>
      </c>
      <c r="AQ930" t="s">
        <v>74</v>
      </c>
      <c r="AR930" t="s">
        <v>9148</v>
      </c>
      <c r="AS930" t="s">
        <v>9149</v>
      </c>
      <c r="AT930" t="s">
        <v>3499</v>
      </c>
      <c r="AU930">
        <v>2019</v>
      </c>
      <c r="AV930">
        <v>92</v>
      </c>
      <c r="AW930">
        <v>2</v>
      </c>
      <c r="AX930" t="s">
        <v>74</v>
      </c>
      <c r="AY930" t="s">
        <v>74</v>
      </c>
      <c r="AZ930" t="s">
        <v>74</v>
      </c>
      <c r="BA930" t="s">
        <v>74</v>
      </c>
      <c r="BB930">
        <v>430</v>
      </c>
      <c r="BC930">
        <v>449</v>
      </c>
      <c r="BD930" t="s">
        <v>18107</v>
      </c>
      <c r="BE930" t="s">
        <v>18108</v>
      </c>
      <c r="BF930" t="str">
        <f>HYPERLINK("http://dx.doi.org/10.1017/qua.2019.18","http://dx.doi.org/10.1017/qua.2019.18")</f>
        <v>http://dx.doi.org/10.1017/qua.2019.18</v>
      </c>
      <c r="BG930" t="s">
        <v>74</v>
      </c>
      <c r="BH930" t="s">
        <v>74</v>
      </c>
      <c r="BI930">
        <v>20</v>
      </c>
      <c r="BJ930" t="s">
        <v>462</v>
      </c>
      <c r="BK930" t="s">
        <v>294</v>
      </c>
      <c r="BL930" t="s">
        <v>463</v>
      </c>
      <c r="BM930" t="s">
        <v>18109</v>
      </c>
      <c r="BN930" t="s">
        <v>74</v>
      </c>
      <c r="BO930" t="s">
        <v>74</v>
      </c>
      <c r="BP930" t="s">
        <v>74</v>
      </c>
      <c r="BQ930" t="s">
        <v>74</v>
      </c>
      <c r="BR930" t="s">
        <v>108</v>
      </c>
      <c r="BS930" t="s">
        <v>18110</v>
      </c>
      <c r="BT930" t="str">
        <f>HYPERLINK("https%3A%2F%2Fwww.webofscience.com%2Fwos%2Fwoscc%2Ffull-record%2FWOS:000487316500012","View Full Record in Web of Science")</f>
        <v>View Full Record in Web of Science</v>
      </c>
    </row>
    <row r="931" spans="1:72" x14ac:dyDescent="0.15">
      <c r="A931" t="s">
        <v>133</v>
      </c>
      <c r="B931" t="s">
        <v>18111</v>
      </c>
      <c r="C931" t="s">
        <v>74</v>
      </c>
      <c r="D931" t="s">
        <v>74</v>
      </c>
      <c r="E931" t="s">
        <v>74</v>
      </c>
      <c r="F931" t="s">
        <v>18112</v>
      </c>
      <c r="G931" t="s">
        <v>74</v>
      </c>
      <c r="H931" t="s">
        <v>74</v>
      </c>
      <c r="I931" t="s">
        <v>18113</v>
      </c>
      <c r="J931" t="s">
        <v>3420</v>
      </c>
      <c r="K931" t="s">
        <v>74</v>
      </c>
      <c r="L931" t="s">
        <v>74</v>
      </c>
      <c r="M931" t="s">
        <v>80</v>
      </c>
      <c r="N931" t="s">
        <v>138</v>
      </c>
      <c r="O931" t="s">
        <v>74</v>
      </c>
      <c r="P931" t="s">
        <v>74</v>
      </c>
      <c r="Q931" t="s">
        <v>74</v>
      </c>
      <c r="R931" t="s">
        <v>74</v>
      </c>
      <c r="S931" t="s">
        <v>74</v>
      </c>
      <c r="T931" t="s">
        <v>18114</v>
      </c>
      <c r="U931" t="s">
        <v>18115</v>
      </c>
      <c r="V931" t="s">
        <v>18116</v>
      </c>
      <c r="W931" t="s">
        <v>18117</v>
      </c>
      <c r="X931" t="s">
        <v>18118</v>
      </c>
      <c r="Y931" t="s">
        <v>18119</v>
      </c>
      <c r="Z931" t="s">
        <v>18120</v>
      </c>
      <c r="AA931" t="s">
        <v>18121</v>
      </c>
      <c r="AB931" t="s">
        <v>18122</v>
      </c>
      <c r="AC931" t="s">
        <v>18123</v>
      </c>
      <c r="AD931" t="s">
        <v>18124</v>
      </c>
      <c r="AE931" t="s">
        <v>18125</v>
      </c>
      <c r="AF931" t="s">
        <v>74</v>
      </c>
      <c r="AG931">
        <v>41</v>
      </c>
      <c r="AH931">
        <v>4</v>
      </c>
      <c r="AI931">
        <v>8</v>
      </c>
      <c r="AJ931">
        <v>2</v>
      </c>
      <c r="AK931">
        <v>35</v>
      </c>
      <c r="AL931" t="s">
        <v>683</v>
      </c>
      <c r="AM931" t="s">
        <v>684</v>
      </c>
      <c r="AN931" t="s">
        <v>685</v>
      </c>
      <c r="AO931" t="s">
        <v>74</v>
      </c>
      <c r="AP931" t="s">
        <v>3432</v>
      </c>
      <c r="AQ931" t="s">
        <v>74</v>
      </c>
      <c r="AR931" t="s">
        <v>3433</v>
      </c>
      <c r="AS931" t="s">
        <v>3434</v>
      </c>
      <c r="AT931" t="s">
        <v>16929</v>
      </c>
      <c r="AU931">
        <v>2019</v>
      </c>
      <c r="AV931">
        <v>11</v>
      </c>
      <c r="AW931">
        <v>17</v>
      </c>
      <c r="AX931" t="s">
        <v>74</v>
      </c>
      <c r="AY931" t="s">
        <v>74</v>
      </c>
      <c r="AZ931" t="s">
        <v>74</v>
      </c>
      <c r="BA931" t="s">
        <v>74</v>
      </c>
      <c r="BB931" t="s">
        <v>74</v>
      </c>
      <c r="BC931" t="s">
        <v>74</v>
      </c>
      <c r="BD931">
        <v>1991</v>
      </c>
      <c r="BE931" t="s">
        <v>18126</v>
      </c>
      <c r="BF931" t="str">
        <f>HYPERLINK("http://dx.doi.org/10.3390/rs11171991","http://dx.doi.org/10.3390/rs11171991")</f>
        <v>http://dx.doi.org/10.3390/rs11171991</v>
      </c>
      <c r="BG931" t="s">
        <v>74</v>
      </c>
      <c r="BH931" t="s">
        <v>74</v>
      </c>
      <c r="BI931">
        <v>18</v>
      </c>
      <c r="BJ931" t="s">
        <v>3436</v>
      </c>
      <c r="BK931" t="s">
        <v>294</v>
      </c>
      <c r="BL931" t="s">
        <v>3437</v>
      </c>
      <c r="BM931" t="s">
        <v>18127</v>
      </c>
      <c r="BN931" t="s">
        <v>74</v>
      </c>
      <c r="BO931" t="s">
        <v>18128</v>
      </c>
      <c r="BP931" t="s">
        <v>74</v>
      </c>
      <c r="BQ931" t="s">
        <v>74</v>
      </c>
      <c r="BR931" t="s">
        <v>108</v>
      </c>
      <c r="BS931" t="s">
        <v>18129</v>
      </c>
      <c r="BT931" t="str">
        <f>HYPERLINK("https%3A%2F%2Fwww.webofscience.com%2Fwos%2Fwoscc%2Ffull-record%2FWOS:000486874300035","View Full Record in Web of Science")</f>
        <v>View Full Record in Web of Science</v>
      </c>
    </row>
    <row r="932" spans="1:72" x14ac:dyDescent="0.15">
      <c r="A932" t="s">
        <v>133</v>
      </c>
      <c r="B932" t="s">
        <v>18130</v>
      </c>
      <c r="C932" t="s">
        <v>74</v>
      </c>
      <c r="D932" t="s">
        <v>74</v>
      </c>
      <c r="E932" t="s">
        <v>74</v>
      </c>
      <c r="F932" t="s">
        <v>18131</v>
      </c>
      <c r="G932" t="s">
        <v>74</v>
      </c>
      <c r="H932" t="s">
        <v>74</v>
      </c>
      <c r="I932" t="s">
        <v>18132</v>
      </c>
      <c r="J932" t="s">
        <v>18133</v>
      </c>
      <c r="K932" t="s">
        <v>74</v>
      </c>
      <c r="L932" t="s">
        <v>74</v>
      </c>
      <c r="M932" t="s">
        <v>80</v>
      </c>
      <c r="N932" t="s">
        <v>930</v>
      </c>
      <c r="O932" t="s">
        <v>74</v>
      </c>
      <c r="P932" t="s">
        <v>74</v>
      </c>
      <c r="Q932" t="s">
        <v>74</v>
      </c>
      <c r="R932" t="s">
        <v>74</v>
      </c>
      <c r="S932" t="s">
        <v>74</v>
      </c>
      <c r="T932" t="s">
        <v>18134</v>
      </c>
      <c r="U932" t="s">
        <v>74</v>
      </c>
      <c r="V932" t="s">
        <v>18135</v>
      </c>
      <c r="W932" t="s">
        <v>18136</v>
      </c>
      <c r="X932" t="s">
        <v>18137</v>
      </c>
      <c r="Y932" t="s">
        <v>18138</v>
      </c>
      <c r="Z932" t="s">
        <v>18139</v>
      </c>
      <c r="AA932" t="s">
        <v>74</v>
      </c>
      <c r="AB932" t="s">
        <v>18140</v>
      </c>
      <c r="AC932" t="s">
        <v>74</v>
      </c>
      <c r="AD932" t="s">
        <v>74</v>
      </c>
      <c r="AE932" t="s">
        <v>74</v>
      </c>
      <c r="AF932" t="s">
        <v>74</v>
      </c>
      <c r="AG932">
        <v>2</v>
      </c>
      <c r="AH932">
        <v>0</v>
      </c>
      <c r="AI932">
        <v>0</v>
      </c>
      <c r="AJ932">
        <v>2</v>
      </c>
      <c r="AK932">
        <v>6</v>
      </c>
      <c r="AL932" t="s">
        <v>16229</v>
      </c>
      <c r="AM932" t="s">
        <v>1730</v>
      </c>
      <c r="AN932" t="s">
        <v>16230</v>
      </c>
      <c r="AO932" t="s">
        <v>18141</v>
      </c>
      <c r="AP932" t="s">
        <v>18142</v>
      </c>
      <c r="AQ932" t="s">
        <v>74</v>
      </c>
      <c r="AR932" t="s">
        <v>18143</v>
      </c>
      <c r="AS932" t="s">
        <v>18144</v>
      </c>
      <c r="AT932" t="s">
        <v>3499</v>
      </c>
      <c r="AU932">
        <v>2019</v>
      </c>
      <c r="AV932">
        <v>34</v>
      </c>
      <c r="AW932">
        <v>5</v>
      </c>
      <c r="AX932" t="s">
        <v>74</v>
      </c>
      <c r="AY932" t="s">
        <v>74</v>
      </c>
      <c r="AZ932" t="s">
        <v>74</v>
      </c>
      <c r="BA932" t="s">
        <v>74</v>
      </c>
      <c r="BB932">
        <v>552</v>
      </c>
      <c r="BC932">
        <v>559</v>
      </c>
      <c r="BD932" t="s">
        <v>74</v>
      </c>
      <c r="BE932" t="s">
        <v>18145</v>
      </c>
      <c r="BF932" t="str">
        <f>HYPERLINK("http://dx.doi.org/10.1177/0268580919870455","http://dx.doi.org/10.1177/0268580919870455")</f>
        <v>http://dx.doi.org/10.1177/0268580919870455</v>
      </c>
      <c r="BG932" t="s">
        <v>74</v>
      </c>
      <c r="BH932" t="s">
        <v>74</v>
      </c>
      <c r="BI932">
        <v>8</v>
      </c>
      <c r="BJ932" t="s">
        <v>18146</v>
      </c>
      <c r="BK932" t="s">
        <v>717</v>
      </c>
      <c r="BL932" t="s">
        <v>18146</v>
      </c>
      <c r="BM932" t="s">
        <v>18147</v>
      </c>
      <c r="BN932" t="s">
        <v>74</v>
      </c>
      <c r="BO932" t="s">
        <v>74</v>
      </c>
      <c r="BP932" t="s">
        <v>74</v>
      </c>
      <c r="BQ932" t="s">
        <v>74</v>
      </c>
      <c r="BR932" t="s">
        <v>108</v>
      </c>
      <c r="BS932" t="s">
        <v>18148</v>
      </c>
      <c r="BT932" t="str">
        <f>HYPERLINK("https%3A%2F%2Fwww.webofscience.com%2Fwos%2Fwoscc%2Ffull-record%2FWOS:000487131900004","View Full Record in Web of Science")</f>
        <v>View Full Record in Web of Science</v>
      </c>
    </row>
    <row r="933" spans="1:72" x14ac:dyDescent="0.15">
      <c r="A933" t="s">
        <v>133</v>
      </c>
      <c r="B933" t="s">
        <v>18149</v>
      </c>
      <c r="C933" t="s">
        <v>74</v>
      </c>
      <c r="D933" t="s">
        <v>74</v>
      </c>
      <c r="E933" t="s">
        <v>74</v>
      </c>
      <c r="F933" t="s">
        <v>18150</v>
      </c>
      <c r="G933" t="s">
        <v>74</v>
      </c>
      <c r="H933" t="s">
        <v>74</v>
      </c>
      <c r="I933" t="s">
        <v>18151</v>
      </c>
      <c r="J933" t="s">
        <v>4693</v>
      </c>
      <c r="K933" t="s">
        <v>74</v>
      </c>
      <c r="L933" t="s">
        <v>74</v>
      </c>
      <c r="M933" t="s">
        <v>80</v>
      </c>
      <c r="N933" t="s">
        <v>138</v>
      </c>
      <c r="O933" t="s">
        <v>74</v>
      </c>
      <c r="P933" t="s">
        <v>74</v>
      </c>
      <c r="Q933" t="s">
        <v>74</v>
      </c>
      <c r="R933" t="s">
        <v>74</v>
      </c>
      <c r="S933" t="s">
        <v>74</v>
      </c>
      <c r="T933" t="s">
        <v>18152</v>
      </c>
      <c r="U933" t="s">
        <v>18153</v>
      </c>
      <c r="V933" t="s">
        <v>18154</v>
      </c>
      <c r="W933" t="s">
        <v>18155</v>
      </c>
      <c r="X933" t="s">
        <v>18156</v>
      </c>
      <c r="Y933" t="s">
        <v>18157</v>
      </c>
      <c r="Z933" t="s">
        <v>18158</v>
      </c>
      <c r="AA933" t="s">
        <v>18159</v>
      </c>
      <c r="AB933" t="s">
        <v>18160</v>
      </c>
      <c r="AC933" t="s">
        <v>18161</v>
      </c>
      <c r="AD933" t="s">
        <v>3210</v>
      </c>
      <c r="AE933" t="s">
        <v>74</v>
      </c>
      <c r="AF933" t="s">
        <v>74</v>
      </c>
      <c r="AG933">
        <v>52</v>
      </c>
      <c r="AH933">
        <v>6</v>
      </c>
      <c r="AI933">
        <v>6</v>
      </c>
      <c r="AJ933">
        <v>2</v>
      </c>
      <c r="AK933">
        <v>13</v>
      </c>
      <c r="AL933" t="s">
        <v>1016</v>
      </c>
      <c r="AM933" t="s">
        <v>1017</v>
      </c>
      <c r="AN933" t="s">
        <v>4703</v>
      </c>
      <c r="AO933" t="s">
        <v>4704</v>
      </c>
      <c r="AP933" t="s">
        <v>4705</v>
      </c>
      <c r="AQ933" t="s">
        <v>74</v>
      </c>
      <c r="AR933" t="s">
        <v>4706</v>
      </c>
      <c r="AS933" t="s">
        <v>4707</v>
      </c>
      <c r="AT933" t="s">
        <v>3499</v>
      </c>
      <c r="AU933">
        <v>2019</v>
      </c>
      <c r="AV933">
        <v>49</v>
      </c>
      <c r="AW933">
        <v>9</v>
      </c>
      <c r="AX933" t="s">
        <v>74</v>
      </c>
      <c r="AY933" t="s">
        <v>74</v>
      </c>
      <c r="AZ933" t="s">
        <v>74</v>
      </c>
      <c r="BA933" t="s">
        <v>74</v>
      </c>
      <c r="BB933">
        <v>2423</v>
      </c>
      <c r="BC933">
        <v>2446</v>
      </c>
      <c r="BD933" t="s">
        <v>74</v>
      </c>
      <c r="BE933" t="s">
        <v>18162</v>
      </c>
      <c r="BF933" t="str">
        <f>HYPERLINK("http://dx.doi.org/10.1175/JPO-D-18-0229.1","http://dx.doi.org/10.1175/JPO-D-18-0229.1")</f>
        <v>http://dx.doi.org/10.1175/JPO-D-18-0229.1</v>
      </c>
      <c r="BG933" t="s">
        <v>74</v>
      </c>
      <c r="BH933" t="s">
        <v>74</v>
      </c>
      <c r="BI933">
        <v>24</v>
      </c>
      <c r="BJ933" t="s">
        <v>1945</v>
      </c>
      <c r="BK933" t="s">
        <v>294</v>
      </c>
      <c r="BL933" t="s">
        <v>1945</v>
      </c>
      <c r="BM933" t="s">
        <v>18163</v>
      </c>
      <c r="BN933" t="s">
        <v>74</v>
      </c>
      <c r="BO933" t="s">
        <v>5002</v>
      </c>
      <c r="BP933" t="s">
        <v>74</v>
      </c>
      <c r="BQ933" t="s">
        <v>74</v>
      </c>
      <c r="BR933" t="s">
        <v>108</v>
      </c>
      <c r="BS933" t="s">
        <v>18164</v>
      </c>
      <c r="BT933" t="str">
        <f>HYPERLINK("https%3A%2F%2Fwww.webofscience.com%2Fwos%2Fwoscc%2Ffull-record%2FWOS:000487042500001","View Full Record in Web of Science")</f>
        <v>View Full Record in Web of Science</v>
      </c>
    </row>
    <row r="934" spans="1:72" x14ac:dyDescent="0.15">
      <c r="A934" t="s">
        <v>133</v>
      </c>
      <c r="B934" t="s">
        <v>18165</v>
      </c>
      <c r="C934" t="s">
        <v>74</v>
      </c>
      <c r="D934" t="s">
        <v>74</v>
      </c>
      <c r="E934" t="s">
        <v>74</v>
      </c>
      <c r="F934" t="s">
        <v>18166</v>
      </c>
      <c r="G934" t="s">
        <v>74</v>
      </c>
      <c r="H934" t="s">
        <v>74</v>
      </c>
      <c r="I934" t="s">
        <v>18167</v>
      </c>
      <c r="J934" t="s">
        <v>18168</v>
      </c>
      <c r="K934" t="s">
        <v>74</v>
      </c>
      <c r="L934" t="s">
        <v>74</v>
      </c>
      <c r="M934" t="s">
        <v>80</v>
      </c>
      <c r="N934" t="s">
        <v>138</v>
      </c>
      <c r="O934" t="s">
        <v>74</v>
      </c>
      <c r="P934" t="s">
        <v>74</v>
      </c>
      <c r="Q934" t="s">
        <v>74</v>
      </c>
      <c r="R934" t="s">
        <v>74</v>
      </c>
      <c r="S934" t="s">
        <v>74</v>
      </c>
      <c r="T934" t="s">
        <v>18169</v>
      </c>
      <c r="U934" t="s">
        <v>18170</v>
      </c>
      <c r="V934" t="s">
        <v>18171</v>
      </c>
      <c r="W934" t="s">
        <v>18172</v>
      </c>
      <c r="X934" t="s">
        <v>18173</v>
      </c>
      <c r="Y934" t="s">
        <v>18174</v>
      </c>
      <c r="Z934" t="s">
        <v>18175</v>
      </c>
      <c r="AA934" t="s">
        <v>18176</v>
      </c>
      <c r="AB934" t="s">
        <v>18177</v>
      </c>
      <c r="AC934" t="s">
        <v>18178</v>
      </c>
      <c r="AD934" t="s">
        <v>18179</v>
      </c>
      <c r="AE934" t="s">
        <v>18180</v>
      </c>
      <c r="AF934" t="s">
        <v>74</v>
      </c>
      <c r="AG934">
        <v>69</v>
      </c>
      <c r="AH934">
        <v>12</v>
      </c>
      <c r="AI934">
        <v>12</v>
      </c>
      <c r="AJ934">
        <v>0</v>
      </c>
      <c r="AK934">
        <v>11</v>
      </c>
      <c r="AL934" t="s">
        <v>18181</v>
      </c>
      <c r="AM934" t="s">
        <v>18182</v>
      </c>
      <c r="AN934" t="s">
        <v>18183</v>
      </c>
      <c r="AO934" t="s">
        <v>18184</v>
      </c>
      <c r="AP934" t="s">
        <v>18185</v>
      </c>
      <c r="AQ934" t="s">
        <v>74</v>
      </c>
      <c r="AR934" t="s">
        <v>18186</v>
      </c>
      <c r="AS934" t="s">
        <v>18187</v>
      </c>
      <c r="AT934" t="s">
        <v>3499</v>
      </c>
      <c r="AU934">
        <v>2019</v>
      </c>
      <c r="AV934">
        <v>83</v>
      </c>
      <c r="AW934">
        <v>3</v>
      </c>
      <c r="AX934" t="s">
        <v>74</v>
      </c>
      <c r="AY934" t="s">
        <v>74</v>
      </c>
      <c r="AZ934" t="s">
        <v>74</v>
      </c>
      <c r="BA934" t="s">
        <v>74</v>
      </c>
      <c r="BB934">
        <v>261</v>
      </c>
      <c r="BC934">
        <v>276</v>
      </c>
      <c r="BD934" t="s">
        <v>74</v>
      </c>
      <c r="BE934" t="s">
        <v>18188</v>
      </c>
      <c r="BF934" t="str">
        <f>HYPERLINK("http://dx.doi.org/10.3989/scimar.04845.26A","http://dx.doi.org/10.3989/scimar.04845.26A")</f>
        <v>http://dx.doi.org/10.3989/scimar.04845.26A</v>
      </c>
      <c r="BG934" t="s">
        <v>74</v>
      </c>
      <c r="BH934" t="s">
        <v>74</v>
      </c>
      <c r="BI934">
        <v>16</v>
      </c>
      <c r="BJ934" t="s">
        <v>557</v>
      </c>
      <c r="BK934" t="s">
        <v>294</v>
      </c>
      <c r="BL934" t="s">
        <v>557</v>
      </c>
      <c r="BM934" t="s">
        <v>18189</v>
      </c>
      <c r="BN934" t="s">
        <v>74</v>
      </c>
      <c r="BO934" t="s">
        <v>2934</v>
      </c>
      <c r="BP934" t="s">
        <v>74</v>
      </c>
      <c r="BQ934" t="s">
        <v>74</v>
      </c>
      <c r="BR934" t="s">
        <v>108</v>
      </c>
      <c r="BS934" t="s">
        <v>18190</v>
      </c>
      <c r="BT934" t="str">
        <f>HYPERLINK("https%3A%2F%2Fwww.webofscience.com%2Fwos%2Fwoscc%2Ffull-record%2FWOS:000486626200007","View Full Record in Web of Science")</f>
        <v>View Full Record in Web of Science</v>
      </c>
    </row>
    <row r="935" spans="1:72" x14ac:dyDescent="0.15">
      <c r="A935" t="s">
        <v>133</v>
      </c>
      <c r="B935" t="s">
        <v>18191</v>
      </c>
      <c r="C935" t="s">
        <v>74</v>
      </c>
      <c r="D935" t="s">
        <v>74</v>
      </c>
      <c r="E935" t="s">
        <v>74</v>
      </c>
      <c r="F935" t="s">
        <v>18192</v>
      </c>
      <c r="G935" t="s">
        <v>74</v>
      </c>
      <c r="H935" t="s">
        <v>74</v>
      </c>
      <c r="I935" t="s">
        <v>18193</v>
      </c>
      <c r="J935" t="s">
        <v>18194</v>
      </c>
      <c r="K935" t="s">
        <v>74</v>
      </c>
      <c r="L935" t="s">
        <v>74</v>
      </c>
      <c r="M935" t="s">
        <v>80</v>
      </c>
      <c r="N935" t="s">
        <v>52</v>
      </c>
      <c r="O935" t="s">
        <v>74</v>
      </c>
      <c r="P935" t="s">
        <v>74</v>
      </c>
      <c r="Q935" t="s">
        <v>74</v>
      </c>
      <c r="R935" t="s">
        <v>74</v>
      </c>
      <c r="S935" t="s">
        <v>74</v>
      </c>
      <c r="T935" t="s">
        <v>74</v>
      </c>
      <c r="U935" t="s">
        <v>74</v>
      </c>
      <c r="V935" t="s">
        <v>74</v>
      </c>
      <c r="W935" t="s">
        <v>18195</v>
      </c>
      <c r="X935" t="s">
        <v>18196</v>
      </c>
      <c r="Y935" t="s">
        <v>74</v>
      </c>
      <c r="Z935" t="s">
        <v>74</v>
      </c>
      <c r="AA935" t="s">
        <v>18197</v>
      </c>
      <c r="AB935" t="s">
        <v>18198</v>
      </c>
      <c r="AC935" t="s">
        <v>74</v>
      </c>
      <c r="AD935" t="s">
        <v>74</v>
      </c>
      <c r="AE935" t="s">
        <v>74</v>
      </c>
      <c r="AF935" t="s">
        <v>74</v>
      </c>
      <c r="AG935">
        <v>0</v>
      </c>
      <c r="AH935">
        <v>0</v>
      </c>
      <c r="AI935">
        <v>0</v>
      </c>
      <c r="AJ935">
        <v>0</v>
      </c>
      <c r="AK935">
        <v>3</v>
      </c>
      <c r="AL935" t="s">
        <v>429</v>
      </c>
      <c r="AM935" t="s">
        <v>430</v>
      </c>
      <c r="AN935" t="s">
        <v>431</v>
      </c>
      <c r="AO935" t="s">
        <v>18199</v>
      </c>
      <c r="AP935" t="s">
        <v>18200</v>
      </c>
      <c r="AQ935" t="s">
        <v>74</v>
      </c>
      <c r="AR935" t="s">
        <v>18201</v>
      </c>
      <c r="AS935" t="s">
        <v>18202</v>
      </c>
      <c r="AT935" t="s">
        <v>3499</v>
      </c>
      <c r="AU935">
        <v>2019</v>
      </c>
      <c r="AV935">
        <v>227</v>
      </c>
      <c r="AW935" t="s">
        <v>74</v>
      </c>
      <c r="AX935" t="s">
        <v>74</v>
      </c>
      <c r="AY935">
        <v>718</v>
      </c>
      <c r="AZ935" t="s">
        <v>555</v>
      </c>
      <c r="BA935" t="s">
        <v>18203</v>
      </c>
      <c r="BB935">
        <v>107</v>
      </c>
      <c r="BC935">
        <v>107</v>
      </c>
      <c r="BD935" t="s">
        <v>74</v>
      </c>
      <c r="BE935" t="s">
        <v>74</v>
      </c>
      <c r="BF935" t="s">
        <v>74</v>
      </c>
      <c r="BG935" t="s">
        <v>74</v>
      </c>
      <c r="BH935" t="s">
        <v>74</v>
      </c>
      <c r="BI935">
        <v>1</v>
      </c>
      <c r="BJ935" t="s">
        <v>8223</v>
      </c>
      <c r="BK935" t="s">
        <v>294</v>
      </c>
      <c r="BL935" t="s">
        <v>8223</v>
      </c>
      <c r="BM935" t="s">
        <v>18204</v>
      </c>
      <c r="BN935" t="s">
        <v>74</v>
      </c>
      <c r="BO935" t="s">
        <v>74</v>
      </c>
      <c r="BP935" t="s">
        <v>74</v>
      </c>
      <c r="BQ935" t="s">
        <v>74</v>
      </c>
      <c r="BR935" t="s">
        <v>108</v>
      </c>
      <c r="BS935" t="s">
        <v>18205</v>
      </c>
      <c r="BT935" t="str">
        <f>HYPERLINK("https%3A%2F%2Fwww.webofscience.com%2Fwos%2Fwoscc%2Ffull-record%2FWOS:000485252000258","View Full Record in Web of Science")</f>
        <v>View Full Record in Web of Science</v>
      </c>
    </row>
    <row r="936" spans="1:72" x14ac:dyDescent="0.15">
      <c r="A936" t="s">
        <v>133</v>
      </c>
      <c r="B936" t="s">
        <v>18206</v>
      </c>
      <c r="C936" t="s">
        <v>74</v>
      </c>
      <c r="D936" t="s">
        <v>74</v>
      </c>
      <c r="E936" t="s">
        <v>74</v>
      </c>
      <c r="F936" t="s">
        <v>18207</v>
      </c>
      <c r="G936" t="s">
        <v>74</v>
      </c>
      <c r="H936" t="s">
        <v>74</v>
      </c>
      <c r="I936" t="s">
        <v>18208</v>
      </c>
      <c r="J936" t="s">
        <v>18194</v>
      </c>
      <c r="K936" t="s">
        <v>74</v>
      </c>
      <c r="L936" t="s">
        <v>74</v>
      </c>
      <c r="M936" t="s">
        <v>80</v>
      </c>
      <c r="N936" t="s">
        <v>52</v>
      </c>
      <c r="O936" t="s">
        <v>74</v>
      </c>
      <c r="P936" t="s">
        <v>74</v>
      </c>
      <c r="Q936" t="s">
        <v>74</v>
      </c>
      <c r="R936" t="s">
        <v>74</v>
      </c>
      <c r="S936" t="s">
        <v>74</v>
      </c>
      <c r="T936" t="s">
        <v>74</v>
      </c>
      <c r="U936" t="s">
        <v>74</v>
      </c>
      <c r="V936" t="s">
        <v>74</v>
      </c>
      <c r="W936" t="s">
        <v>18209</v>
      </c>
      <c r="X936" t="s">
        <v>18210</v>
      </c>
      <c r="Y936" t="s">
        <v>74</v>
      </c>
      <c r="Z936" t="s">
        <v>74</v>
      </c>
      <c r="AA936" t="s">
        <v>18211</v>
      </c>
      <c r="AB936" t="s">
        <v>18212</v>
      </c>
      <c r="AC936" t="s">
        <v>18213</v>
      </c>
      <c r="AD936" t="s">
        <v>18214</v>
      </c>
      <c r="AE936" t="s">
        <v>18215</v>
      </c>
      <c r="AF936" t="s">
        <v>74</v>
      </c>
      <c r="AG936">
        <v>0</v>
      </c>
      <c r="AH936">
        <v>1</v>
      </c>
      <c r="AI936">
        <v>1</v>
      </c>
      <c r="AJ936">
        <v>0</v>
      </c>
      <c r="AK936">
        <v>1</v>
      </c>
      <c r="AL936" t="s">
        <v>429</v>
      </c>
      <c r="AM936" t="s">
        <v>430</v>
      </c>
      <c r="AN936" t="s">
        <v>431</v>
      </c>
      <c r="AO936" t="s">
        <v>18199</v>
      </c>
      <c r="AP936" t="s">
        <v>18200</v>
      </c>
      <c r="AQ936" t="s">
        <v>74</v>
      </c>
      <c r="AR936" t="s">
        <v>18201</v>
      </c>
      <c r="AS936" t="s">
        <v>18202</v>
      </c>
      <c r="AT936" t="s">
        <v>3499</v>
      </c>
      <c r="AU936">
        <v>2019</v>
      </c>
      <c r="AV936">
        <v>227</v>
      </c>
      <c r="AW936" t="s">
        <v>74</v>
      </c>
      <c r="AX936" t="s">
        <v>74</v>
      </c>
      <c r="AY936">
        <v>718</v>
      </c>
      <c r="AZ936" t="s">
        <v>555</v>
      </c>
      <c r="BA936" t="s">
        <v>18216</v>
      </c>
      <c r="BB936">
        <v>107</v>
      </c>
      <c r="BC936">
        <v>108</v>
      </c>
      <c r="BD936" t="s">
        <v>74</v>
      </c>
      <c r="BE936" t="s">
        <v>74</v>
      </c>
      <c r="BF936" t="s">
        <v>74</v>
      </c>
      <c r="BG936" t="s">
        <v>74</v>
      </c>
      <c r="BH936" t="s">
        <v>74</v>
      </c>
      <c r="BI936">
        <v>2</v>
      </c>
      <c r="BJ936" t="s">
        <v>8223</v>
      </c>
      <c r="BK936" t="s">
        <v>294</v>
      </c>
      <c r="BL936" t="s">
        <v>8223</v>
      </c>
      <c r="BM936" t="s">
        <v>18204</v>
      </c>
      <c r="BN936" t="s">
        <v>74</v>
      </c>
      <c r="BO936" t="s">
        <v>74</v>
      </c>
      <c r="BP936" t="s">
        <v>74</v>
      </c>
      <c r="BQ936" t="s">
        <v>74</v>
      </c>
      <c r="BR936" t="s">
        <v>108</v>
      </c>
      <c r="BS936" t="s">
        <v>18217</v>
      </c>
      <c r="BT936" t="str">
        <f>HYPERLINK("https%3A%2F%2Fwww.webofscience.com%2Fwos%2Fwoscc%2Ffull-record%2FWOS:000485252000259","View Full Record in Web of Science")</f>
        <v>View Full Record in Web of Science</v>
      </c>
    </row>
    <row r="937" spans="1:72" x14ac:dyDescent="0.15">
      <c r="A937" t="s">
        <v>133</v>
      </c>
      <c r="B937" t="s">
        <v>18218</v>
      </c>
      <c r="C937" t="s">
        <v>74</v>
      </c>
      <c r="D937" t="s">
        <v>74</v>
      </c>
      <c r="E937" t="s">
        <v>74</v>
      </c>
      <c r="F937" t="s">
        <v>18219</v>
      </c>
      <c r="G937" t="s">
        <v>74</v>
      </c>
      <c r="H937" t="s">
        <v>74</v>
      </c>
      <c r="I937" t="s">
        <v>18220</v>
      </c>
      <c r="J937" t="s">
        <v>3649</v>
      </c>
      <c r="K937" t="s">
        <v>74</v>
      </c>
      <c r="L937" t="s">
        <v>74</v>
      </c>
      <c r="M937" t="s">
        <v>80</v>
      </c>
      <c r="N937" t="s">
        <v>138</v>
      </c>
      <c r="O937" t="s">
        <v>74</v>
      </c>
      <c r="P937" t="s">
        <v>74</v>
      </c>
      <c r="Q937" t="s">
        <v>74</v>
      </c>
      <c r="R937" t="s">
        <v>74</v>
      </c>
      <c r="S937" t="s">
        <v>74</v>
      </c>
      <c r="T937" t="s">
        <v>18221</v>
      </c>
      <c r="U937" t="s">
        <v>18222</v>
      </c>
      <c r="V937" t="s">
        <v>18223</v>
      </c>
      <c r="W937" t="s">
        <v>18224</v>
      </c>
      <c r="X937" t="s">
        <v>18225</v>
      </c>
      <c r="Y937" t="s">
        <v>18226</v>
      </c>
      <c r="Z937" t="s">
        <v>18227</v>
      </c>
      <c r="AA937" t="s">
        <v>74</v>
      </c>
      <c r="AB937" t="s">
        <v>18228</v>
      </c>
      <c r="AC937" t="s">
        <v>18229</v>
      </c>
      <c r="AD937" t="s">
        <v>18230</v>
      </c>
      <c r="AE937" t="s">
        <v>18231</v>
      </c>
      <c r="AF937" t="s">
        <v>74</v>
      </c>
      <c r="AG937">
        <v>57</v>
      </c>
      <c r="AH937">
        <v>11</v>
      </c>
      <c r="AI937">
        <v>12</v>
      </c>
      <c r="AJ937">
        <v>0</v>
      </c>
      <c r="AK937">
        <v>16</v>
      </c>
      <c r="AL937" t="s">
        <v>605</v>
      </c>
      <c r="AM937" t="s">
        <v>606</v>
      </c>
      <c r="AN937" t="s">
        <v>629</v>
      </c>
      <c r="AO937" t="s">
        <v>3661</v>
      </c>
      <c r="AP937" t="s">
        <v>3662</v>
      </c>
      <c r="AQ937" t="s">
        <v>74</v>
      </c>
      <c r="AR937" t="s">
        <v>3663</v>
      </c>
      <c r="AS937" t="s">
        <v>3664</v>
      </c>
      <c r="AT937" t="s">
        <v>3499</v>
      </c>
      <c r="AU937">
        <v>2019</v>
      </c>
      <c r="AV937">
        <v>60</v>
      </c>
      <c r="AW937">
        <v>79</v>
      </c>
      <c r="AX937" t="s">
        <v>74</v>
      </c>
      <c r="AY937" t="s">
        <v>74</v>
      </c>
      <c r="AZ937" t="s">
        <v>74</v>
      </c>
      <c r="BA937" t="s">
        <v>74</v>
      </c>
      <c r="BB937">
        <v>125</v>
      </c>
      <c r="BC937">
        <v>136</v>
      </c>
      <c r="BD937" t="s">
        <v>74</v>
      </c>
      <c r="BE937" t="s">
        <v>18232</v>
      </c>
      <c r="BF937" t="str">
        <f>HYPERLINK("http://dx.doi.org/10.1017/aog.2018.34","http://dx.doi.org/10.1017/aog.2018.34")</f>
        <v>http://dx.doi.org/10.1017/aog.2018.34</v>
      </c>
      <c r="BG937" t="s">
        <v>74</v>
      </c>
      <c r="BH937" t="s">
        <v>74</v>
      </c>
      <c r="BI937">
        <v>12</v>
      </c>
      <c r="BJ937" t="s">
        <v>462</v>
      </c>
      <c r="BK937" t="s">
        <v>294</v>
      </c>
      <c r="BL937" t="s">
        <v>463</v>
      </c>
      <c r="BM937" t="s">
        <v>18233</v>
      </c>
      <c r="BN937" t="s">
        <v>74</v>
      </c>
      <c r="BO937" t="s">
        <v>107</v>
      </c>
      <c r="BP937" t="s">
        <v>74</v>
      </c>
      <c r="BQ937" t="s">
        <v>74</v>
      </c>
      <c r="BR937" t="s">
        <v>108</v>
      </c>
      <c r="BS937" t="s">
        <v>18234</v>
      </c>
      <c r="BT937" t="str">
        <f>HYPERLINK("https%3A%2F%2Fwww.webofscience.com%2Fwos%2Fwoscc%2Ffull-record%2FWOS:000480289300011","View Full Record in Web of Science")</f>
        <v>View Full Record in Web of Science</v>
      </c>
    </row>
    <row r="938" spans="1:72" x14ac:dyDescent="0.15">
      <c r="A938" t="s">
        <v>133</v>
      </c>
      <c r="B938" t="s">
        <v>18235</v>
      </c>
      <c r="C938" t="s">
        <v>74</v>
      </c>
      <c r="D938" t="s">
        <v>74</v>
      </c>
      <c r="E938" t="s">
        <v>74</v>
      </c>
      <c r="F938" t="s">
        <v>18236</v>
      </c>
      <c r="G938" t="s">
        <v>74</v>
      </c>
      <c r="H938" t="s">
        <v>74</v>
      </c>
      <c r="I938" t="s">
        <v>18237</v>
      </c>
      <c r="J938" t="s">
        <v>12075</v>
      </c>
      <c r="K938" t="s">
        <v>74</v>
      </c>
      <c r="L938" t="s">
        <v>74</v>
      </c>
      <c r="M938" t="s">
        <v>80</v>
      </c>
      <c r="N938" t="s">
        <v>138</v>
      </c>
      <c r="O938" t="s">
        <v>74</v>
      </c>
      <c r="P938" t="s">
        <v>74</v>
      </c>
      <c r="Q938" t="s">
        <v>74</v>
      </c>
      <c r="R938" t="s">
        <v>74</v>
      </c>
      <c r="S938" t="s">
        <v>74</v>
      </c>
      <c r="T938" t="s">
        <v>18238</v>
      </c>
      <c r="U938" t="s">
        <v>18239</v>
      </c>
      <c r="V938" t="s">
        <v>18240</v>
      </c>
      <c r="W938" t="s">
        <v>18241</v>
      </c>
      <c r="X938" t="s">
        <v>7461</v>
      </c>
      <c r="Y938" t="s">
        <v>18242</v>
      </c>
      <c r="Z938" t="s">
        <v>18243</v>
      </c>
      <c r="AA938" t="s">
        <v>18244</v>
      </c>
      <c r="AB938" t="s">
        <v>18245</v>
      </c>
      <c r="AC938" t="s">
        <v>18246</v>
      </c>
      <c r="AD938" t="s">
        <v>18247</v>
      </c>
      <c r="AE938" t="s">
        <v>18248</v>
      </c>
      <c r="AF938" t="s">
        <v>74</v>
      </c>
      <c r="AG938">
        <v>86</v>
      </c>
      <c r="AH938">
        <v>2</v>
      </c>
      <c r="AI938">
        <v>2</v>
      </c>
      <c r="AJ938">
        <v>0</v>
      </c>
      <c r="AK938">
        <v>15</v>
      </c>
      <c r="AL938" t="s">
        <v>429</v>
      </c>
      <c r="AM938" t="s">
        <v>430</v>
      </c>
      <c r="AN938" t="s">
        <v>431</v>
      </c>
      <c r="AO938" t="s">
        <v>12088</v>
      </c>
      <c r="AP938" t="s">
        <v>12089</v>
      </c>
      <c r="AQ938" t="s">
        <v>74</v>
      </c>
      <c r="AR938" t="s">
        <v>12090</v>
      </c>
      <c r="AS938" t="s">
        <v>12091</v>
      </c>
      <c r="AT938" t="s">
        <v>3499</v>
      </c>
      <c r="AU938">
        <v>2019</v>
      </c>
      <c r="AV938">
        <v>29</v>
      </c>
      <c r="AW938" t="s">
        <v>74</v>
      </c>
      <c r="AX938" t="s">
        <v>74</v>
      </c>
      <c r="AY938">
        <v>1</v>
      </c>
      <c r="AZ938" t="s">
        <v>555</v>
      </c>
      <c r="BA938" t="s">
        <v>74</v>
      </c>
      <c r="BB938">
        <v>283</v>
      </c>
      <c r="BC938">
        <v>304</v>
      </c>
      <c r="BD938" t="s">
        <v>74</v>
      </c>
      <c r="BE938" t="s">
        <v>18249</v>
      </c>
      <c r="BF938" t="str">
        <f>HYPERLINK("http://dx.doi.org/10.1002/aqc.3183","http://dx.doi.org/10.1002/aqc.3183")</f>
        <v>http://dx.doi.org/10.1002/aqc.3183</v>
      </c>
      <c r="BG938" t="s">
        <v>74</v>
      </c>
      <c r="BH938" t="s">
        <v>74</v>
      </c>
      <c r="BI938">
        <v>22</v>
      </c>
      <c r="BJ938" t="s">
        <v>12093</v>
      </c>
      <c r="BK938" t="s">
        <v>294</v>
      </c>
      <c r="BL938" t="s">
        <v>12094</v>
      </c>
      <c r="BM938" t="s">
        <v>18250</v>
      </c>
      <c r="BN938" t="s">
        <v>74</v>
      </c>
      <c r="BO938" t="s">
        <v>74</v>
      </c>
      <c r="BP938" t="s">
        <v>74</v>
      </c>
      <c r="BQ938" t="s">
        <v>74</v>
      </c>
      <c r="BR938" t="s">
        <v>108</v>
      </c>
      <c r="BS938" t="s">
        <v>18251</v>
      </c>
      <c r="BT938" t="str">
        <f>HYPERLINK("https%3A%2F%2Fwww.webofscience.com%2Fwos%2Fwoscc%2Ffull-record%2FWOS:000484997200020","View Full Record in Web of Science")</f>
        <v>View Full Record in Web of Science</v>
      </c>
    </row>
    <row r="939" spans="1:72" x14ac:dyDescent="0.15">
      <c r="A939" t="s">
        <v>133</v>
      </c>
      <c r="B939" t="s">
        <v>18252</v>
      </c>
      <c r="C939" t="s">
        <v>74</v>
      </c>
      <c r="D939" t="s">
        <v>74</v>
      </c>
      <c r="E939" t="s">
        <v>74</v>
      </c>
      <c r="F939" t="s">
        <v>18253</v>
      </c>
      <c r="G939" t="s">
        <v>74</v>
      </c>
      <c r="H939" t="s">
        <v>74</v>
      </c>
      <c r="I939" t="s">
        <v>18254</v>
      </c>
      <c r="J939" t="s">
        <v>9919</v>
      </c>
      <c r="K939" t="s">
        <v>74</v>
      </c>
      <c r="L939" t="s">
        <v>74</v>
      </c>
      <c r="M939" t="s">
        <v>80</v>
      </c>
      <c r="N939" t="s">
        <v>930</v>
      </c>
      <c r="O939" t="s">
        <v>74</v>
      </c>
      <c r="P939" t="s">
        <v>74</v>
      </c>
      <c r="Q939" t="s">
        <v>74</v>
      </c>
      <c r="R939" t="s">
        <v>74</v>
      </c>
      <c r="S939" t="s">
        <v>74</v>
      </c>
      <c r="T939" t="s">
        <v>18255</v>
      </c>
      <c r="U939" t="s">
        <v>18256</v>
      </c>
      <c r="V939" t="s">
        <v>18257</v>
      </c>
      <c r="W939" t="s">
        <v>18258</v>
      </c>
      <c r="X939" t="s">
        <v>18259</v>
      </c>
      <c r="Y939" t="s">
        <v>18260</v>
      </c>
      <c r="Z939" t="s">
        <v>18261</v>
      </c>
      <c r="AA939" t="s">
        <v>18262</v>
      </c>
      <c r="AB939" t="s">
        <v>18263</v>
      </c>
      <c r="AC939" t="s">
        <v>18264</v>
      </c>
      <c r="AD939" t="s">
        <v>18265</v>
      </c>
      <c r="AE939" t="s">
        <v>18266</v>
      </c>
      <c r="AF939" t="s">
        <v>74</v>
      </c>
      <c r="AG939">
        <v>115</v>
      </c>
      <c r="AH939">
        <v>34</v>
      </c>
      <c r="AI939">
        <v>36</v>
      </c>
      <c r="AJ939">
        <v>0</v>
      </c>
      <c r="AK939">
        <v>20</v>
      </c>
      <c r="AL939" t="s">
        <v>284</v>
      </c>
      <c r="AM939" t="s">
        <v>285</v>
      </c>
      <c r="AN939" t="s">
        <v>286</v>
      </c>
      <c r="AO939" t="s">
        <v>9932</v>
      </c>
      <c r="AP939" t="s">
        <v>9933</v>
      </c>
      <c r="AQ939" t="s">
        <v>74</v>
      </c>
      <c r="AR939" t="s">
        <v>9934</v>
      </c>
      <c r="AS939" t="s">
        <v>9935</v>
      </c>
      <c r="AT939" t="s">
        <v>3499</v>
      </c>
      <c r="AU939">
        <v>2019</v>
      </c>
      <c r="AV939">
        <v>196</v>
      </c>
      <c r="AW939" t="s">
        <v>74</v>
      </c>
      <c r="AX939" t="s">
        <v>74</v>
      </c>
      <c r="AY939" t="s">
        <v>74</v>
      </c>
      <c r="AZ939" t="s">
        <v>74</v>
      </c>
      <c r="BA939" t="s">
        <v>74</v>
      </c>
      <c r="BB939" t="s">
        <v>74</v>
      </c>
      <c r="BC939" t="s">
        <v>74</v>
      </c>
      <c r="BD939" t="s">
        <v>74</v>
      </c>
      <c r="BE939" t="s">
        <v>18267</v>
      </c>
      <c r="BF939" t="str">
        <f>HYPERLINK("http://dx.doi.org/10.1016/j.earscirev.2019.102882","http://dx.doi.org/10.1016/j.earscirev.2019.102882")</f>
        <v>http://dx.doi.org/10.1016/j.earscirev.2019.102882</v>
      </c>
      <c r="BG939" t="s">
        <v>74</v>
      </c>
      <c r="BH939" t="s">
        <v>74</v>
      </c>
      <c r="BI939">
        <v>18</v>
      </c>
      <c r="BJ939" t="s">
        <v>849</v>
      </c>
      <c r="BK939" t="s">
        <v>294</v>
      </c>
      <c r="BL939" t="s">
        <v>850</v>
      </c>
      <c r="BM939" t="s">
        <v>18268</v>
      </c>
      <c r="BN939" t="s">
        <v>74</v>
      </c>
      <c r="BO939" t="s">
        <v>4930</v>
      </c>
      <c r="BP939" t="s">
        <v>74</v>
      </c>
      <c r="BQ939" t="s">
        <v>74</v>
      </c>
      <c r="BR939" t="s">
        <v>108</v>
      </c>
      <c r="BS939" t="s">
        <v>18269</v>
      </c>
      <c r="BT939" t="str">
        <f>HYPERLINK("https%3A%2F%2Fwww.webofscience.com%2Fwos%2Fwoscc%2Ffull-record%2FWOS:000482246200014","View Full Record in Web of Science")</f>
        <v>View Full Record in Web of Science</v>
      </c>
    </row>
    <row r="940" spans="1:72" x14ac:dyDescent="0.15">
      <c r="A940" t="s">
        <v>133</v>
      </c>
      <c r="B940" t="s">
        <v>18270</v>
      </c>
      <c r="C940" t="s">
        <v>74</v>
      </c>
      <c r="D940" t="s">
        <v>74</v>
      </c>
      <c r="E940" t="s">
        <v>74</v>
      </c>
      <c r="F940" t="s">
        <v>18271</v>
      </c>
      <c r="G940" t="s">
        <v>74</v>
      </c>
      <c r="H940" t="s">
        <v>74</v>
      </c>
      <c r="I940" t="s">
        <v>18272</v>
      </c>
      <c r="J940" t="s">
        <v>9919</v>
      </c>
      <c r="K940" t="s">
        <v>74</v>
      </c>
      <c r="L940" t="s">
        <v>74</v>
      </c>
      <c r="M940" t="s">
        <v>80</v>
      </c>
      <c r="N940" t="s">
        <v>930</v>
      </c>
      <c r="O940" t="s">
        <v>74</v>
      </c>
      <c r="P940" t="s">
        <v>74</v>
      </c>
      <c r="Q940" t="s">
        <v>74</v>
      </c>
      <c r="R940" t="s">
        <v>74</v>
      </c>
      <c r="S940" t="s">
        <v>74</v>
      </c>
      <c r="T940" t="s">
        <v>18273</v>
      </c>
      <c r="U940" t="s">
        <v>18274</v>
      </c>
      <c r="V940" t="s">
        <v>18275</v>
      </c>
      <c r="W940" t="s">
        <v>18276</v>
      </c>
      <c r="X940" t="s">
        <v>18277</v>
      </c>
      <c r="Y940" t="s">
        <v>18278</v>
      </c>
      <c r="Z940" t="s">
        <v>18279</v>
      </c>
      <c r="AA940" t="s">
        <v>18280</v>
      </c>
      <c r="AB940" t="s">
        <v>18281</v>
      </c>
      <c r="AC940" t="s">
        <v>18282</v>
      </c>
      <c r="AD940" t="s">
        <v>18283</v>
      </c>
      <c r="AE940" t="s">
        <v>18284</v>
      </c>
      <c r="AF940" t="s">
        <v>74</v>
      </c>
      <c r="AG940">
        <v>118</v>
      </c>
      <c r="AH940">
        <v>13</v>
      </c>
      <c r="AI940">
        <v>13</v>
      </c>
      <c r="AJ940">
        <v>1</v>
      </c>
      <c r="AK940">
        <v>28</v>
      </c>
      <c r="AL940" t="s">
        <v>284</v>
      </c>
      <c r="AM940" t="s">
        <v>285</v>
      </c>
      <c r="AN940" t="s">
        <v>286</v>
      </c>
      <c r="AO940" t="s">
        <v>9932</v>
      </c>
      <c r="AP940" t="s">
        <v>9933</v>
      </c>
      <c r="AQ940" t="s">
        <v>74</v>
      </c>
      <c r="AR940" t="s">
        <v>9934</v>
      </c>
      <c r="AS940" t="s">
        <v>9935</v>
      </c>
      <c r="AT940" t="s">
        <v>3499</v>
      </c>
      <c r="AU940">
        <v>2019</v>
      </c>
      <c r="AV940">
        <v>196</v>
      </c>
      <c r="AW940" t="s">
        <v>74</v>
      </c>
      <c r="AX940" t="s">
        <v>74</v>
      </c>
      <c r="AY940" t="s">
        <v>74</v>
      </c>
      <c r="AZ940" t="s">
        <v>74</v>
      </c>
      <c r="BA940" t="s">
        <v>74</v>
      </c>
      <c r="BB940" t="s">
        <v>74</v>
      </c>
      <c r="BC940" t="s">
        <v>74</v>
      </c>
      <c r="BD940" t="s">
        <v>74</v>
      </c>
      <c r="BE940" t="s">
        <v>18285</v>
      </c>
      <c r="BF940" t="str">
        <f>HYPERLINK("http://dx.doi.org/10.1016/j.earscirev.2019.04.004","http://dx.doi.org/10.1016/j.earscirev.2019.04.004")</f>
        <v>http://dx.doi.org/10.1016/j.earscirev.2019.04.004</v>
      </c>
      <c r="BG940" t="s">
        <v>74</v>
      </c>
      <c r="BH940" t="s">
        <v>74</v>
      </c>
      <c r="BI940">
        <v>47</v>
      </c>
      <c r="BJ940" t="s">
        <v>849</v>
      </c>
      <c r="BK940" t="s">
        <v>294</v>
      </c>
      <c r="BL940" t="s">
        <v>850</v>
      </c>
      <c r="BM940" t="s">
        <v>18268</v>
      </c>
      <c r="BN940" t="s">
        <v>74</v>
      </c>
      <c r="BO940" t="s">
        <v>1482</v>
      </c>
      <c r="BP940" t="s">
        <v>74</v>
      </c>
      <c r="BQ940" t="s">
        <v>74</v>
      </c>
      <c r="BR940" t="s">
        <v>108</v>
      </c>
      <c r="BS940" t="s">
        <v>18286</v>
      </c>
      <c r="BT940" t="str">
        <f>HYPERLINK("https%3A%2F%2Fwww.webofscience.com%2Fwos%2Fwoscc%2Ffull-record%2FWOS:000482246200013","View Full Record in Web of Science")</f>
        <v>View Full Record in Web of Science</v>
      </c>
    </row>
    <row r="941" spans="1:72" x14ac:dyDescent="0.15">
      <c r="A941" t="s">
        <v>133</v>
      </c>
      <c r="B941" t="s">
        <v>18287</v>
      </c>
      <c r="C941" t="s">
        <v>74</v>
      </c>
      <c r="D941" t="s">
        <v>74</v>
      </c>
      <c r="E941" t="s">
        <v>74</v>
      </c>
      <c r="F941" t="s">
        <v>18288</v>
      </c>
      <c r="G941" t="s">
        <v>74</v>
      </c>
      <c r="H941" t="s">
        <v>74</v>
      </c>
      <c r="I941" t="s">
        <v>18289</v>
      </c>
      <c r="J941" t="s">
        <v>18290</v>
      </c>
      <c r="K941" t="s">
        <v>74</v>
      </c>
      <c r="L941" t="s">
        <v>74</v>
      </c>
      <c r="M941" t="s">
        <v>80</v>
      </c>
      <c r="N941" t="s">
        <v>138</v>
      </c>
      <c r="O941" t="s">
        <v>74</v>
      </c>
      <c r="P941" t="s">
        <v>74</v>
      </c>
      <c r="Q941" t="s">
        <v>74</v>
      </c>
      <c r="R941" t="s">
        <v>74</v>
      </c>
      <c r="S941" t="s">
        <v>74</v>
      </c>
      <c r="T941" t="s">
        <v>74</v>
      </c>
      <c r="U941" t="s">
        <v>18291</v>
      </c>
      <c r="V941" t="s">
        <v>18292</v>
      </c>
      <c r="W941" t="s">
        <v>18293</v>
      </c>
      <c r="X941" t="s">
        <v>18294</v>
      </c>
      <c r="Y941" t="s">
        <v>18295</v>
      </c>
      <c r="Z941" t="s">
        <v>18296</v>
      </c>
      <c r="AA941" t="s">
        <v>18297</v>
      </c>
      <c r="AB941" t="s">
        <v>18298</v>
      </c>
      <c r="AC941" t="s">
        <v>18299</v>
      </c>
      <c r="AD941" t="s">
        <v>18300</v>
      </c>
      <c r="AE941" t="s">
        <v>18301</v>
      </c>
      <c r="AF941" t="s">
        <v>74</v>
      </c>
      <c r="AG941">
        <v>37</v>
      </c>
      <c r="AH941">
        <v>3</v>
      </c>
      <c r="AI941">
        <v>3</v>
      </c>
      <c r="AJ941">
        <v>1</v>
      </c>
      <c r="AK941">
        <v>18</v>
      </c>
      <c r="AL941" t="s">
        <v>18302</v>
      </c>
      <c r="AM941" t="s">
        <v>1706</v>
      </c>
      <c r="AN941" t="s">
        <v>18303</v>
      </c>
      <c r="AO941" t="s">
        <v>18304</v>
      </c>
      <c r="AP941" t="s">
        <v>74</v>
      </c>
      <c r="AQ941" t="s">
        <v>74</v>
      </c>
      <c r="AR941" t="s">
        <v>18290</v>
      </c>
      <c r="AS941" t="s">
        <v>18305</v>
      </c>
      <c r="AT941" t="s">
        <v>3499</v>
      </c>
      <c r="AU941">
        <v>2019</v>
      </c>
      <c r="AV941">
        <v>42</v>
      </c>
      <c r="AW941">
        <v>3</v>
      </c>
      <c r="AX941" t="s">
        <v>74</v>
      </c>
      <c r="AY941" t="s">
        <v>74</v>
      </c>
      <c r="AZ941" t="s">
        <v>74</v>
      </c>
      <c r="BA941" t="s">
        <v>74</v>
      </c>
      <c r="BB941">
        <v>245</v>
      </c>
      <c r="BC941">
        <v>252</v>
      </c>
      <c r="BD941" t="s">
        <v>74</v>
      </c>
      <c r="BE941" t="s">
        <v>18306</v>
      </c>
      <c r="BF941" t="str">
        <f>HYPERLINK("http://dx.doi.org/10.18814/epiiugs/2019/019020","http://dx.doi.org/10.18814/epiiugs/2019/019020")</f>
        <v>http://dx.doi.org/10.18814/epiiugs/2019/019020</v>
      </c>
      <c r="BG941" t="s">
        <v>74</v>
      </c>
      <c r="BH941" t="s">
        <v>74</v>
      </c>
      <c r="BI941">
        <v>8</v>
      </c>
      <c r="BJ941" t="s">
        <v>849</v>
      </c>
      <c r="BK941" t="s">
        <v>294</v>
      </c>
      <c r="BL941" t="s">
        <v>850</v>
      </c>
      <c r="BM941" t="s">
        <v>18307</v>
      </c>
      <c r="BN941" t="s">
        <v>74</v>
      </c>
      <c r="BO941" t="s">
        <v>107</v>
      </c>
      <c r="BP941" t="s">
        <v>74</v>
      </c>
      <c r="BQ941" t="s">
        <v>74</v>
      </c>
      <c r="BR941" t="s">
        <v>108</v>
      </c>
      <c r="BS941" t="s">
        <v>18308</v>
      </c>
      <c r="BT941" t="str">
        <f>HYPERLINK("https%3A%2F%2Fwww.webofscience.com%2Fwos%2Fwoscc%2Ffull-record%2FWOS:000485671600007","View Full Record in Web of Science")</f>
        <v>View Full Record in Web of Science</v>
      </c>
    </row>
    <row r="942" spans="1:72" x14ac:dyDescent="0.15">
      <c r="A942" t="s">
        <v>133</v>
      </c>
      <c r="B942" t="s">
        <v>18309</v>
      </c>
      <c r="C942" t="s">
        <v>74</v>
      </c>
      <c r="D942" t="s">
        <v>74</v>
      </c>
      <c r="E942" t="s">
        <v>74</v>
      </c>
      <c r="F942" t="s">
        <v>18310</v>
      </c>
      <c r="G942" t="s">
        <v>74</v>
      </c>
      <c r="H942" t="s">
        <v>74</v>
      </c>
      <c r="I942" t="s">
        <v>18311</v>
      </c>
      <c r="J942" t="s">
        <v>18312</v>
      </c>
      <c r="K942" t="s">
        <v>74</v>
      </c>
      <c r="L942" t="s">
        <v>74</v>
      </c>
      <c r="M942" t="s">
        <v>80</v>
      </c>
      <c r="N942" t="s">
        <v>138</v>
      </c>
      <c r="O942" t="s">
        <v>74</v>
      </c>
      <c r="P942" t="s">
        <v>74</v>
      </c>
      <c r="Q942" t="s">
        <v>74</v>
      </c>
      <c r="R942" t="s">
        <v>74</v>
      </c>
      <c r="S942" t="s">
        <v>74</v>
      </c>
      <c r="T942" t="s">
        <v>18313</v>
      </c>
      <c r="U942" t="s">
        <v>18314</v>
      </c>
      <c r="V942" t="s">
        <v>18315</v>
      </c>
      <c r="W942" t="s">
        <v>18316</v>
      </c>
      <c r="X942" t="s">
        <v>18317</v>
      </c>
      <c r="Y942" t="s">
        <v>18318</v>
      </c>
      <c r="Z942" t="s">
        <v>18319</v>
      </c>
      <c r="AA942" t="s">
        <v>74</v>
      </c>
      <c r="AB942" t="s">
        <v>18320</v>
      </c>
      <c r="AC942" t="s">
        <v>18321</v>
      </c>
      <c r="AD942" t="s">
        <v>18322</v>
      </c>
      <c r="AE942" t="s">
        <v>18323</v>
      </c>
      <c r="AF942" t="s">
        <v>74</v>
      </c>
      <c r="AG942">
        <v>57</v>
      </c>
      <c r="AH942">
        <v>4</v>
      </c>
      <c r="AI942">
        <v>4</v>
      </c>
      <c r="AJ942">
        <v>0</v>
      </c>
      <c r="AK942">
        <v>4</v>
      </c>
      <c r="AL942" t="s">
        <v>18324</v>
      </c>
      <c r="AM942" t="s">
        <v>1706</v>
      </c>
      <c r="AN942" t="s">
        <v>18325</v>
      </c>
      <c r="AO942" t="s">
        <v>18326</v>
      </c>
      <c r="AP942" t="s">
        <v>18327</v>
      </c>
      <c r="AQ942" t="s">
        <v>74</v>
      </c>
      <c r="AR942" t="s">
        <v>18328</v>
      </c>
      <c r="AS942" t="s">
        <v>18329</v>
      </c>
      <c r="AT942" t="s">
        <v>3499</v>
      </c>
      <c r="AU942">
        <v>2019</v>
      </c>
      <c r="AV942">
        <v>36</v>
      </c>
      <c r="AW942">
        <v>3</v>
      </c>
      <c r="AX942" t="s">
        <v>74</v>
      </c>
      <c r="AY942" t="s">
        <v>74</v>
      </c>
      <c r="AZ942" t="s">
        <v>74</v>
      </c>
      <c r="BA942" t="s">
        <v>74</v>
      </c>
      <c r="BB942">
        <v>149</v>
      </c>
      <c r="BC942">
        <v>157</v>
      </c>
      <c r="BD942" t="s">
        <v>74</v>
      </c>
      <c r="BE942" t="s">
        <v>18330</v>
      </c>
      <c r="BF942" t="str">
        <f>HYPERLINK("http://dx.doi.org/10.5140/JASS.2019.36.3.149","http://dx.doi.org/10.5140/JASS.2019.36.3.149")</f>
        <v>http://dx.doi.org/10.5140/JASS.2019.36.3.149</v>
      </c>
      <c r="BG942" t="s">
        <v>74</v>
      </c>
      <c r="BH942" t="s">
        <v>74</v>
      </c>
      <c r="BI942">
        <v>9</v>
      </c>
      <c r="BJ942" t="s">
        <v>1571</v>
      </c>
      <c r="BK942" t="s">
        <v>160</v>
      </c>
      <c r="BL942" t="s">
        <v>1571</v>
      </c>
      <c r="BM942" t="s">
        <v>18331</v>
      </c>
      <c r="BN942" t="s">
        <v>74</v>
      </c>
      <c r="BO942" t="s">
        <v>107</v>
      </c>
      <c r="BP942" t="s">
        <v>74</v>
      </c>
      <c r="BQ942" t="s">
        <v>74</v>
      </c>
      <c r="BR942" t="s">
        <v>108</v>
      </c>
      <c r="BS942" t="s">
        <v>18332</v>
      </c>
      <c r="BT942" t="str">
        <f>HYPERLINK("https%3A%2F%2Fwww.webofscience.com%2Fwos%2Fwoscc%2Ffull-record%2FWOS:000485781200005","View Full Record in Web of Science")</f>
        <v>View Full Record in Web of Science</v>
      </c>
    </row>
    <row r="943" spans="1:72" x14ac:dyDescent="0.15">
      <c r="A943" t="s">
        <v>133</v>
      </c>
      <c r="B943" t="s">
        <v>18333</v>
      </c>
      <c r="C943" t="s">
        <v>74</v>
      </c>
      <c r="D943" t="s">
        <v>74</v>
      </c>
      <c r="E943" t="s">
        <v>74</v>
      </c>
      <c r="F943" t="s">
        <v>18334</v>
      </c>
      <c r="G943" t="s">
        <v>74</v>
      </c>
      <c r="H943" t="s">
        <v>74</v>
      </c>
      <c r="I943" t="s">
        <v>18335</v>
      </c>
      <c r="J943" t="s">
        <v>18336</v>
      </c>
      <c r="K943" t="s">
        <v>74</v>
      </c>
      <c r="L943" t="s">
        <v>74</v>
      </c>
      <c r="M943" t="s">
        <v>80</v>
      </c>
      <c r="N943" t="s">
        <v>138</v>
      </c>
      <c r="O943" t="s">
        <v>74</v>
      </c>
      <c r="P943" t="s">
        <v>74</v>
      </c>
      <c r="Q943" t="s">
        <v>74</v>
      </c>
      <c r="R943" t="s">
        <v>74</v>
      </c>
      <c r="S943" t="s">
        <v>74</v>
      </c>
      <c r="T943" t="s">
        <v>18337</v>
      </c>
      <c r="U943" t="s">
        <v>18338</v>
      </c>
      <c r="V943" t="s">
        <v>18339</v>
      </c>
      <c r="W943" t="s">
        <v>18340</v>
      </c>
      <c r="X943" t="s">
        <v>18341</v>
      </c>
      <c r="Y943" t="s">
        <v>18342</v>
      </c>
      <c r="Z943" t="s">
        <v>18343</v>
      </c>
      <c r="AA943" t="s">
        <v>18344</v>
      </c>
      <c r="AB943" t="s">
        <v>18345</v>
      </c>
      <c r="AC943" t="s">
        <v>18346</v>
      </c>
      <c r="AD943" t="s">
        <v>18347</v>
      </c>
      <c r="AE943" t="s">
        <v>18348</v>
      </c>
      <c r="AF943" t="s">
        <v>74</v>
      </c>
      <c r="AG943">
        <v>18</v>
      </c>
      <c r="AH943">
        <v>3</v>
      </c>
      <c r="AI943">
        <v>3</v>
      </c>
      <c r="AJ943">
        <v>1</v>
      </c>
      <c r="AK943">
        <v>4</v>
      </c>
      <c r="AL943" t="s">
        <v>1016</v>
      </c>
      <c r="AM943" t="s">
        <v>1017</v>
      </c>
      <c r="AN943" t="s">
        <v>4703</v>
      </c>
      <c r="AO943" t="s">
        <v>18349</v>
      </c>
      <c r="AP943" t="s">
        <v>18350</v>
      </c>
      <c r="AQ943" t="s">
        <v>74</v>
      </c>
      <c r="AR943" t="s">
        <v>18351</v>
      </c>
      <c r="AS943" t="s">
        <v>18352</v>
      </c>
      <c r="AT943" t="s">
        <v>3499</v>
      </c>
      <c r="AU943">
        <v>2019</v>
      </c>
      <c r="AV943">
        <v>36</v>
      </c>
      <c r="AW943">
        <v>9</v>
      </c>
      <c r="AX943" t="s">
        <v>74</v>
      </c>
      <c r="AY943" t="s">
        <v>74</v>
      </c>
      <c r="AZ943" t="s">
        <v>74</v>
      </c>
      <c r="BA943" t="s">
        <v>74</v>
      </c>
      <c r="BB943">
        <v>1881</v>
      </c>
      <c r="BC943">
        <v>1888</v>
      </c>
      <c r="BD943" t="s">
        <v>74</v>
      </c>
      <c r="BE943" t="s">
        <v>18353</v>
      </c>
      <c r="BF943" t="str">
        <f>HYPERLINK("http://dx.doi.org/10.1175/JTECH-D-18-0175.1","http://dx.doi.org/10.1175/JTECH-D-18-0175.1")</f>
        <v>http://dx.doi.org/10.1175/JTECH-D-18-0175.1</v>
      </c>
      <c r="BG943" t="s">
        <v>74</v>
      </c>
      <c r="BH943" t="s">
        <v>74</v>
      </c>
      <c r="BI943">
        <v>8</v>
      </c>
      <c r="BJ943" t="s">
        <v>18354</v>
      </c>
      <c r="BK943" t="s">
        <v>294</v>
      </c>
      <c r="BL943" t="s">
        <v>18355</v>
      </c>
      <c r="BM943" t="s">
        <v>18356</v>
      </c>
      <c r="BN943" t="s">
        <v>74</v>
      </c>
      <c r="BO943" t="s">
        <v>1026</v>
      </c>
      <c r="BP943" t="s">
        <v>74</v>
      </c>
      <c r="BQ943" t="s">
        <v>74</v>
      </c>
      <c r="BR943" t="s">
        <v>108</v>
      </c>
      <c r="BS943" t="s">
        <v>18357</v>
      </c>
      <c r="BT943" t="str">
        <f>HYPERLINK("https%3A%2F%2Fwww.webofscience.com%2Fwos%2Fwoscc%2Ffull-record%2FWOS:000486155400001","View Full Record in Web of Science")</f>
        <v>View Full Record in Web of Science</v>
      </c>
    </row>
    <row r="944" spans="1:72" x14ac:dyDescent="0.15">
      <c r="A944" t="s">
        <v>133</v>
      </c>
      <c r="B944" t="s">
        <v>18358</v>
      </c>
      <c r="C944" t="s">
        <v>74</v>
      </c>
      <c r="D944" t="s">
        <v>74</v>
      </c>
      <c r="E944" t="s">
        <v>74</v>
      </c>
      <c r="F944" t="s">
        <v>18359</v>
      </c>
      <c r="G944" t="s">
        <v>74</v>
      </c>
      <c r="H944" t="s">
        <v>74</v>
      </c>
      <c r="I944" t="s">
        <v>18360</v>
      </c>
      <c r="J944" t="s">
        <v>18361</v>
      </c>
      <c r="K944" t="s">
        <v>74</v>
      </c>
      <c r="L944" t="s">
        <v>74</v>
      </c>
      <c r="M944" t="s">
        <v>80</v>
      </c>
      <c r="N944" t="s">
        <v>138</v>
      </c>
      <c r="O944" t="s">
        <v>74</v>
      </c>
      <c r="P944" t="s">
        <v>74</v>
      </c>
      <c r="Q944" t="s">
        <v>74</v>
      </c>
      <c r="R944" t="s">
        <v>74</v>
      </c>
      <c r="S944" t="s">
        <v>74</v>
      </c>
      <c r="T944" t="s">
        <v>18362</v>
      </c>
      <c r="U944" t="s">
        <v>18363</v>
      </c>
      <c r="V944" t="s">
        <v>18364</v>
      </c>
      <c r="W944" t="s">
        <v>18365</v>
      </c>
      <c r="X944" t="s">
        <v>18366</v>
      </c>
      <c r="Y944" t="s">
        <v>18367</v>
      </c>
      <c r="Z944" t="s">
        <v>18368</v>
      </c>
      <c r="AA944" t="s">
        <v>18369</v>
      </c>
      <c r="AB944" t="s">
        <v>18370</v>
      </c>
      <c r="AC944" t="s">
        <v>18371</v>
      </c>
      <c r="AD944" t="s">
        <v>18372</v>
      </c>
      <c r="AE944" t="s">
        <v>18373</v>
      </c>
      <c r="AF944" t="s">
        <v>74</v>
      </c>
      <c r="AG944">
        <v>23</v>
      </c>
      <c r="AH944">
        <v>8</v>
      </c>
      <c r="AI944">
        <v>8</v>
      </c>
      <c r="AJ944">
        <v>0</v>
      </c>
      <c r="AK944">
        <v>1</v>
      </c>
      <c r="AL944" t="s">
        <v>429</v>
      </c>
      <c r="AM944" t="s">
        <v>430</v>
      </c>
      <c r="AN944" t="s">
        <v>431</v>
      </c>
      <c r="AO944" t="s">
        <v>18374</v>
      </c>
      <c r="AP944" t="s">
        <v>18375</v>
      </c>
      <c r="AQ944" t="s">
        <v>74</v>
      </c>
      <c r="AR944" t="s">
        <v>18376</v>
      </c>
      <c r="AS944" t="s">
        <v>18377</v>
      </c>
      <c r="AT944" t="s">
        <v>3499</v>
      </c>
      <c r="AU944">
        <v>2019</v>
      </c>
      <c r="AV944">
        <v>66</v>
      </c>
      <c r="AW944">
        <v>5</v>
      </c>
      <c r="AX944" t="s">
        <v>74</v>
      </c>
      <c r="AY944" t="s">
        <v>74</v>
      </c>
      <c r="AZ944" t="s">
        <v>74</v>
      </c>
      <c r="BA944" t="s">
        <v>74</v>
      </c>
      <c r="BB944">
        <v>849</v>
      </c>
      <c r="BC944">
        <v>852</v>
      </c>
      <c r="BD944" t="s">
        <v>74</v>
      </c>
      <c r="BE944" t="s">
        <v>18378</v>
      </c>
      <c r="BF944" t="str">
        <f>HYPERLINK("http://dx.doi.org/10.1111/jeu.12720","http://dx.doi.org/10.1111/jeu.12720")</f>
        <v>http://dx.doi.org/10.1111/jeu.12720</v>
      </c>
      <c r="BG944" t="s">
        <v>74</v>
      </c>
      <c r="BH944" t="s">
        <v>74</v>
      </c>
      <c r="BI944">
        <v>4</v>
      </c>
      <c r="BJ944" t="s">
        <v>1713</v>
      </c>
      <c r="BK944" t="s">
        <v>294</v>
      </c>
      <c r="BL944" t="s">
        <v>1713</v>
      </c>
      <c r="BM944" t="s">
        <v>18379</v>
      </c>
      <c r="BN944">
        <v>30779253</v>
      </c>
      <c r="BO944" t="s">
        <v>74</v>
      </c>
      <c r="BP944" t="s">
        <v>74</v>
      </c>
      <c r="BQ944" t="s">
        <v>74</v>
      </c>
      <c r="BR944" t="s">
        <v>108</v>
      </c>
      <c r="BS944" t="s">
        <v>18380</v>
      </c>
      <c r="BT944" t="str">
        <f>HYPERLINK("https%3A%2F%2Fwww.webofscience.com%2Fwos%2Fwoscc%2Ffull-record%2FWOS:000484989100014","View Full Record in Web of Science")</f>
        <v>View Full Record in Web of Science</v>
      </c>
    </row>
    <row r="945" spans="1:72" x14ac:dyDescent="0.15">
      <c r="A945" t="s">
        <v>133</v>
      </c>
      <c r="B945" t="s">
        <v>18381</v>
      </c>
      <c r="C945" t="s">
        <v>74</v>
      </c>
      <c r="D945" t="s">
        <v>74</v>
      </c>
      <c r="E945" t="s">
        <v>74</v>
      </c>
      <c r="F945" t="s">
        <v>18382</v>
      </c>
      <c r="G945" t="s">
        <v>74</v>
      </c>
      <c r="H945" t="s">
        <v>74</v>
      </c>
      <c r="I945" t="s">
        <v>18383</v>
      </c>
      <c r="J945" t="s">
        <v>18384</v>
      </c>
      <c r="K945" t="s">
        <v>74</v>
      </c>
      <c r="L945" t="s">
        <v>74</v>
      </c>
      <c r="M945" t="s">
        <v>80</v>
      </c>
      <c r="N945" t="s">
        <v>930</v>
      </c>
      <c r="O945" t="s">
        <v>74</v>
      </c>
      <c r="P945" t="s">
        <v>74</v>
      </c>
      <c r="Q945" t="s">
        <v>74</v>
      </c>
      <c r="R945" t="s">
        <v>74</v>
      </c>
      <c r="S945" t="s">
        <v>74</v>
      </c>
      <c r="T945" t="s">
        <v>18385</v>
      </c>
      <c r="U945" t="s">
        <v>18386</v>
      </c>
      <c r="V945" t="s">
        <v>18387</v>
      </c>
      <c r="W945" t="s">
        <v>18388</v>
      </c>
      <c r="X945" t="s">
        <v>18389</v>
      </c>
      <c r="Y945" t="s">
        <v>18390</v>
      </c>
      <c r="Z945" t="s">
        <v>18391</v>
      </c>
      <c r="AA945" t="s">
        <v>74</v>
      </c>
      <c r="AB945" t="s">
        <v>18392</v>
      </c>
      <c r="AC945" t="s">
        <v>18393</v>
      </c>
      <c r="AD945" t="s">
        <v>18394</v>
      </c>
      <c r="AE945" t="s">
        <v>18395</v>
      </c>
      <c r="AF945" t="s">
        <v>74</v>
      </c>
      <c r="AG945">
        <v>58</v>
      </c>
      <c r="AH945">
        <v>7</v>
      </c>
      <c r="AI945">
        <v>7</v>
      </c>
      <c r="AJ945">
        <v>1</v>
      </c>
      <c r="AK945">
        <v>6</v>
      </c>
      <c r="AL945" t="s">
        <v>284</v>
      </c>
      <c r="AM945" t="s">
        <v>285</v>
      </c>
      <c r="AN945" t="s">
        <v>286</v>
      </c>
      <c r="AO945" t="s">
        <v>18396</v>
      </c>
      <c r="AP945" t="s">
        <v>18397</v>
      </c>
      <c r="AQ945" t="s">
        <v>74</v>
      </c>
      <c r="AR945" t="s">
        <v>18384</v>
      </c>
      <c r="AS945" t="s">
        <v>18398</v>
      </c>
      <c r="AT945" t="s">
        <v>3499</v>
      </c>
      <c r="AU945">
        <v>2019</v>
      </c>
      <c r="AV945">
        <v>28</v>
      </c>
      <c r="AW945">
        <v>3</v>
      </c>
      <c r="AX945" t="s">
        <v>74</v>
      </c>
      <c r="AY945" t="s">
        <v>74</v>
      </c>
      <c r="AZ945" t="s">
        <v>74</v>
      </c>
      <c r="BA945" t="s">
        <v>74</v>
      </c>
      <c r="BB945">
        <v>276</v>
      </c>
      <c r="BC945">
        <v>288</v>
      </c>
      <c r="BD945" t="s">
        <v>74</v>
      </c>
      <c r="BE945" t="s">
        <v>18399</v>
      </c>
      <c r="BF945" t="str">
        <f>HYPERLINK("http://dx.doi.org/10.1016/j.palwor.2018.12.002","http://dx.doi.org/10.1016/j.palwor.2018.12.002")</f>
        <v>http://dx.doi.org/10.1016/j.palwor.2018.12.002</v>
      </c>
      <c r="BG945" t="s">
        <v>74</v>
      </c>
      <c r="BH945" t="s">
        <v>74</v>
      </c>
      <c r="BI945">
        <v>13</v>
      </c>
      <c r="BJ945" t="s">
        <v>3501</v>
      </c>
      <c r="BK945" t="s">
        <v>294</v>
      </c>
      <c r="BL945" t="s">
        <v>3501</v>
      </c>
      <c r="BM945" t="s">
        <v>18400</v>
      </c>
      <c r="BN945" t="s">
        <v>74</v>
      </c>
      <c r="BO945" t="s">
        <v>74</v>
      </c>
      <c r="BP945" t="s">
        <v>74</v>
      </c>
      <c r="BQ945" t="s">
        <v>74</v>
      </c>
      <c r="BR945" t="s">
        <v>108</v>
      </c>
      <c r="BS945" t="s">
        <v>18401</v>
      </c>
      <c r="BT945" t="str">
        <f>HYPERLINK("https%3A%2F%2Fwww.webofscience.com%2Fwos%2Fwoscc%2Ffull-record%2FWOS:000482562600004","View Full Record in Web of Science")</f>
        <v>View Full Record in Web of Science</v>
      </c>
    </row>
    <row r="946" spans="1:72" x14ac:dyDescent="0.15">
      <c r="A946" t="s">
        <v>133</v>
      </c>
      <c r="B946" t="s">
        <v>18402</v>
      </c>
      <c r="C946" t="s">
        <v>74</v>
      </c>
      <c r="D946" t="s">
        <v>74</v>
      </c>
      <c r="E946" t="s">
        <v>74</v>
      </c>
      <c r="F946" t="s">
        <v>18403</v>
      </c>
      <c r="G946" t="s">
        <v>74</v>
      </c>
      <c r="H946" t="s">
        <v>74</v>
      </c>
      <c r="I946" t="s">
        <v>18404</v>
      </c>
      <c r="J946" t="s">
        <v>10140</v>
      </c>
      <c r="K946" t="s">
        <v>74</v>
      </c>
      <c r="L946" t="s">
        <v>74</v>
      </c>
      <c r="M946" t="s">
        <v>80</v>
      </c>
      <c r="N946" t="s">
        <v>138</v>
      </c>
      <c r="O946" t="s">
        <v>74</v>
      </c>
      <c r="P946" t="s">
        <v>74</v>
      </c>
      <c r="Q946" t="s">
        <v>74</v>
      </c>
      <c r="R946" t="s">
        <v>74</v>
      </c>
      <c r="S946" t="s">
        <v>74</v>
      </c>
      <c r="T946" t="s">
        <v>18405</v>
      </c>
      <c r="U946" t="s">
        <v>18406</v>
      </c>
      <c r="V946" t="s">
        <v>18407</v>
      </c>
      <c r="W946" t="s">
        <v>18408</v>
      </c>
      <c r="X946" t="s">
        <v>18409</v>
      </c>
      <c r="Y946" t="s">
        <v>18410</v>
      </c>
      <c r="Z946" t="s">
        <v>18411</v>
      </c>
      <c r="AA946" t="s">
        <v>18412</v>
      </c>
      <c r="AB946" t="s">
        <v>18413</v>
      </c>
      <c r="AC946" t="s">
        <v>18414</v>
      </c>
      <c r="AD946" t="s">
        <v>18415</v>
      </c>
      <c r="AE946" t="s">
        <v>18416</v>
      </c>
      <c r="AF946" t="s">
        <v>74</v>
      </c>
      <c r="AG946">
        <v>48</v>
      </c>
      <c r="AH946">
        <v>2</v>
      </c>
      <c r="AI946">
        <v>3</v>
      </c>
      <c r="AJ946">
        <v>0</v>
      </c>
      <c r="AK946">
        <v>11</v>
      </c>
      <c r="AL946" t="s">
        <v>284</v>
      </c>
      <c r="AM946" t="s">
        <v>285</v>
      </c>
      <c r="AN946" t="s">
        <v>286</v>
      </c>
      <c r="AO946" t="s">
        <v>10152</v>
      </c>
      <c r="AP946" t="s">
        <v>74</v>
      </c>
      <c r="AQ946" t="s">
        <v>74</v>
      </c>
      <c r="AR946" t="s">
        <v>10153</v>
      </c>
      <c r="AS946" t="s">
        <v>10154</v>
      </c>
      <c r="AT946" t="s">
        <v>3499</v>
      </c>
      <c r="AU946">
        <v>2019</v>
      </c>
      <c r="AV946">
        <v>31</v>
      </c>
      <c r="AW946" t="s">
        <v>74</v>
      </c>
      <c r="AX946" t="s">
        <v>74</v>
      </c>
      <c r="AY946" t="s">
        <v>74</v>
      </c>
      <c r="AZ946" t="s">
        <v>74</v>
      </c>
      <c r="BA946" t="s">
        <v>74</v>
      </c>
      <c r="BB946" t="s">
        <v>74</v>
      </c>
      <c r="BC946" t="s">
        <v>74</v>
      </c>
      <c r="BD946">
        <v>100789</v>
      </c>
      <c r="BE946" t="s">
        <v>18417</v>
      </c>
      <c r="BF946" t="str">
        <f>HYPERLINK("http://dx.doi.org/10.1016/j.rsma.2019.100789","http://dx.doi.org/10.1016/j.rsma.2019.100789")</f>
        <v>http://dx.doi.org/10.1016/j.rsma.2019.100789</v>
      </c>
      <c r="BG946" t="s">
        <v>74</v>
      </c>
      <c r="BH946" t="s">
        <v>74</v>
      </c>
      <c r="BI946">
        <v>6</v>
      </c>
      <c r="BJ946" t="s">
        <v>10156</v>
      </c>
      <c r="BK946" t="s">
        <v>294</v>
      </c>
      <c r="BL946" t="s">
        <v>2739</v>
      </c>
      <c r="BM946" t="s">
        <v>18418</v>
      </c>
      <c r="BN946" t="s">
        <v>74</v>
      </c>
      <c r="BO946" t="s">
        <v>74</v>
      </c>
      <c r="BP946" t="s">
        <v>74</v>
      </c>
      <c r="BQ946" t="s">
        <v>74</v>
      </c>
      <c r="BR946" t="s">
        <v>108</v>
      </c>
      <c r="BS946" t="s">
        <v>18419</v>
      </c>
      <c r="BT946" t="str">
        <f>HYPERLINK("https%3A%2F%2Fwww.webofscience.com%2Fwos%2Fwoscc%2Ffull-record%2FWOS:000485654700026","View Full Record in Web of Science")</f>
        <v>View Full Record in Web of Science</v>
      </c>
    </row>
    <row r="947" spans="1:72" x14ac:dyDescent="0.15">
      <c r="A947" t="s">
        <v>133</v>
      </c>
      <c r="B947" t="s">
        <v>18420</v>
      </c>
      <c r="C947" t="s">
        <v>74</v>
      </c>
      <c r="D947" t="s">
        <v>74</v>
      </c>
      <c r="E947" t="s">
        <v>74</v>
      </c>
      <c r="F947" t="s">
        <v>18421</v>
      </c>
      <c r="G947" t="s">
        <v>74</v>
      </c>
      <c r="H947" t="s">
        <v>74</v>
      </c>
      <c r="I947" t="s">
        <v>18422</v>
      </c>
      <c r="J947" t="s">
        <v>18423</v>
      </c>
      <c r="K947" t="s">
        <v>74</v>
      </c>
      <c r="L947" t="s">
        <v>74</v>
      </c>
      <c r="M947" t="s">
        <v>80</v>
      </c>
      <c r="N947" t="s">
        <v>138</v>
      </c>
      <c r="O947" t="s">
        <v>74</v>
      </c>
      <c r="P947" t="s">
        <v>74</v>
      </c>
      <c r="Q947" t="s">
        <v>74</v>
      </c>
      <c r="R947" t="s">
        <v>74</v>
      </c>
      <c r="S947" t="s">
        <v>74</v>
      </c>
      <c r="T947" t="s">
        <v>74</v>
      </c>
      <c r="U947" t="s">
        <v>18424</v>
      </c>
      <c r="V947" t="s">
        <v>18425</v>
      </c>
      <c r="W947" t="s">
        <v>18426</v>
      </c>
      <c r="X947" t="s">
        <v>18427</v>
      </c>
      <c r="Y947" t="s">
        <v>18428</v>
      </c>
      <c r="Z947" t="s">
        <v>18429</v>
      </c>
      <c r="AA947" t="s">
        <v>74</v>
      </c>
      <c r="AB947" t="s">
        <v>18430</v>
      </c>
      <c r="AC947" t="s">
        <v>18431</v>
      </c>
      <c r="AD947" t="s">
        <v>18432</v>
      </c>
      <c r="AE947" t="s">
        <v>18433</v>
      </c>
      <c r="AF947" t="s">
        <v>74</v>
      </c>
      <c r="AG947">
        <v>27</v>
      </c>
      <c r="AH947">
        <v>5</v>
      </c>
      <c r="AI947">
        <v>5</v>
      </c>
      <c r="AJ947">
        <v>0</v>
      </c>
      <c r="AK947">
        <v>6</v>
      </c>
      <c r="AL947" t="s">
        <v>429</v>
      </c>
      <c r="AM947" t="s">
        <v>430</v>
      </c>
      <c r="AN947" t="s">
        <v>431</v>
      </c>
      <c r="AO947" t="s">
        <v>18434</v>
      </c>
      <c r="AP947" t="s">
        <v>18435</v>
      </c>
      <c r="AQ947" t="s">
        <v>74</v>
      </c>
      <c r="AR947" t="s">
        <v>18423</v>
      </c>
      <c r="AS947" t="s">
        <v>18436</v>
      </c>
      <c r="AT947" t="s">
        <v>3499</v>
      </c>
      <c r="AU947">
        <v>2019</v>
      </c>
      <c r="AV947">
        <v>74</v>
      </c>
      <c r="AW947">
        <v>9</v>
      </c>
      <c r="AX947" t="s">
        <v>74</v>
      </c>
      <c r="AY947" t="s">
        <v>74</v>
      </c>
      <c r="AZ947" t="s">
        <v>74</v>
      </c>
      <c r="BA947" t="s">
        <v>74</v>
      </c>
      <c r="BB947">
        <v>301</v>
      </c>
      <c r="BC947">
        <v>307</v>
      </c>
      <c r="BD947" t="s">
        <v>74</v>
      </c>
      <c r="BE947" t="s">
        <v>18437</v>
      </c>
      <c r="BF947" t="str">
        <f>HYPERLINK("http://dx.doi.org/10.1002/wea.3384","http://dx.doi.org/10.1002/wea.3384")</f>
        <v>http://dx.doi.org/10.1002/wea.3384</v>
      </c>
      <c r="BG947" t="s">
        <v>74</v>
      </c>
      <c r="BH947" t="s">
        <v>74</v>
      </c>
      <c r="BI947">
        <v>7</v>
      </c>
      <c r="BJ947" t="s">
        <v>1024</v>
      </c>
      <c r="BK947" t="s">
        <v>294</v>
      </c>
      <c r="BL947" t="s">
        <v>1024</v>
      </c>
      <c r="BM947" t="s">
        <v>18438</v>
      </c>
      <c r="BN947" t="s">
        <v>74</v>
      </c>
      <c r="BO947" t="s">
        <v>1482</v>
      </c>
      <c r="BP947" t="s">
        <v>74</v>
      </c>
      <c r="BQ947" t="s">
        <v>74</v>
      </c>
      <c r="BR947" t="s">
        <v>108</v>
      </c>
      <c r="BS947" t="s">
        <v>18439</v>
      </c>
      <c r="BT947" t="str">
        <f>HYPERLINK("https%3A%2F%2Fwww.webofscience.com%2Fwos%2Fwoscc%2Ffull-record%2FWOS:000484992000003","View Full Record in Web of Science")</f>
        <v>View Full Record in Web of Science</v>
      </c>
    </row>
    <row r="948" spans="1:72" x14ac:dyDescent="0.15">
      <c r="A948" t="s">
        <v>133</v>
      </c>
      <c r="B948" t="s">
        <v>18440</v>
      </c>
      <c r="C948" t="s">
        <v>74</v>
      </c>
      <c r="D948" t="s">
        <v>74</v>
      </c>
      <c r="E948" t="s">
        <v>74</v>
      </c>
      <c r="F948" t="s">
        <v>18441</v>
      </c>
      <c r="G948" t="s">
        <v>74</v>
      </c>
      <c r="H948" t="s">
        <v>74</v>
      </c>
      <c r="I948" t="s">
        <v>18442</v>
      </c>
      <c r="J948" t="s">
        <v>18443</v>
      </c>
      <c r="K948" t="s">
        <v>74</v>
      </c>
      <c r="L948" t="s">
        <v>74</v>
      </c>
      <c r="M948" t="s">
        <v>80</v>
      </c>
      <c r="N948" t="s">
        <v>138</v>
      </c>
      <c r="O948" t="s">
        <v>74</v>
      </c>
      <c r="P948" t="s">
        <v>74</v>
      </c>
      <c r="Q948" t="s">
        <v>74</v>
      </c>
      <c r="R948" t="s">
        <v>74</v>
      </c>
      <c r="S948" t="s">
        <v>74</v>
      </c>
      <c r="T948" t="s">
        <v>74</v>
      </c>
      <c r="U948" t="s">
        <v>18444</v>
      </c>
      <c r="V948" t="s">
        <v>18445</v>
      </c>
      <c r="W948" t="s">
        <v>18446</v>
      </c>
      <c r="X948" t="s">
        <v>18447</v>
      </c>
      <c r="Y948" t="s">
        <v>18448</v>
      </c>
      <c r="Z948" t="s">
        <v>18449</v>
      </c>
      <c r="AA948" t="s">
        <v>18450</v>
      </c>
      <c r="AB948" t="s">
        <v>18451</v>
      </c>
      <c r="AC948" t="s">
        <v>18452</v>
      </c>
      <c r="AD948" t="s">
        <v>18453</v>
      </c>
      <c r="AE948" t="s">
        <v>18454</v>
      </c>
      <c r="AF948" t="s">
        <v>74</v>
      </c>
      <c r="AG948">
        <v>33</v>
      </c>
      <c r="AH948">
        <v>10</v>
      </c>
      <c r="AI948">
        <v>10</v>
      </c>
      <c r="AJ948">
        <v>1</v>
      </c>
      <c r="AK948">
        <v>7</v>
      </c>
      <c r="AL948" t="s">
        <v>18455</v>
      </c>
      <c r="AM948" t="s">
        <v>18456</v>
      </c>
      <c r="AN948" t="s">
        <v>18457</v>
      </c>
      <c r="AO948" t="s">
        <v>18458</v>
      </c>
      <c r="AP948" t="s">
        <v>18459</v>
      </c>
      <c r="AQ948" t="s">
        <v>74</v>
      </c>
      <c r="AR948" t="s">
        <v>18460</v>
      </c>
      <c r="AS948" t="s">
        <v>18461</v>
      </c>
      <c r="AT948" t="s">
        <v>17603</v>
      </c>
      <c r="AU948">
        <v>2019</v>
      </c>
      <c r="AV948">
        <v>90</v>
      </c>
      <c r="AW948">
        <v>5</v>
      </c>
      <c r="AX948" t="s">
        <v>74</v>
      </c>
      <c r="AY948" t="s">
        <v>74</v>
      </c>
      <c r="AZ948" t="s">
        <v>74</v>
      </c>
      <c r="BA948" t="s">
        <v>74</v>
      </c>
      <c r="BB948">
        <v>1740</v>
      </c>
      <c r="BC948">
        <v>1747</v>
      </c>
      <c r="BD948" t="s">
        <v>74</v>
      </c>
      <c r="BE948" t="s">
        <v>18462</v>
      </c>
      <c r="BF948" t="str">
        <f>HYPERLINK("http://dx.doi.org/10.1785/0220180394","http://dx.doi.org/10.1785/0220180394")</f>
        <v>http://dx.doi.org/10.1785/0220180394</v>
      </c>
      <c r="BG948" t="s">
        <v>74</v>
      </c>
      <c r="BH948" t="s">
        <v>74</v>
      </c>
      <c r="BI948">
        <v>8</v>
      </c>
      <c r="BJ948" t="s">
        <v>1067</v>
      </c>
      <c r="BK948" t="s">
        <v>294</v>
      </c>
      <c r="BL948" t="s">
        <v>1067</v>
      </c>
      <c r="BM948" t="s">
        <v>18463</v>
      </c>
      <c r="BN948" t="s">
        <v>74</v>
      </c>
      <c r="BO948" t="s">
        <v>74</v>
      </c>
      <c r="BP948" t="s">
        <v>74</v>
      </c>
      <c r="BQ948" t="s">
        <v>74</v>
      </c>
      <c r="BR948" t="s">
        <v>108</v>
      </c>
      <c r="BS948" t="s">
        <v>18464</v>
      </c>
      <c r="BT948" t="str">
        <f>HYPERLINK("https%3A%2F%2Fwww.webofscience.com%2Fwos%2Fwoscc%2Ffull-record%2FWOS:000484569600006","View Full Record in Web of Science")</f>
        <v>View Full Record in Web of Science</v>
      </c>
    </row>
    <row r="949" spans="1:72" x14ac:dyDescent="0.15">
      <c r="A949" t="s">
        <v>133</v>
      </c>
      <c r="B949" t="s">
        <v>18465</v>
      </c>
      <c r="C949" t="s">
        <v>74</v>
      </c>
      <c r="D949" t="s">
        <v>74</v>
      </c>
      <c r="E949" t="s">
        <v>74</v>
      </c>
      <c r="F949" t="s">
        <v>18466</v>
      </c>
      <c r="G949" t="s">
        <v>74</v>
      </c>
      <c r="H949" t="s">
        <v>74</v>
      </c>
      <c r="I949" t="s">
        <v>18467</v>
      </c>
      <c r="J949" t="s">
        <v>5138</v>
      </c>
      <c r="K949" t="s">
        <v>74</v>
      </c>
      <c r="L949" t="s">
        <v>74</v>
      </c>
      <c r="M949" t="s">
        <v>80</v>
      </c>
      <c r="N949" t="s">
        <v>138</v>
      </c>
      <c r="O949" t="s">
        <v>74</v>
      </c>
      <c r="P949" t="s">
        <v>74</v>
      </c>
      <c r="Q949" t="s">
        <v>74</v>
      </c>
      <c r="R949" t="s">
        <v>74</v>
      </c>
      <c r="S949" t="s">
        <v>74</v>
      </c>
      <c r="T949" t="s">
        <v>18468</v>
      </c>
      <c r="U949" t="s">
        <v>18469</v>
      </c>
      <c r="V949" t="s">
        <v>18470</v>
      </c>
      <c r="W949" t="s">
        <v>18471</v>
      </c>
      <c r="X949" t="s">
        <v>18472</v>
      </c>
      <c r="Y949" t="s">
        <v>18473</v>
      </c>
      <c r="Z949" t="s">
        <v>18474</v>
      </c>
      <c r="AA949" t="s">
        <v>18475</v>
      </c>
      <c r="AB949" t="s">
        <v>74</v>
      </c>
      <c r="AC949" t="s">
        <v>18476</v>
      </c>
      <c r="AD949" t="s">
        <v>18477</v>
      </c>
      <c r="AE949" t="s">
        <v>18478</v>
      </c>
      <c r="AF949" t="s">
        <v>74</v>
      </c>
      <c r="AG949">
        <v>28</v>
      </c>
      <c r="AH949">
        <v>6</v>
      </c>
      <c r="AI949">
        <v>6</v>
      </c>
      <c r="AJ949">
        <v>0</v>
      </c>
      <c r="AK949">
        <v>10</v>
      </c>
      <c r="AL949" t="s">
        <v>5150</v>
      </c>
      <c r="AM949" t="s">
        <v>1730</v>
      </c>
      <c r="AN949" t="s">
        <v>5151</v>
      </c>
      <c r="AO949" t="s">
        <v>5152</v>
      </c>
      <c r="AP949" t="s">
        <v>5153</v>
      </c>
      <c r="AQ949" t="s">
        <v>74</v>
      </c>
      <c r="AR949" t="s">
        <v>5154</v>
      </c>
      <c r="AS949" t="s">
        <v>5155</v>
      </c>
      <c r="AT949" t="s">
        <v>3499</v>
      </c>
      <c r="AU949">
        <v>2019</v>
      </c>
      <c r="AV949">
        <v>69</v>
      </c>
      <c r="AW949">
        <v>9</v>
      </c>
      <c r="AX949" t="s">
        <v>74</v>
      </c>
      <c r="AY949" t="s">
        <v>74</v>
      </c>
      <c r="AZ949" t="s">
        <v>74</v>
      </c>
      <c r="BA949" t="s">
        <v>74</v>
      </c>
      <c r="BB949">
        <v>2717</v>
      </c>
      <c r="BC949">
        <v>2722</v>
      </c>
      <c r="BD949" t="s">
        <v>74</v>
      </c>
      <c r="BE949" t="s">
        <v>18479</v>
      </c>
      <c r="BF949" t="str">
        <f>HYPERLINK("http://dx.doi.org/10.1099/ijsem.0.003539","http://dx.doi.org/10.1099/ijsem.0.003539")</f>
        <v>http://dx.doi.org/10.1099/ijsem.0.003539</v>
      </c>
      <c r="BG949" t="s">
        <v>74</v>
      </c>
      <c r="BH949" t="s">
        <v>74</v>
      </c>
      <c r="BI949">
        <v>6</v>
      </c>
      <c r="BJ949" t="s">
        <v>1713</v>
      </c>
      <c r="BK949" t="s">
        <v>294</v>
      </c>
      <c r="BL949" t="s">
        <v>1713</v>
      </c>
      <c r="BM949" t="s">
        <v>18480</v>
      </c>
      <c r="BN949">
        <v>31361214</v>
      </c>
      <c r="BO949" t="s">
        <v>588</v>
      </c>
      <c r="BP949" t="s">
        <v>74</v>
      </c>
      <c r="BQ949" t="s">
        <v>74</v>
      </c>
      <c r="BR949" t="s">
        <v>108</v>
      </c>
      <c r="BS949" t="s">
        <v>18481</v>
      </c>
      <c r="BT949" t="str">
        <f>HYPERLINK("https%3A%2F%2Fwww.webofscience.com%2Fwos%2Fwoscc%2Ffull-record%2FWOS:000484365500013","View Full Record in Web of Science")</f>
        <v>View Full Record in Web of Science</v>
      </c>
    </row>
    <row r="950" spans="1:72" x14ac:dyDescent="0.15">
      <c r="A950" t="s">
        <v>133</v>
      </c>
      <c r="B950" t="s">
        <v>18482</v>
      </c>
      <c r="C950" t="s">
        <v>74</v>
      </c>
      <c r="D950" t="s">
        <v>74</v>
      </c>
      <c r="E950" t="s">
        <v>74</v>
      </c>
      <c r="F950" t="s">
        <v>18483</v>
      </c>
      <c r="G950" t="s">
        <v>74</v>
      </c>
      <c r="H950" t="s">
        <v>74</v>
      </c>
      <c r="I950" t="s">
        <v>18484</v>
      </c>
      <c r="J950" t="s">
        <v>5138</v>
      </c>
      <c r="K950" t="s">
        <v>74</v>
      </c>
      <c r="L950" t="s">
        <v>74</v>
      </c>
      <c r="M950" t="s">
        <v>80</v>
      </c>
      <c r="N950" t="s">
        <v>138</v>
      </c>
      <c r="O950" t="s">
        <v>74</v>
      </c>
      <c r="P950" t="s">
        <v>74</v>
      </c>
      <c r="Q950" t="s">
        <v>74</v>
      </c>
      <c r="R950" t="s">
        <v>74</v>
      </c>
      <c r="S950" t="s">
        <v>74</v>
      </c>
      <c r="T950" t="s">
        <v>18485</v>
      </c>
      <c r="U950" t="s">
        <v>18486</v>
      </c>
      <c r="V950" t="s">
        <v>18487</v>
      </c>
      <c r="W950" t="s">
        <v>18488</v>
      </c>
      <c r="X950" t="s">
        <v>18489</v>
      </c>
      <c r="Y950" t="s">
        <v>18490</v>
      </c>
      <c r="Z950" t="s">
        <v>14956</v>
      </c>
      <c r="AA950" t="s">
        <v>18491</v>
      </c>
      <c r="AB950" t="s">
        <v>14958</v>
      </c>
      <c r="AC950" t="s">
        <v>18492</v>
      </c>
      <c r="AD950" t="s">
        <v>18493</v>
      </c>
      <c r="AE950" t="s">
        <v>18494</v>
      </c>
      <c r="AF950" t="s">
        <v>74</v>
      </c>
      <c r="AG950">
        <v>38</v>
      </c>
      <c r="AH950">
        <v>5</v>
      </c>
      <c r="AI950">
        <v>5</v>
      </c>
      <c r="AJ950">
        <v>0</v>
      </c>
      <c r="AK950">
        <v>8</v>
      </c>
      <c r="AL950" t="s">
        <v>5150</v>
      </c>
      <c r="AM950" t="s">
        <v>1730</v>
      </c>
      <c r="AN950" t="s">
        <v>5151</v>
      </c>
      <c r="AO950" t="s">
        <v>5152</v>
      </c>
      <c r="AP950" t="s">
        <v>5153</v>
      </c>
      <c r="AQ950" t="s">
        <v>74</v>
      </c>
      <c r="AR950" t="s">
        <v>5154</v>
      </c>
      <c r="AS950" t="s">
        <v>5155</v>
      </c>
      <c r="AT950" t="s">
        <v>3499</v>
      </c>
      <c r="AU950">
        <v>2019</v>
      </c>
      <c r="AV950">
        <v>69</v>
      </c>
      <c r="AW950">
        <v>9</v>
      </c>
      <c r="AX950" t="s">
        <v>74</v>
      </c>
      <c r="AY950" t="s">
        <v>74</v>
      </c>
      <c r="AZ950" t="s">
        <v>74</v>
      </c>
      <c r="BA950" t="s">
        <v>74</v>
      </c>
      <c r="BB950">
        <v>2794</v>
      </c>
      <c r="BC950">
        <v>2800</v>
      </c>
      <c r="BD950" t="s">
        <v>74</v>
      </c>
      <c r="BE950" t="s">
        <v>18495</v>
      </c>
      <c r="BF950" t="str">
        <f>HYPERLINK("http://dx.doi.org/10.1099/ijsem.0.003557","http://dx.doi.org/10.1099/ijsem.0.003557")</f>
        <v>http://dx.doi.org/10.1099/ijsem.0.003557</v>
      </c>
      <c r="BG950" t="s">
        <v>74</v>
      </c>
      <c r="BH950" t="s">
        <v>74</v>
      </c>
      <c r="BI950">
        <v>7</v>
      </c>
      <c r="BJ950" t="s">
        <v>1713</v>
      </c>
      <c r="BK950" t="s">
        <v>294</v>
      </c>
      <c r="BL950" t="s">
        <v>1713</v>
      </c>
      <c r="BM950" t="s">
        <v>18480</v>
      </c>
      <c r="BN950">
        <v>31310192</v>
      </c>
      <c r="BO950" t="s">
        <v>588</v>
      </c>
      <c r="BP950" t="s">
        <v>74</v>
      </c>
      <c r="BQ950" t="s">
        <v>74</v>
      </c>
      <c r="BR950" t="s">
        <v>108</v>
      </c>
      <c r="BS950" t="s">
        <v>18496</v>
      </c>
      <c r="BT950" t="str">
        <f>HYPERLINK("https%3A%2F%2Fwww.webofscience.com%2Fwos%2Fwoscc%2Ffull-record%2FWOS:000484365500025","View Full Record in Web of Science")</f>
        <v>View Full Record in Web of Science</v>
      </c>
    </row>
    <row r="951" spans="1:72" x14ac:dyDescent="0.15">
      <c r="A951" t="s">
        <v>133</v>
      </c>
      <c r="B951" t="s">
        <v>18497</v>
      </c>
      <c r="C951" t="s">
        <v>74</v>
      </c>
      <c r="D951" t="s">
        <v>74</v>
      </c>
      <c r="E951" t="s">
        <v>74</v>
      </c>
      <c r="F951" t="s">
        <v>18498</v>
      </c>
      <c r="G951" t="s">
        <v>74</v>
      </c>
      <c r="H951" t="s">
        <v>74</v>
      </c>
      <c r="I951" t="s">
        <v>18499</v>
      </c>
      <c r="J951" t="s">
        <v>18500</v>
      </c>
      <c r="K951" t="s">
        <v>74</v>
      </c>
      <c r="L951" t="s">
        <v>74</v>
      </c>
      <c r="M951" t="s">
        <v>80</v>
      </c>
      <c r="N951" t="s">
        <v>1996</v>
      </c>
      <c r="O951" t="s">
        <v>18501</v>
      </c>
      <c r="P951" t="s">
        <v>18502</v>
      </c>
      <c r="Q951" t="s">
        <v>18503</v>
      </c>
      <c r="R951" t="s">
        <v>74</v>
      </c>
      <c r="S951" t="s">
        <v>18504</v>
      </c>
      <c r="T951" t="s">
        <v>18505</v>
      </c>
      <c r="U951" t="s">
        <v>18506</v>
      </c>
      <c r="V951" t="s">
        <v>18507</v>
      </c>
      <c r="W951" t="s">
        <v>18508</v>
      </c>
      <c r="X951" t="s">
        <v>18509</v>
      </c>
      <c r="Y951" t="s">
        <v>18510</v>
      </c>
      <c r="Z951" t="s">
        <v>18511</v>
      </c>
      <c r="AA951" t="s">
        <v>74</v>
      </c>
      <c r="AB951" t="s">
        <v>74</v>
      </c>
      <c r="AC951" t="s">
        <v>74</v>
      </c>
      <c r="AD951" t="s">
        <v>74</v>
      </c>
      <c r="AE951" t="s">
        <v>74</v>
      </c>
      <c r="AF951" t="s">
        <v>74</v>
      </c>
      <c r="AG951">
        <v>27</v>
      </c>
      <c r="AH951">
        <v>3</v>
      </c>
      <c r="AI951">
        <v>3</v>
      </c>
      <c r="AJ951">
        <v>0</v>
      </c>
      <c r="AK951">
        <v>9</v>
      </c>
      <c r="AL951" t="s">
        <v>5125</v>
      </c>
      <c r="AM951" t="s">
        <v>5126</v>
      </c>
      <c r="AN951" t="s">
        <v>5127</v>
      </c>
      <c r="AO951" t="s">
        <v>18512</v>
      </c>
      <c r="AP951" t="s">
        <v>74</v>
      </c>
      <c r="AQ951" t="s">
        <v>74</v>
      </c>
      <c r="AR951" t="s">
        <v>18513</v>
      </c>
      <c r="AS951" t="s">
        <v>18514</v>
      </c>
      <c r="AT951" t="s">
        <v>3499</v>
      </c>
      <c r="AU951">
        <v>2019</v>
      </c>
      <c r="AV951">
        <v>282</v>
      </c>
      <c r="AW951" t="s">
        <v>74</v>
      </c>
      <c r="AX951" t="s">
        <v>74</v>
      </c>
      <c r="AY951" t="s">
        <v>74</v>
      </c>
      <c r="AZ951" t="s">
        <v>555</v>
      </c>
      <c r="BA951" t="s">
        <v>74</v>
      </c>
      <c r="BB951">
        <v>3</v>
      </c>
      <c r="BC951">
        <v>9</v>
      </c>
      <c r="BD951" t="s">
        <v>74</v>
      </c>
      <c r="BE951" t="s">
        <v>18515</v>
      </c>
      <c r="BF951" t="str">
        <f>HYPERLINK("http://dx.doi.org/10.1016/j.jcz.2019.06.001","http://dx.doi.org/10.1016/j.jcz.2019.06.001")</f>
        <v>http://dx.doi.org/10.1016/j.jcz.2019.06.001</v>
      </c>
      <c r="BG951" t="s">
        <v>74</v>
      </c>
      <c r="BH951" t="s">
        <v>74</v>
      </c>
      <c r="BI951">
        <v>7</v>
      </c>
      <c r="BJ951" t="s">
        <v>1219</v>
      </c>
      <c r="BK951" t="s">
        <v>2020</v>
      </c>
      <c r="BL951" t="s">
        <v>1219</v>
      </c>
      <c r="BM951" t="s">
        <v>18516</v>
      </c>
      <c r="BN951" t="s">
        <v>74</v>
      </c>
      <c r="BO951" t="s">
        <v>74</v>
      </c>
      <c r="BP951" t="s">
        <v>74</v>
      </c>
      <c r="BQ951" t="s">
        <v>74</v>
      </c>
      <c r="BR951" t="s">
        <v>108</v>
      </c>
      <c r="BS951" t="s">
        <v>18517</v>
      </c>
      <c r="BT951" t="str">
        <f>HYPERLINK("https%3A%2F%2Fwww.webofscience.com%2Fwos%2Fwoscc%2Ffull-record%2FWOS:000484579900002","View Full Record in Web of Science")</f>
        <v>View Full Record in Web of Science</v>
      </c>
    </row>
    <row r="952" spans="1:72" x14ac:dyDescent="0.15">
      <c r="A952" t="s">
        <v>133</v>
      </c>
      <c r="B952" t="s">
        <v>18518</v>
      </c>
      <c r="C952" t="s">
        <v>74</v>
      </c>
      <c r="D952" t="s">
        <v>74</v>
      </c>
      <c r="E952" t="s">
        <v>74</v>
      </c>
      <c r="F952" t="s">
        <v>18519</v>
      </c>
      <c r="G952" t="s">
        <v>74</v>
      </c>
      <c r="H952" t="s">
        <v>74</v>
      </c>
      <c r="I952" t="s">
        <v>18520</v>
      </c>
      <c r="J952" t="s">
        <v>1281</v>
      </c>
      <c r="K952" t="s">
        <v>74</v>
      </c>
      <c r="L952" t="s">
        <v>74</v>
      </c>
      <c r="M952" t="s">
        <v>80</v>
      </c>
      <c r="N952" t="s">
        <v>138</v>
      </c>
      <c r="O952" t="s">
        <v>74</v>
      </c>
      <c r="P952" t="s">
        <v>74</v>
      </c>
      <c r="Q952" t="s">
        <v>74</v>
      </c>
      <c r="R952" t="s">
        <v>74</v>
      </c>
      <c r="S952" t="s">
        <v>74</v>
      </c>
      <c r="T952" t="s">
        <v>18521</v>
      </c>
      <c r="U952" t="s">
        <v>18522</v>
      </c>
      <c r="V952" t="s">
        <v>18523</v>
      </c>
      <c r="W952" t="s">
        <v>18524</v>
      </c>
      <c r="X952" t="s">
        <v>18525</v>
      </c>
      <c r="Y952" t="s">
        <v>18526</v>
      </c>
      <c r="Z952" t="s">
        <v>18527</v>
      </c>
      <c r="AA952" t="s">
        <v>18528</v>
      </c>
      <c r="AB952" t="s">
        <v>18529</v>
      </c>
      <c r="AC952" t="s">
        <v>74</v>
      </c>
      <c r="AD952" t="s">
        <v>74</v>
      </c>
      <c r="AE952" t="s">
        <v>74</v>
      </c>
      <c r="AF952" t="s">
        <v>74</v>
      </c>
      <c r="AG952">
        <v>104</v>
      </c>
      <c r="AH952">
        <v>29</v>
      </c>
      <c r="AI952">
        <v>30</v>
      </c>
      <c r="AJ952">
        <v>5</v>
      </c>
      <c r="AK952">
        <v>42</v>
      </c>
      <c r="AL952" t="s">
        <v>429</v>
      </c>
      <c r="AM952" t="s">
        <v>430</v>
      </c>
      <c r="AN952" t="s">
        <v>431</v>
      </c>
      <c r="AO952" t="s">
        <v>1294</v>
      </c>
      <c r="AP952" t="s">
        <v>1295</v>
      </c>
      <c r="AQ952" t="s">
        <v>74</v>
      </c>
      <c r="AR952" t="s">
        <v>1296</v>
      </c>
      <c r="AS952" t="s">
        <v>1297</v>
      </c>
      <c r="AT952" t="s">
        <v>3499</v>
      </c>
      <c r="AU952">
        <v>2019</v>
      </c>
      <c r="AV952">
        <v>46</v>
      </c>
      <c r="AW952">
        <v>9</v>
      </c>
      <c r="AX952" t="s">
        <v>74</v>
      </c>
      <c r="AY952" t="s">
        <v>74</v>
      </c>
      <c r="AZ952" t="s">
        <v>74</v>
      </c>
      <c r="BA952" t="s">
        <v>74</v>
      </c>
      <c r="BB952">
        <v>1959</v>
      </c>
      <c r="BC952">
        <v>1973</v>
      </c>
      <c r="BD952" t="s">
        <v>74</v>
      </c>
      <c r="BE952" t="s">
        <v>18530</v>
      </c>
      <c r="BF952" t="str">
        <f>HYPERLINK("http://dx.doi.org/10.1111/jbi.13639","http://dx.doi.org/10.1111/jbi.13639")</f>
        <v>http://dx.doi.org/10.1111/jbi.13639</v>
      </c>
      <c r="BG952" t="s">
        <v>74</v>
      </c>
      <c r="BH952" t="s">
        <v>74</v>
      </c>
      <c r="BI952">
        <v>15</v>
      </c>
      <c r="BJ952" t="s">
        <v>1300</v>
      </c>
      <c r="BK952" t="s">
        <v>294</v>
      </c>
      <c r="BL952" t="s">
        <v>1301</v>
      </c>
      <c r="BM952" t="s">
        <v>18531</v>
      </c>
      <c r="BN952" t="s">
        <v>74</v>
      </c>
      <c r="BO952" t="s">
        <v>74</v>
      </c>
      <c r="BP952" t="s">
        <v>74</v>
      </c>
      <c r="BQ952" t="s">
        <v>74</v>
      </c>
      <c r="BR952" t="s">
        <v>108</v>
      </c>
      <c r="BS952" t="s">
        <v>18532</v>
      </c>
      <c r="BT952" t="str">
        <f>HYPERLINK("https%3A%2F%2Fwww.webofscience.com%2Fwos%2Fwoscc%2Ffull-record%2FWOS:000483602900006","View Full Record in Web of Science")</f>
        <v>View Full Record in Web of Science</v>
      </c>
    </row>
    <row r="953" spans="1:72" x14ac:dyDescent="0.15">
      <c r="A953" t="s">
        <v>133</v>
      </c>
      <c r="B953" t="s">
        <v>18533</v>
      </c>
      <c r="C953" t="s">
        <v>74</v>
      </c>
      <c r="D953" t="s">
        <v>74</v>
      </c>
      <c r="E953" t="s">
        <v>74</v>
      </c>
      <c r="F953" t="s">
        <v>18534</v>
      </c>
      <c r="G953" t="s">
        <v>74</v>
      </c>
      <c r="H953" t="s">
        <v>74</v>
      </c>
      <c r="I953" t="s">
        <v>18535</v>
      </c>
      <c r="J953" t="s">
        <v>10516</v>
      </c>
      <c r="K953" t="s">
        <v>74</v>
      </c>
      <c r="L953" t="s">
        <v>74</v>
      </c>
      <c r="M953" t="s">
        <v>80</v>
      </c>
      <c r="N953" t="s">
        <v>138</v>
      </c>
      <c r="O953" t="s">
        <v>74</v>
      </c>
      <c r="P953" t="s">
        <v>74</v>
      </c>
      <c r="Q953" t="s">
        <v>74</v>
      </c>
      <c r="R953" t="s">
        <v>74</v>
      </c>
      <c r="S953" t="s">
        <v>74</v>
      </c>
      <c r="T953" t="s">
        <v>18536</v>
      </c>
      <c r="U953" t="s">
        <v>18537</v>
      </c>
      <c r="V953" t="s">
        <v>18538</v>
      </c>
      <c r="W953" t="s">
        <v>18539</v>
      </c>
      <c r="X953" t="s">
        <v>18540</v>
      </c>
      <c r="Y953" t="s">
        <v>18541</v>
      </c>
      <c r="Z953" t="s">
        <v>18542</v>
      </c>
      <c r="AA953" t="s">
        <v>18543</v>
      </c>
      <c r="AB953" t="s">
        <v>18544</v>
      </c>
      <c r="AC953" t="s">
        <v>18545</v>
      </c>
      <c r="AD953" t="s">
        <v>18546</v>
      </c>
      <c r="AE953" t="s">
        <v>18547</v>
      </c>
      <c r="AF953" t="s">
        <v>74</v>
      </c>
      <c r="AG953">
        <v>48</v>
      </c>
      <c r="AH953">
        <v>10</v>
      </c>
      <c r="AI953">
        <v>10</v>
      </c>
      <c r="AJ953">
        <v>1</v>
      </c>
      <c r="AK953">
        <v>8</v>
      </c>
      <c r="AL953" t="s">
        <v>1964</v>
      </c>
      <c r="AM953" t="s">
        <v>1965</v>
      </c>
      <c r="AN953" t="s">
        <v>3452</v>
      </c>
      <c r="AO953" t="s">
        <v>10528</v>
      </c>
      <c r="AP953" t="s">
        <v>10529</v>
      </c>
      <c r="AQ953" t="s">
        <v>74</v>
      </c>
      <c r="AR953" t="s">
        <v>10530</v>
      </c>
      <c r="AS953" t="s">
        <v>10531</v>
      </c>
      <c r="AT953" t="s">
        <v>3499</v>
      </c>
      <c r="AU953">
        <v>2019</v>
      </c>
      <c r="AV953">
        <v>53</v>
      </c>
      <c r="AW953" t="s">
        <v>8754</v>
      </c>
      <c r="AX953" t="s">
        <v>74</v>
      </c>
      <c r="AY953" t="s">
        <v>74</v>
      </c>
      <c r="AZ953" t="s">
        <v>74</v>
      </c>
      <c r="BA953" t="s">
        <v>74</v>
      </c>
      <c r="BB953">
        <v>2779</v>
      </c>
      <c r="BC953">
        <v>2792</v>
      </c>
      <c r="BD953" t="s">
        <v>74</v>
      </c>
      <c r="BE953" t="s">
        <v>18548</v>
      </c>
      <c r="BF953" t="str">
        <f>HYPERLINK("http://dx.doi.org/10.1007/s00382-019-04832-y","http://dx.doi.org/10.1007/s00382-019-04832-y")</f>
        <v>http://dx.doi.org/10.1007/s00382-019-04832-y</v>
      </c>
      <c r="BG953" t="s">
        <v>74</v>
      </c>
      <c r="BH953" t="s">
        <v>74</v>
      </c>
      <c r="BI953">
        <v>14</v>
      </c>
      <c r="BJ953" t="s">
        <v>1024</v>
      </c>
      <c r="BK953" t="s">
        <v>294</v>
      </c>
      <c r="BL953" t="s">
        <v>1024</v>
      </c>
      <c r="BM953" t="s">
        <v>18549</v>
      </c>
      <c r="BN953" t="s">
        <v>74</v>
      </c>
      <c r="BO953" t="s">
        <v>666</v>
      </c>
      <c r="BP953" t="s">
        <v>74</v>
      </c>
      <c r="BQ953" t="s">
        <v>74</v>
      </c>
      <c r="BR953" t="s">
        <v>108</v>
      </c>
      <c r="BS953" t="s">
        <v>18550</v>
      </c>
      <c r="BT953" t="str">
        <f>HYPERLINK("https%3A%2F%2Fwww.webofscience.com%2Fwos%2Fwoscc%2Ffull-record%2FWOS:000483626900018","View Full Record in Web of Science")</f>
        <v>View Full Record in Web of Science</v>
      </c>
    </row>
    <row r="954" spans="1:72" x14ac:dyDescent="0.15">
      <c r="A954" t="s">
        <v>133</v>
      </c>
      <c r="B954" t="s">
        <v>18551</v>
      </c>
      <c r="C954" t="s">
        <v>74</v>
      </c>
      <c r="D954" t="s">
        <v>74</v>
      </c>
      <c r="E954" t="s">
        <v>74</v>
      </c>
      <c r="F954" t="s">
        <v>18552</v>
      </c>
      <c r="G954" t="s">
        <v>74</v>
      </c>
      <c r="H954" t="s">
        <v>74</v>
      </c>
      <c r="I954" t="s">
        <v>18553</v>
      </c>
      <c r="J954" t="s">
        <v>10516</v>
      </c>
      <c r="K954" t="s">
        <v>74</v>
      </c>
      <c r="L954" t="s">
        <v>74</v>
      </c>
      <c r="M954" t="s">
        <v>80</v>
      </c>
      <c r="N954" t="s">
        <v>138</v>
      </c>
      <c r="O954" t="s">
        <v>74</v>
      </c>
      <c r="P954" t="s">
        <v>74</v>
      </c>
      <c r="Q954" t="s">
        <v>74</v>
      </c>
      <c r="R954" t="s">
        <v>74</v>
      </c>
      <c r="S954" t="s">
        <v>74</v>
      </c>
      <c r="T954" t="s">
        <v>18554</v>
      </c>
      <c r="U954" t="s">
        <v>18555</v>
      </c>
      <c r="V954" t="s">
        <v>18556</v>
      </c>
      <c r="W954" t="s">
        <v>18557</v>
      </c>
      <c r="X954" t="s">
        <v>18558</v>
      </c>
      <c r="Y954" t="s">
        <v>18559</v>
      </c>
      <c r="Z954" t="s">
        <v>18560</v>
      </c>
      <c r="AA954" t="s">
        <v>18561</v>
      </c>
      <c r="AB954" t="s">
        <v>18562</v>
      </c>
      <c r="AC954" t="s">
        <v>18563</v>
      </c>
      <c r="AD954" t="s">
        <v>18563</v>
      </c>
      <c r="AE954" t="s">
        <v>18564</v>
      </c>
      <c r="AF954" t="s">
        <v>74</v>
      </c>
      <c r="AG954">
        <v>59</v>
      </c>
      <c r="AH954">
        <v>3</v>
      </c>
      <c r="AI954">
        <v>3</v>
      </c>
      <c r="AJ954">
        <v>0</v>
      </c>
      <c r="AK954">
        <v>5</v>
      </c>
      <c r="AL954" t="s">
        <v>1964</v>
      </c>
      <c r="AM954" t="s">
        <v>1965</v>
      </c>
      <c r="AN954" t="s">
        <v>3452</v>
      </c>
      <c r="AO954" t="s">
        <v>10528</v>
      </c>
      <c r="AP954" t="s">
        <v>10529</v>
      </c>
      <c r="AQ954" t="s">
        <v>74</v>
      </c>
      <c r="AR954" t="s">
        <v>10530</v>
      </c>
      <c r="AS954" t="s">
        <v>10531</v>
      </c>
      <c r="AT954" t="s">
        <v>3499</v>
      </c>
      <c r="AU954">
        <v>2019</v>
      </c>
      <c r="AV954">
        <v>53</v>
      </c>
      <c r="AW954" t="s">
        <v>8754</v>
      </c>
      <c r="AX954" t="s">
        <v>74</v>
      </c>
      <c r="AY954" t="s">
        <v>74</v>
      </c>
      <c r="AZ954" t="s">
        <v>74</v>
      </c>
      <c r="BA954" t="s">
        <v>74</v>
      </c>
      <c r="BB954">
        <v>2887</v>
      </c>
      <c r="BC954">
        <v>2903</v>
      </c>
      <c r="BD954" t="s">
        <v>74</v>
      </c>
      <c r="BE954" t="s">
        <v>18565</v>
      </c>
      <c r="BF954" t="str">
        <f>HYPERLINK("http://dx.doi.org/10.1007/s00382-019-04665-9","http://dx.doi.org/10.1007/s00382-019-04665-9")</f>
        <v>http://dx.doi.org/10.1007/s00382-019-04665-9</v>
      </c>
      <c r="BG954" t="s">
        <v>74</v>
      </c>
      <c r="BH954" t="s">
        <v>74</v>
      </c>
      <c r="BI954">
        <v>17</v>
      </c>
      <c r="BJ954" t="s">
        <v>1024</v>
      </c>
      <c r="BK954" t="s">
        <v>294</v>
      </c>
      <c r="BL954" t="s">
        <v>1024</v>
      </c>
      <c r="BM954" t="s">
        <v>18549</v>
      </c>
      <c r="BN954" t="s">
        <v>74</v>
      </c>
      <c r="BO954" t="s">
        <v>74</v>
      </c>
      <c r="BP954" t="s">
        <v>74</v>
      </c>
      <c r="BQ954" t="s">
        <v>74</v>
      </c>
      <c r="BR954" t="s">
        <v>108</v>
      </c>
      <c r="BS954" t="s">
        <v>18566</v>
      </c>
      <c r="BT954" t="str">
        <f>HYPERLINK("https%3A%2F%2Fwww.webofscience.com%2Fwos%2Fwoscc%2Ffull-record%2FWOS:000483626900024","View Full Record in Web of Science")</f>
        <v>View Full Record in Web of Science</v>
      </c>
    </row>
    <row r="955" spans="1:72" x14ac:dyDescent="0.15">
      <c r="A955" t="s">
        <v>133</v>
      </c>
      <c r="B955" t="s">
        <v>18567</v>
      </c>
      <c r="C955" t="s">
        <v>74</v>
      </c>
      <c r="D955" t="s">
        <v>74</v>
      </c>
      <c r="E955" t="s">
        <v>74</v>
      </c>
      <c r="F955" t="s">
        <v>18568</v>
      </c>
      <c r="G955" t="s">
        <v>74</v>
      </c>
      <c r="H955" t="s">
        <v>74</v>
      </c>
      <c r="I955" t="s">
        <v>18569</v>
      </c>
      <c r="J955" t="s">
        <v>5433</v>
      </c>
      <c r="K955" t="s">
        <v>74</v>
      </c>
      <c r="L955" t="s">
        <v>74</v>
      </c>
      <c r="M955" t="s">
        <v>80</v>
      </c>
      <c r="N955" t="s">
        <v>138</v>
      </c>
      <c r="O955" t="s">
        <v>74</v>
      </c>
      <c r="P955" t="s">
        <v>74</v>
      </c>
      <c r="Q955" t="s">
        <v>74</v>
      </c>
      <c r="R955" t="s">
        <v>74</v>
      </c>
      <c r="S955" t="s">
        <v>74</v>
      </c>
      <c r="T955" t="s">
        <v>74</v>
      </c>
      <c r="U955" t="s">
        <v>18570</v>
      </c>
      <c r="V955" t="s">
        <v>18571</v>
      </c>
      <c r="W955" t="s">
        <v>18572</v>
      </c>
      <c r="X955" t="s">
        <v>18573</v>
      </c>
      <c r="Y955" t="s">
        <v>18574</v>
      </c>
      <c r="Z955" t="s">
        <v>18575</v>
      </c>
      <c r="AA955" t="s">
        <v>18576</v>
      </c>
      <c r="AB955" t="s">
        <v>18577</v>
      </c>
      <c r="AC955" t="s">
        <v>18578</v>
      </c>
      <c r="AD955" t="s">
        <v>18579</v>
      </c>
      <c r="AE955" t="s">
        <v>18580</v>
      </c>
      <c r="AF955" t="s">
        <v>74</v>
      </c>
      <c r="AG955">
        <v>51</v>
      </c>
      <c r="AH955">
        <v>12</v>
      </c>
      <c r="AI955">
        <v>12</v>
      </c>
      <c r="AJ955">
        <v>1</v>
      </c>
      <c r="AK955">
        <v>28</v>
      </c>
      <c r="AL955" t="s">
        <v>709</v>
      </c>
      <c r="AM955" t="s">
        <v>380</v>
      </c>
      <c r="AN955" t="s">
        <v>710</v>
      </c>
      <c r="AO955" t="s">
        <v>5446</v>
      </c>
      <c r="AP955" t="s">
        <v>5447</v>
      </c>
      <c r="AQ955" t="s">
        <v>74</v>
      </c>
      <c r="AR955" t="s">
        <v>5448</v>
      </c>
      <c r="AS955" t="s">
        <v>5449</v>
      </c>
      <c r="AT955" t="s">
        <v>3499</v>
      </c>
      <c r="AU955">
        <v>2019</v>
      </c>
      <c r="AV955">
        <v>252</v>
      </c>
      <c r="AW955" t="s">
        <v>74</v>
      </c>
      <c r="AX955" t="s">
        <v>590</v>
      </c>
      <c r="AY955" t="s">
        <v>74</v>
      </c>
      <c r="AZ955" t="s">
        <v>74</v>
      </c>
      <c r="BA955" t="s">
        <v>74</v>
      </c>
      <c r="BB955">
        <v>1582</v>
      </c>
      <c r="BC955">
        <v>1592</v>
      </c>
      <c r="BD955" t="s">
        <v>74</v>
      </c>
      <c r="BE955" t="s">
        <v>18581</v>
      </c>
      <c r="BF955" t="str">
        <f>HYPERLINK("http://dx.doi.org/10.1016/j.envpol.2019.06.003","http://dx.doi.org/10.1016/j.envpol.2019.06.003")</f>
        <v>http://dx.doi.org/10.1016/j.envpol.2019.06.003</v>
      </c>
      <c r="BG955" t="s">
        <v>74</v>
      </c>
      <c r="BH955" t="s">
        <v>74</v>
      </c>
      <c r="BI955">
        <v>11</v>
      </c>
      <c r="BJ955" t="s">
        <v>387</v>
      </c>
      <c r="BK955" t="s">
        <v>294</v>
      </c>
      <c r="BL955" t="s">
        <v>388</v>
      </c>
      <c r="BM955" t="s">
        <v>18582</v>
      </c>
      <c r="BN955">
        <v>31279252</v>
      </c>
      <c r="BO955" t="s">
        <v>7770</v>
      </c>
      <c r="BP955" t="s">
        <v>74</v>
      </c>
      <c r="BQ955" t="s">
        <v>74</v>
      </c>
      <c r="BR955" t="s">
        <v>108</v>
      </c>
      <c r="BS955" t="s">
        <v>18583</v>
      </c>
      <c r="BT955" t="str">
        <f>HYPERLINK("https%3A%2F%2Fwww.webofscience.com%2Fwos%2Fwoscc%2Ffull-record%2FWOS:000483405400069","View Full Record in Web of Science")</f>
        <v>View Full Record in Web of Science</v>
      </c>
    </row>
    <row r="956" spans="1:72" x14ac:dyDescent="0.15">
      <c r="A956" t="s">
        <v>133</v>
      </c>
      <c r="B956" t="s">
        <v>18584</v>
      </c>
      <c r="C956" t="s">
        <v>74</v>
      </c>
      <c r="D956" t="s">
        <v>74</v>
      </c>
      <c r="E956" t="s">
        <v>74</v>
      </c>
      <c r="F956" t="s">
        <v>18585</v>
      </c>
      <c r="G956" t="s">
        <v>74</v>
      </c>
      <c r="H956" t="s">
        <v>74</v>
      </c>
      <c r="I956" t="s">
        <v>18586</v>
      </c>
      <c r="J956" t="s">
        <v>18587</v>
      </c>
      <c r="K956" t="s">
        <v>74</v>
      </c>
      <c r="L956" t="s">
        <v>74</v>
      </c>
      <c r="M956" t="s">
        <v>80</v>
      </c>
      <c r="N956" t="s">
        <v>138</v>
      </c>
      <c r="O956" t="s">
        <v>74</v>
      </c>
      <c r="P956" t="s">
        <v>74</v>
      </c>
      <c r="Q956" t="s">
        <v>74</v>
      </c>
      <c r="R956" t="s">
        <v>74</v>
      </c>
      <c r="S956" t="s">
        <v>74</v>
      </c>
      <c r="T956" t="s">
        <v>18588</v>
      </c>
      <c r="U956" t="s">
        <v>18589</v>
      </c>
      <c r="V956" t="s">
        <v>18590</v>
      </c>
      <c r="W956" t="s">
        <v>18591</v>
      </c>
      <c r="X956" t="s">
        <v>18592</v>
      </c>
      <c r="Y956" t="s">
        <v>18593</v>
      </c>
      <c r="Z956" t="s">
        <v>18594</v>
      </c>
      <c r="AA956" t="s">
        <v>74</v>
      </c>
      <c r="AB956" t="s">
        <v>74</v>
      </c>
      <c r="AC956" t="s">
        <v>18595</v>
      </c>
      <c r="AD956" t="s">
        <v>18596</v>
      </c>
      <c r="AE956" t="s">
        <v>18597</v>
      </c>
      <c r="AF956" t="s">
        <v>74</v>
      </c>
      <c r="AG956">
        <v>62</v>
      </c>
      <c r="AH956">
        <v>20</v>
      </c>
      <c r="AI956">
        <v>21</v>
      </c>
      <c r="AJ956">
        <v>1</v>
      </c>
      <c r="AK956">
        <v>18</v>
      </c>
      <c r="AL956" t="s">
        <v>4680</v>
      </c>
      <c r="AM956" t="s">
        <v>1730</v>
      </c>
      <c r="AN956" t="s">
        <v>4681</v>
      </c>
      <c r="AO956" t="s">
        <v>18598</v>
      </c>
      <c r="AP956" t="s">
        <v>18599</v>
      </c>
      <c r="AQ956" t="s">
        <v>74</v>
      </c>
      <c r="AR956" t="s">
        <v>18600</v>
      </c>
      <c r="AS956" t="s">
        <v>18601</v>
      </c>
      <c r="AT956" t="s">
        <v>3499</v>
      </c>
      <c r="AU956">
        <v>2019</v>
      </c>
      <c r="AV956">
        <v>92</v>
      </c>
      <c r="AW956" t="s">
        <v>74</v>
      </c>
      <c r="AX956" t="s">
        <v>74</v>
      </c>
      <c r="AY956" t="s">
        <v>74</v>
      </c>
      <c r="AZ956" t="s">
        <v>74</v>
      </c>
      <c r="BA956" t="s">
        <v>74</v>
      </c>
      <c r="BB956">
        <v>756</v>
      </c>
      <c r="BC956">
        <v>764</v>
      </c>
      <c r="BD956" t="s">
        <v>74</v>
      </c>
      <c r="BE956" t="s">
        <v>18602</v>
      </c>
      <c r="BF956" t="str">
        <f>HYPERLINK("http://dx.doi.org/10.1016/j.fsi.2019.07.016","http://dx.doi.org/10.1016/j.fsi.2019.07.016")</f>
        <v>http://dx.doi.org/10.1016/j.fsi.2019.07.016</v>
      </c>
      <c r="BG956" t="s">
        <v>74</v>
      </c>
      <c r="BH956" t="s">
        <v>74</v>
      </c>
      <c r="BI956">
        <v>9</v>
      </c>
      <c r="BJ956" t="s">
        <v>18603</v>
      </c>
      <c r="BK956" t="s">
        <v>294</v>
      </c>
      <c r="BL956" t="s">
        <v>18603</v>
      </c>
      <c r="BM956" t="s">
        <v>18604</v>
      </c>
      <c r="BN956">
        <v>31288098</v>
      </c>
      <c r="BO956" t="s">
        <v>74</v>
      </c>
      <c r="BP956" t="s">
        <v>74</v>
      </c>
      <c r="BQ956" t="s">
        <v>74</v>
      </c>
      <c r="BR956" t="s">
        <v>108</v>
      </c>
      <c r="BS956" t="s">
        <v>18605</v>
      </c>
      <c r="BT956" t="str">
        <f>HYPERLINK("https%3A%2F%2Fwww.webofscience.com%2Fwos%2Fwoscc%2Ffull-record%2FWOS:000483634300082","View Full Record in Web of Science")</f>
        <v>View Full Record in Web of Science</v>
      </c>
    </row>
    <row r="957" spans="1:72" x14ac:dyDescent="0.15">
      <c r="A957" t="s">
        <v>133</v>
      </c>
      <c r="B957" t="s">
        <v>18606</v>
      </c>
      <c r="C957" t="s">
        <v>74</v>
      </c>
      <c r="D957" t="s">
        <v>74</v>
      </c>
      <c r="E957" t="s">
        <v>74</v>
      </c>
      <c r="F957" t="s">
        <v>18607</v>
      </c>
      <c r="G957" t="s">
        <v>74</v>
      </c>
      <c r="H957" t="s">
        <v>74</v>
      </c>
      <c r="I957" t="s">
        <v>18608</v>
      </c>
      <c r="J957" t="s">
        <v>7654</v>
      </c>
      <c r="K957" t="s">
        <v>74</v>
      </c>
      <c r="L957" t="s">
        <v>74</v>
      </c>
      <c r="M957" t="s">
        <v>80</v>
      </c>
      <c r="N957" t="s">
        <v>138</v>
      </c>
      <c r="O957" t="s">
        <v>74</v>
      </c>
      <c r="P957" t="s">
        <v>74</v>
      </c>
      <c r="Q957" t="s">
        <v>74</v>
      </c>
      <c r="R957" t="s">
        <v>74</v>
      </c>
      <c r="S957" t="s">
        <v>74</v>
      </c>
      <c r="T957" t="s">
        <v>18609</v>
      </c>
      <c r="U957" t="s">
        <v>18610</v>
      </c>
      <c r="V957" t="s">
        <v>18611</v>
      </c>
      <c r="W957" t="s">
        <v>18612</v>
      </c>
      <c r="X957" t="s">
        <v>18613</v>
      </c>
      <c r="Y957" t="s">
        <v>18614</v>
      </c>
      <c r="Z957" t="s">
        <v>18615</v>
      </c>
      <c r="AA957" t="s">
        <v>18616</v>
      </c>
      <c r="AB957" t="s">
        <v>18617</v>
      </c>
      <c r="AC957" t="s">
        <v>18618</v>
      </c>
      <c r="AD957" t="s">
        <v>18619</v>
      </c>
      <c r="AE957" t="s">
        <v>18620</v>
      </c>
      <c r="AF957" t="s">
        <v>74</v>
      </c>
      <c r="AG957">
        <v>48</v>
      </c>
      <c r="AH957">
        <v>57</v>
      </c>
      <c r="AI957">
        <v>67</v>
      </c>
      <c r="AJ957">
        <v>0</v>
      </c>
      <c r="AK957">
        <v>40</v>
      </c>
      <c r="AL957" t="s">
        <v>429</v>
      </c>
      <c r="AM957" t="s">
        <v>430</v>
      </c>
      <c r="AN957" t="s">
        <v>431</v>
      </c>
      <c r="AO957" t="s">
        <v>7666</v>
      </c>
      <c r="AP957" t="s">
        <v>7667</v>
      </c>
      <c r="AQ957" t="s">
        <v>74</v>
      </c>
      <c r="AR957" t="s">
        <v>7668</v>
      </c>
      <c r="AS957" t="s">
        <v>7669</v>
      </c>
      <c r="AT957" t="s">
        <v>3499</v>
      </c>
      <c r="AU957">
        <v>2019</v>
      </c>
      <c r="AV957">
        <v>10</v>
      </c>
      <c r="AW957">
        <v>9</v>
      </c>
      <c r="AX957" t="s">
        <v>74</v>
      </c>
      <c r="AY957" t="s">
        <v>74</v>
      </c>
      <c r="AZ957" t="s">
        <v>74</v>
      </c>
      <c r="BA957" t="s">
        <v>74</v>
      </c>
      <c r="BB957">
        <v>1490</v>
      </c>
      <c r="BC957">
        <v>1500</v>
      </c>
      <c r="BD957" t="s">
        <v>74</v>
      </c>
      <c r="BE957" t="s">
        <v>18621</v>
      </c>
      <c r="BF957" t="str">
        <f>HYPERLINK("http://dx.doi.org/10.1111/2041-210X.13246","http://dx.doi.org/10.1111/2041-210X.13246")</f>
        <v>http://dx.doi.org/10.1111/2041-210X.13246</v>
      </c>
      <c r="BG957" t="s">
        <v>74</v>
      </c>
      <c r="BH957" t="s">
        <v>74</v>
      </c>
      <c r="BI957">
        <v>11</v>
      </c>
      <c r="BJ957" t="s">
        <v>437</v>
      </c>
      <c r="BK957" t="s">
        <v>294</v>
      </c>
      <c r="BL957" t="s">
        <v>388</v>
      </c>
      <c r="BM957" t="s">
        <v>18622</v>
      </c>
      <c r="BN957" t="s">
        <v>74</v>
      </c>
      <c r="BO957" t="s">
        <v>588</v>
      </c>
      <c r="BP957" t="s">
        <v>74</v>
      </c>
      <c r="BQ957" t="s">
        <v>74</v>
      </c>
      <c r="BR957" t="s">
        <v>108</v>
      </c>
      <c r="BS957" t="s">
        <v>18623</v>
      </c>
      <c r="BT957" t="str">
        <f>HYPERLINK("https%3A%2F%2Fwww.webofscience.com%2Fwos%2Fwoscc%2Ffull-record%2FWOS:000483699600010","View Full Record in Web of Science")</f>
        <v>View Full Record in Web of Science</v>
      </c>
    </row>
    <row r="958" spans="1:72" x14ac:dyDescent="0.15">
      <c r="A958" t="s">
        <v>133</v>
      </c>
      <c r="B958" t="s">
        <v>18624</v>
      </c>
      <c r="C958" t="s">
        <v>74</v>
      </c>
      <c r="D958" t="s">
        <v>74</v>
      </c>
      <c r="E958" t="s">
        <v>74</v>
      </c>
      <c r="F958" t="s">
        <v>18625</v>
      </c>
      <c r="G958" t="s">
        <v>74</v>
      </c>
      <c r="H958" t="s">
        <v>74</v>
      </c>
      <c r="I958" t="s">
        <v>18626</v>
      </c>
      <c r="J958" t="s">
        <v>18627</v>
      </c>
      <c r="K958" t="s">
        <v>74</v>
      </c>
      <c r="L958" t="s">
        <v>74</v>
      </c>
      <c r="M958" t="s">
        <v>18628</v>
      </c>
      <c r="N958" t="s">
        <v>138</v>
      </c>
      <c r="O958" t="s">
        <v>74</v>
      </c>
      <c r="P958" t="s">
        <v>74</v>
      </c>
      <c r="Q958" t="s">
        <v>74</v>
      </c>
      <c r="R958" t="s">
        <v>74</v>
      </c>
      <c r="S958" t="s">
        <v>74</v>
      </c>
      <c r="T958" t="s">
        <v>18629</v>
      </c>
      <c r="U958" t="s">
        <v>18630</v>
      </c>
      <c r="V958" t="s">
        <v>18631</v>
      </c>
      <c r="W958" t="s">
        <v>18632</v>
      </c>
      <c r="X958" t="s">
        <v>18633</v>
      </c>
      <c r="Y958" t="s">
        <v>18634</v>
      </c>
      <c r="Z958" t="s">
        <v>18635</v>
      </c>
      <c r="AA958" t="s">
        <v>74</v>
      </c>
      <c r="AB958" t="s">
        <v>74</v>
      </c>
      <c r="AC958" t="s">
        <v>74</v>
      </c>
      <c r="AD958" t="s">
        <v>74</v>
      </c>
      <c r="AE958" t="s">
        <v>74</v>
      </c>
      <c r="AF958" t="s">
        <v>74</v>
      </c>
      <c r="AG958">
        <v>74</v>
      </c>
      <c r="AH958">
        <v>2</v>
      </c>
      <c r="AI958">
        <v>2</v>
      </c>
      <c r="AJ958">
        <v>0</v>
      </c>
      <c r="AK958">
        <v>1</v>
      </c>
      <c r="AL958" t="s">
        <v>18636</v>
      </c>
      <c r="AM958" t="s">
        <v>871</v>
      </c>
      <c r="AN958" t="s">
        <v>872</v>
      </c>
      <c r="AO958" t="s">
        <v>18637</v>
      </c>
      <c r="AP958" t="s">
        <v>18638</v>
      </c>
      <c r="AQ958" t="s">
        <v>74</v>
      </c>
      <c r="AR958" t="s">
        <v>18639</v>
      </c>
      <c r="AS958" t="s">
        <v>18627</v>
      </c>
      <c r="AT958" t="s">
        <v>3499</v>
      </c>
      <c r="AU958">
        <v>2019</v>
      </c>
      <c r="AV958">
        <v>27</v>
      </c>
      <c r="AW958">
        <v>3</v>
      </c>
      <c r="AX958" t="s">
        <v>74</v>
      </c>
      <c r="AY958" t="s">
        <v>74</v>
      </c>
      <c r="AZ958" t="s">
        <v>555</v>
      </c>
      <c r="BA958" t="s">
        <v>74</v>
      </c>
      <c r="BB958">
        <v>229</v>
      </c>
      <c r="BC958">
        <v>263</v>
      </c>
      <c r="BD958" t="s">
        <v>74</v>
      </c>
      <c r="BE958" t="s">
        <v>18640</v>
      </c>
      <c r="BF958" t="str">
        <f>HYPERLINK("http://dx.doi.org/10.1007/s00048-019-00215-w","http://dx.doi.org/10.1007/s00048-019-00215-w")</f>
        <v>http://dx.doi.org/10.1007/s00048-019-00215-w</v>
      </c>
      <c r="BG958" t="s">
        <v>74</v>
      </c>
      <c r="BH958" t="s">
        <v>74</v>
      </c>
      <c r="BI958">
        <v>35</v>
      </c>
      <c r="BJ958" t="s">
        <v>18641</v>
      </c>
      <c r="BK958" t="s">
        <v>16447</v>
      </c>
      <c r="BL958" t="s">
        <v>18642</v>
      </c>
      <c r="BM958" t="s">
        <v>18643</v>
      </c>
      <c r="BN958">
        <v>31240340</v>
      </c>
      <c r="BO958" t="s">
        <v>588</v>
      </c>
      <c r="BP958" t="s">
        <v>74</v>
      </c>
      <c r="BQ958" t="s">
        <v>74</v>
      </c>
      <c r="BR958" t="s">
        <v>108</v>
      </c>
      <c r="BS958" t="s">
        <v>18644</v>
      </c>
      <c r="BT958" t="str">
        <f>HYPERLINK("https%3A%2F%2Fwww.webofscience.com%2Fwos%2Fwoscc%2Ffull-record%2FWOS:000483784400001","View Full Record in Web of Science")</f>
        <v>View Full Record in Web of Science</v>
      </c>
    </row>
    <row r="959" spans="1:72" x14ac:dyDescent="0.15">
      <c r="A959" t="s">
        <v>133</v>
      </c>
      <c r="B959" t="s">
        <v>18645</v>
      </c>
      <c r="C959" t="s">
        <v>74</v>
      </c>
      <c r="D959" t="s">
        <v>74</v>
      </c>
      <c r="E959" t="s">
        <v>74</v>
      </c>
      <c r="F959" t="s">
        <v>18646</v>
      </c>
      <c r="G959" t="s">
        <v>74</v>
      </c>
      <c r="H959" t="s">
        <v>74</v>
      </c>
      <c r="I959" t="s">
        <v>18647</v>
      </c>
      <c r="J959" t="s">
        <v>1388</v>
      </c>
      <c r="K959" t="s">
        <v>74</v>
      </c>
      <c r="L959" t="s">
        <v>74</v>
      </c>
      <c r="M959" t="s">
        <v>80</v>
      </c>
      <c r="N959" t="s">
        <v>138</v>
      </c>
      <c r="O959" t="s">
        <v>74</v>
      </c>
      <c r="P959" t="s">
        <v>74</v>
      </c>
      <c r="Q959" t="s">
        <v>74</v>
      </c>
      <c r="R959" t="s">
        <v>74</v>
      </c>
      <c r="S959" t="s">
        <v>74</v>
      </c>
      <c r="T959" t="s">
        <v>18648</v>
      </c>
      <c r="U959" t="s">
        <v>18649</v>
      </c>
      <c r="V959" t="s">
        <v>18650</v>
      </c>
      <c r="W959" t="s">
        <v>18651</v>
      </c>
      <c r="X959" t="s">
        <v>18652</v>
      </c>
      <c r="Y959" t="s">
        <v>18653</v>
      </c>
      <c r="Z959" t="s">
        <v>18654</v>
      </c>
      <c r="AA959" t="s">
        <v>18655</v>
      </c>
      <c r="AB959" t="s">
        <v>18656</v>
      </c>
      <c r="AC959" t="s">
        <v>18657</v>
      </c>
      <c r="AD959" t="s">
        <v>18658</v>
      </c>
      <c r="AE959" t="s">
        <v>18659</v>
      </c>
      <c r="AF959" t="s">
        <v>74</v>
      </c>
      <c r="AG959">
        <v>61</v>
      </c>
      <c r="AH959">
        <v>12</v>
      </c>
      <c r="AI959">
        <v>14</v>
      </c>
      <c r="AJ959">
        <v>1</v>
      </c>
      <c r="AK959">
        <v>21</v>
      </c>
      <c r="AL959" t="s">
        <v>429</v>
      </c>
      <c r="AM959" t="s">
        <v>430</v>
      </c>
      <c r="AN959" t="s">
        <v>431</v>
      </c>
      <c r="AO959" t="s">
        <v>1401</v>
      </c>
      <c r="AP959" t="s">
        <v>1402</v>
      </c>
      <c r="AQ959" t="s">
        <v>74</v>
      </c>
      <c r="AR959" t="s">
        <v>1403</v>
      </c>
      <c r="AS959" t="s">
        <v>1404</v>
      </c>
      <c r="AT959" t="s">
        <v>3499</v>
      </c>
      <c r="AU959">
        <v>2019</v>
      </c>
      <c r="AV959">
        <v>39</v>
      </c>
      <c r="AW959">
        <v>11</v>
      </c>
      <c r="AX959" t="s">
        <v>74</v>
      </c>
      <c r="AY959" t="s">
        <v>74</v>
      </c>
      <c r="AZ959" t="s">
        <v>74</v>
      </c>
      <c r="BA959" t="s">
        <v>74</v>
      </c>
      <c r="BB959">
        <v>4372</v>
      </c>
      <c r="BC959">
        <v>4391</v>
      </c>
      <c r="BD959" t="s">
        <v>74</v>
      </c>
      <c r="BE959" t="s">
        <v>18660</v>
      </c>
      <c r="BF959" t="str">
        <f>HYPERLINK("http://dx.doi.org/10.1002/joc.6080","http://dx.doi.org/10.1002/joc.6080")</f>
        <v>http://dx.doi.org/10.1002/joc.6080</v>
      </c>
      <c r="BG959" t="s">
        <v>74</v>
      </c>
      <c r="BH959" t="s">
        <v>74</v>
      </c>
      <c r="BI959">
        <v>20</v>
      </c>
      <c r="BJ959" t="s">
        <v>1024</v>
      </c>
      <c r="BK959" t="s">
        <v>294</v>
      </c>
      <c r="BL959" t="s">
        <v>1024</v>
      </c>
      <c r="BM959" t="s">
        <v>18661</v>
      </c>
      <c r="BN959" t="s">
        <v>74</v>
      </c>
      <c r="BO959" t="s">
        <v>559</v>
      </c>
      <c r="BP959" t="s">
        <v>74</v>
      </c>
      <c r="BQ959" t="s">
        <v>74</v>
      </c>
      <c r="BR959" t="s">
        <v>108</v>
      </c>
      <c r="BS959" t="s">
        <v>18662</v>
      </c>
      <c r="BT959" t="str">
        <f>HYPERLINK("https%3A%2F%2Fwww.webofscience.com%2Fwos%2Fwoscc%2Ffull-record%2FWOS:000483703900013","View Full Record in Web of Science")</f>
        <v>View Full Record in Web of Science</v>
      </c>
    </row>
    <row r="960" spans="1:72" x14ac:dyDescent="0.15">
      <c r="A960" t="s">
        <v>133</v>
      </c>
      <c r="B960" t="s">
        <v>18663</v>
      </c>
      <c r="C960" t="s">
        <v>74</v>
      </c>
      <c r="D960" t="s">
        <v>74</v>
      </c>
      <c r="E960" t="s">
        <v>74</v>
      </c>
      <c r="F960" t="s">
        <v>18664</v>
      </c>
      <c r="G960" t="s">
        <v>74</v>
      </c>
      <c r="H960" t="s">
        <v>74</v>
      </c>
      <c r="I960" t="s">
        <v>18665</v>
      </c>
      <c r="J960" t="s">
        <v>5765</v>
      </c>
      <c r="K960" t="s">
        <v>74</v>
      </c>
      <c r="L960" t="s">
        <v>74</v>
      </c>
      <c r="M960" t="s">
        <v>80</v>
      </c>
      <c r="N960" t="s">
        <v>138</v>
      </c>
      <c r="O960" t="s">
        <v>74</v>
      </c>
      <c r="P960" t="s">
        <v>74</v>
      </c>
      <c r="Q960" t="s">
        <v>74</v>
      </c>
      <c r="R960" t="s">
        <v>74</v>
      </c>
      <c r="S960" t="s">
        <v>74</v>
      </c>
      <c r="T960" t="s">
        <v>74</v>
      </c>
      <c r="U960" t="s">
        <v>18666</v>
      </c>
      <c r="V960" t="s">
        <v>18667</v>
      </c>
      <c r="W960" t="s">
        <v>18668</v>
      </c>
      <c r="X960" t="s">
        <v>18669</v>
      </c>
      <c r="Y960" t="s">
        <v>18670</v>
      </c>
      <c r="Z960" t="s">
        <v>18671</v>
      </c>
      <c r="AA960" t="s">
        <v>13261</v>
      </c>
      <c r="AB960" t="s">
        <v>18672</v>
      </c>
      <c r="AC960" t="s">
        <v>18673</v>
      </c>
      <c r="AD960" t="s">
        <v>18674</v>
      </c>
      <c r="AE960" t="s">
        <v>18675</v>
      </c>
      <c r="AF960" t="s">
        <v>74</v>
      </c>
      <c r="AG960">
        <v>44</v>
      </c>
      <c r="AH960">
        <v>32</v>
      </c>
      <c r="AI960">
        <v>33</v>
      </c>
      <c r="AJ960">
        <v>2</v>
      </c>
      <c r="AK960">
        <v>34</v>
      </c>
      <c r="AL960" t="s">
        <v>2038</v>
      </c>
      <c r="AM960" t="s">
        <v>1730</v>
      </c>
      <c r="AN960" t="s">
        <v>2039</v>
      </c>
      <c r="AO960" t="s">
        <v>5777</v>
      </c>
      <c r="AP960" t="s">
        <v>5778</v>
      </c>
      <c r="AQ960" t="s">
        <v>74</v>
      </c>
      <c r="AR960" t="s">
        <v>5779</v>
      </c>
      <c r="AS960" t="s">
        <v>5780</v>
      </c>
      <c r="AT960" t="s">
        <v>3499</v>
      </c>
      <c r="AU960">
        <v>2019</v>
      </c>
      <c r="AV960">
        <v>9</v>
      </c>
      <c r="AW960">
        <v>9</v>
      </c>
      <c r="AX960" t="s">
        <v>74</v>
      </c>
      <c r="AY960" t="s">
        <v>74</v>
      </c>
      <c r="AZ960" t="s">
        <v>74</v>
      </c>
      <c r="BA960" t="s">
        <v>74</v>
      </c>
      <c r="BB960">
        <v>672</v>
      </c>
      <c r="BC960" t="s">
        <v>847</v>
      </c>
      <c r="BD960" t="s">
        <v>74</v>
      </c>
      <c r="BE960" t="s">
        <v>18676</v>
      </c>
      <c r="BF960" t="str">
        <f>HYPERLINK("http://dx.doi.org/10.1038/s41558-019-0546-1","http://dx.doi.org/10.1038/s41558-019-0546-1")</f>
        <v>http://dx.doi.org/10.1038/s41558-019-0546-1</v>
      </c>
      <c r="BG960" t="s">
        <v>74</v>
      </c>
      <c r="BH960" t="s">
        <v>74</v>
      </c>
      <c r="BI960">
        <v>8</v>
      </c>
      <c r="BJ960" t="s">
        <v>5782</v>
      </c>
      <c r="BK960" t="s">
        <v>360</v>
      </c>
      <c r="BL960" t="s">
        <v>105</v>
      </c>
      <c r="BM960" t="s">
        <v>18677</v>
      </c>
      <c r="BN960" t="s">
        <v>74</v>
      </c>
      <c r="BO960" t="s">
        <v>74</v>
      </c>
      <c r="BP960" t="s">
        <v>74</v>
      </c>
      <c r="BQ960" t="s">
        <v>74</v>
      </c>
      <c r="BR960" t="s">
        <v>108</v>
      </c>
      <c r="BS960" t="s">
        <v>18678</v>
      </c>
      <c r="BT960" t="str">
        <f>HYPERLINK("https%3A%2F%2Fwww.webofscience.com%2Fwos%2Fwoscc%2Ffull-record%2FWOS:000483551700017","View Full Record in Web of Science")</f>
        <v>View Full Record in Web of Science</v>
      </c>
    </row>
    <row r="961" spans="1:72" x14ac:dyDescent="0.15">
      <c r="A961" t="s">
        <v>133</v>
      </c>
      <c r="B961" t="s">
        <v>18679</v>
      </c>
      <c r="C961" t="s">
        <v>74</v>
      </c>
      <c r="D961" t="s">
        <v>74</v>
      </c>
      <c r="E961" t="s">
        <v>74</v>
      </c>
      <c r="F961" t="s">
        <v>18680</v>
      </c>
      <c r="G961" t="s">
        <v>74</v>
      </c>
      <c r="H961" t="s">
        <v>74</v>
      </c>
      <c r="I961" t="s">
        <v>18681</v>
      </c>
      <c r="J961" t="s">
        <v>5765</v>
      </c>
      <c r="K961" t="s">
        <v>74</v>
      </c>
      <c r="L961" t="s">
        <v>74</v>
      </c>
      <c r="M961" t="s">
        <v>80</v>
      </c>
      <c r="N961" t="s">
        <v>138</v>
      </c>
      <c r="O961" t="s">
        <v>74</v>
      </c>
      <c r="P961" t="s">
        <v>74</v>
      </c>
      <c r="Q961" t="s">
        <v>74</v>
      </c>
      <c r="R961" t="s">
        <v>74</v>
      </c>
      <c r="S961" t="s">
        <v>74</v>
      </c>
      <c r="T961" t="s">
        <v>74</v>
      </c>
      <c r="U961" t="s">
        <v>18682</v>
      </c>
      <c r="V961" t="s">
        <v>18683</v>
      </c>
      <c r="W961" t="s">
        <v>18684</v>
      </c>
      <c r="X961" t="s">
        <v>18685</v>
      </c>
      <c r="Y961" t="s">
        <v>18686</v>
      </c>
      <c r="Z961" t="s">
        <v>18687</v>
      </c>
      <c r="AA961" t="s">
        <v>18688</v>
      </c>
      <c r="AB961" t="s">
        <v>18689</v>
      </c>
      <c r="AC961" t="s">
        <v>18690</v>
      </c>
      <c r="AD961" t="s">
        <v>18691</v>
      </c>
      <c r="AE961" t="s">
        <v>18692</v>
      </c>
      <c r="AF961" t="s">
        <v>74</v>
      </c>
      <c r="AG961">
        <v>58</v>
      </c>
      <c r="AH961">
        <v>59</v>
      </c>
      <c r="AI961">
        <v>63</v>
      </c>
      <c r="AJ961">
        <v>0</v>
      </c>
      <c r="AK961">
        <v>35</v>
      </c>
      <c r="AL961" t="s">
        <v>2038</v>
      </c>
      <c r="AM961" t="s">
        <v>1730</v>
      </c>
      <c r="AN961" t="s">
        <v>2039</v>
      </c>
      <c r="AO961" t="s">
        <v>5777</v>
      </c>
      <c r="AP961" t="s">
        <v>5778</v>
      </c>
      <c r="AQ961" t="s">
        <v>74</v>
      </c>
      <c r="AR961" t="s">
        <v>5779</v>
      </c>
      <c r="AS961" t="s">
        <v>5780</v>
      </c>
      <c r="AT961" t="s">
        <v>3499</v>
      </c>
      <c r="AU961">
        <v>2019</v>
      </c>
      <c r="AV961">
        <v>9</v>
      </c>
      <c r="AW961">
        <v>9</v>
      </c>
      <c r="AX961" t="s">
        <v>74</v>
      </c>
      <c r="AY961" t="s">
        <v>74</v>
      </c>
      <c r="AZ961" t="s">
        <v>74</v>
      </c>
      <c r="BA961" t="s">
        <v>74</v>
      </c>
      <c r="BB961">
        <v>678</v>
      </c>
      <c r="BC961" t="s">
        <v>847</v>
      </c>
      <c r="BD961" t="s">
        <v>74</v>
      </c>
      <c r="BE961" t="s">
        <v>18693</v>
      </c>
      <c r="BF961" t="str">
        <f>HYPERLINK("http://dx.doi.org/10.1038/s41558-019-0552-3","http://dx.doi.org/10.1038/s41558-019-0552-3")</f>
        <v>http://dx.doi.org/10.1038/s41558-019-0552-3</v>
      </c>
      <c r="BG961" t="s">
        <v>74</v>
      </c>
      <c r="BH961" t="s">
        <v>74</v>
      </c>
      <c r="BI961">
        <v>9</v>
      </c>
      <c r="BJ961" t="s">
        <v>5782</v>
      </c>
      <c r="BK961" t="s">
        <v>360</v>
      </c>
      <c r="BL961" t="s">
        <v>105</v>
      </c>
      <c r="BM961" t="s">
        <v>18677</v>
      </c>
      <c r="BN961" t="s">
        <v>74</v>
      </c>
      <c r="BO961" t="s">
        <v>74</v>
      </c>
      <c r="BP961" t="s">
        <v>74</v>
      </c>
      <c r="BQ961" t="s">
        <v>74</v>
      </c>
      <c r="BR961" t="s">
        <v>108</v>
      </c>
      <c r="BS961" t="s">
        <v>18694</v>
      </c>
      <c r="BT961" t="str">
        <f>HYPERLINK("https%3A%2F%2Fwww.webofscience.com%2Fwos%2Fwoscc%2Ffull-record%2FWOS:000483551700018","View Full Record in Web of Science")</f>
        <v>View Full Record in Web of Science</v>
      </c>
    </row>
    <row r="962" spans="1:72" x14ac:dyDescent="0.15">
      <c r="A962" t="s">
        <v>133</v>
      </c>
      <c r="B962" t="s">
        <v>18695</v>
      </c>
      <c r="C962" t="s">
        <v>74</v>
      </c>
      <c r="D962" t="s">
        <v>74</v>
      </c>
      <c r="E962" t="s">
        <v>74</v>
      </c>
      <c r="F962" t="s">
        <v>18696</v>
      </c>
      <c r="G962" t="s">
        <v>74</v>
      </c>
      <c r="H962" t="s">
        <v>74</v>
      </c>
      <c r="I962" t="s">
        <v>18697</v>
      </c>
      <c r="J962" t="s">
        <v>10103</v>
      </c>
      <c r="K962" t="s">
        <v>74</v>
      </c>
      <c r="L962" t="s">
        <v>74</v>
      </c>
      <c r="M962" t="s">
        <v>80</v>
      </c>
      <c r="N962" t="s">
        <v>138</v>
      </c>
      <c r="O962" t="s">
        <v>74</v>
      </c>
      <c r="P962" t="s">
        <v>74</v>
      </c>
      <c r="Q962" t="s">
        <v>74</v>
      </c>
      <c r="R962" t="s">
        <v>74</v>
      </c>
      <c r="S962" t="s">
        <v>74</v>
      </c>
      <c r="T962" t="s">
        <v>74</v>
      </c>
      <c r="U962" t="s">
        <v>18698</v>
      </c>
      <c r="V962" t="s">
        <v>18699</v>
      </c>
      <c r="W962" t="s">
        <v>18700</v>
      </c>
      <c r="X962" t="s">
        <v>18701</v>
      </c>
      <c r="Y962" t="s">
        <v>18702</v>
      </c>
      <c r="Z962" t="s">
        <v>18703</v>
      </c>
      <c r="AA962" t="s">
        <v>18704</v>
      </c>
      <c r="AB962" t="s">
        <v>18705</v>
      </c>
      <c r="AC962" t="s">
        <v>18706</v>
      </c>
      <c r="AD962" t="s">
        <v>18707</v>
      </c>
      <c r="AE962" t="s">
        <v>18708</v>
      </c>
      <c r="AF962" t="s">
        <v>74</v>
      </c>
      <c r="AG962">
        <v>125</v>
      </c>
      <c r="AH962">
        <v>17</v>
      </c>
      <c r="AI962">
        <v>18</v>
      </c>
      <c r="AJ962">
        <v>2</v>
      </c>
      <c r="AK962">
        <v>25</v>
      </c>
      <c r="AL962" t="s">
        <v>379</v>
      </c>
      <c r="AM962" t="s">
        <v>380</v>
      </c>
      <c r="AN962" t="s">
        <v>381</v>
      </c>
      <c r="AO962" t="s">
        <v>10115</v>
      </c>
      <c r="AP962" t="s">
        <v>74</v>
      </c>
      <c r="AQ962" t="s">
        <v>74</v>
      </c>
      <c r="AR962" t="s">
        <v>10116</v>
      </c>
      <c r="AS962" t="s">
        <v>10117</v>
      </c>
      <c r="AT962" t="s">
        <v>3499</v>
      </c>
      <c r="AU962">
        <v>2019</v>
      </c>
      <c r="AV962">
        <v>176</v>
      </c>
      <c r="AW962" t="s">
        <v>74</v>
      </c>
      <c r="AX962" t="s">
        <v>74</v>
      </c>
      <c r="AY962" t="s">
        <v>74</v>
      </c>
      <c r="AZ962" t="s">
        <v>74</v>
      </c>
      <c r="BA962" t="s">
        <v>74</v>
      </c>
      <c r="BB962" t="s">
        <v>74</v>
      </c>
      <c r="BC962" t="s">
        <v>74</v>
      </c>
      <c r="BD962">
        <v>102136</v>
      </c>
      <c r="BE962" t="s">
        <v>18709</v>
      </c>
      <c r="BF962" t="str">
        <f>HYPERLINK("http://dx.doi.org/10.1016/j.pocean.2019.102136","http://dx.doi.org/10.1016/j.pocean.2019.102136")</f>
        <v>http://dx.doi.org/10.1016/j.pocean.2019.102136</v>
      </c>
      <c r="BG962" t="s">
        <v>74</v>
      </c>
      <c r="BH962" t="s">
        <v>74</v>
      </c>
      <c r="BI962">
        <v>24</v>
      </c>
      <c r="BJ962" t="s">
        <v>1945</v>
      </c>
      <c r="BK962" t="s">
        <v>294</v>
      </c>
      <c r="BL962" t="s">
        <v>1945</v>
      </c>
      <c r="BM962" t="s">
        <v>18710</v>
      </c>
      <c r="BN962" t="s">
        <v>74</v>
      </c>
      <c r="BO962" t="s">
        <v>18711</v>
      </c>
      <c r="BP962" t="s">
        <v>74</v>
      </c>
      <c r="BQ962" t="s">
        <v>74</v>
      </c>
      <c r="BR962" t="s">
        <v>108</v>
      </c>
      <c r="BS962" t="s">
        <v>18712</v>
      </c>
      <c r="BT962" t="str">
        <f>HYPERLINK("https%3A%2F%2Fwww.webofscience.com%2Fwos%2Fwoscc%2Ffull-record%2FWOS:000483411800026","View Full Record in Web of Science")</f>
        <v>View Full Record in Web of Science</v>
      </c>
    </row>
    <row r="963" spans="1:72" x14ac:dyDescent="0.15">
      <c r="A963" t="s">
        <v>133</v>
      </c>
      <c r="B963" t="s">
        <v>18713</v>
      </c>
      <c r="C963" t="s">
        <v>74</v>
      </c>
      <c r="D963" t="s">
        <v>74</v>
      </c>
      <c r="E963" t="s">
        <v>74</v>
      </c>
      <c r="F963" t="s">
        <v>18714</v>
      </c>
      <c r="G963" t="s">
        <v>74</v>
      </c>
      <c r="H963" t="s">
        <v>74</v>
      </c>
      <c r="I963" t="s">
        <v>18715</v>
      </c>
      <c r="J963" t="s">
        <v>10103</v>
      </c>
      <c r="K963" t="s">
        <v>74</v>
      </c>
      <c r="L963" t="s">
        <v>74</v>
      </c>
      <c r="M963" t="s">
        <v>80</v>
      </c>
      <c r="N963" t="s">
        <v>138</v>
      </c>
      <c r="O963" t="s">
        <v>74</v>
      </c>
      <c r="P963" t="s">
        <v>74</v>
      </c>
      <c r="Q963" t="s">
        <v>74</v>
      </c>
      <c r="R963" t="s">
        <v>74</v>
      </c>
      <c r="S963" t="s">
        <v>74</v>
      </c>
      <c r="T963" t="s">
        <v>18716</v>
      </c>
      <c r="U963" t="s">
        <v>18717</v>
      </c>
      <c r="V963" t="s">
        <v>18718</v>
      </c>
      <c r="W963" t="s">
        <v>18719</v>
      </c>
      <c r="X963" t="s">
        <v>18720</v>
      </c>
      <c r="Y963" t="s">
        <v>18721</v>
      </c>
      <c r="Z963" t="s">
        <v>18722</v>
      </c>
      <c r="AA963" t="s">
        <v>18723</v>
      </c>
      <c r="AB963" t="s">
        <v>18724</v>
      </c>
      <c r="AC963" t="s">
        <v>18725</v>
      </c>
      <c r="AD963" t="s">
        <v>18726</v>
      </c>
      <c r="AE963" t="s">
        <v>18727</v>
      </c>
      <c r="AF963" t="s">
        <v>74</v>
      </c>
      <c r="AG963">
        <v>33</v>
      </c>
      <c r="AH963">
        <v>5</v>
      </c>
      <c r="AI963">
        <v>5</v>
      </c>
      <c r="AJ963">
        <v>0</v>
      </c>
      <c r="AK963">
        <v>5</v>
      </c>
      <c r="AL963" t="s">
        <v>379</v>
      </c>
      <c r="AM963" t="s">
        <v>380</v>
      </c>
      <c r="AN963" t="s">
        <v>381</v>
      </c>
      <c r="AO963" t="s">
        <v>10115</v>
      </c>
      <c r="AP963" t="s">
        <v>74</v>
      </c>
      <c r="AQ963" t="s">
        <v>74</v>
      </c>
      <c r="AR963" t="s">
        <v>10116</v>
      </c>
      <c r="AS963" t="s">
        <v>10117</v>
      </c>
      <c r="AT963" t="s">
        <v>3499</v>
      </c>
      <c r="AU963">
        <v>2019</v>
      </c>
      <c r="AV963">
        <v>176</v>
      </c>
      <c r="AW963" t="s">
        <v>74</v>
      </c>
      <c r="AX963" t="s">
        <v>74</v>
      </c>
      <c r="AY963" t="s">
        <v>74</v>
      </c>
      <c r="AZ963" t="s">
        <v>74</v>
      </c>
      <c r="BA963" t="s">
        <v>74</v>
      </c>
      <c r="BB963" t="s">
        <v>74</v>
      </c>
      <c r="BC963" t="s">
        <v>74</v>
      </c>
      <c r="BD963">
        <v>102133</v>
      </c>
      <c r="BE963" t="s">
        <v>18728</v>
      </c>
      <c r="BF963" t="str">
        <f>HYPERLINK("http://dx.doi.org/10.1016/j.pocean.2019.102133","http://dx.doi.org/10.1016/j.pocean.2019.102133")</f>
        <v>http://dx.doi.org/10.1016/j.pocean.2019.102133</v>
      </c>
      <c r="BG963" t="s">
        <v>74</v>
      </c>
      <c r="BH963" t="s">
        <v>74</v>
      </c>
      <c r="BI963">
        <v>8</v>
      </c>
      <c r="BJ963" t="s">
        <v>1945</v>
      </c>
      <c r="BK963" t="s">
        <v>294</v>
      </c>
      <c r="BL963" t="s">
        <v>1945</v>
      </c>
      <c r="BM963" t="s">
        <v>18710</v>
      </c>
      <c r="BN963" t="s">
        <v>74</v>
      </c>
      <c r="BO963" t="s">
        <v>74</v>
      </c>
      <c r="BP963" t="s">
        <v>74</v>
      </c>
      <c r="BQ963" t="s">
        <v>74</v>
      </c>
      <c r="BR963" t="s">
        <v>108</v>
      </c>
      <c r="BS963" t="s">
        <v>18729</v>
      </c>
      <c r="BT963" t="str">
        <f>HYPERLINK("https%3A%2F%2Fwww.webofscience.com%2Fwos%2Fwoscc%2Ffull-record%2FWOS:000483411800019","View Full Record in Web of Science")</f>
        <v>View Full Record in Web of Science</v>
      </c>
    </row>
    <row r="964" spans="1:72" x14ac:dyDescent="0.15">
      <c r="A964" t="s">
        <v>133</v>
      </c>
      <c r="B964" t="s">
        <v>18730</v>
      </c>
      <c r="C964" t="s">
        <v>74</v>
      </c>
      <c r="D964" t="s">
        <v>74</v>
      </c>
      <c r="E964" t="s">
        <v>74</v>
      </c>
      <c r="F964" t="s">
        <v>18731</v>
      </c>
      <c r="G964" t="s">
        <v>74</v>
      </c>
      <c r="H964" t="s">
        <v>74</v>
      </c>
      <c r="I964" t="s">
        <v>18732</v>
      </c>
      <c r="J964" t="s">
        <v>10103</v>
      </c>
      <c r="K964" t="s">
        <v>74</v>
      </c>
      <c r="L964" t="s">
        <v>74</v>
      </c>
      <c r="M964" t="s">
        <v>80</v>
      </c>
      <c r="N964" t="s">
        <v>138</v>
      </c>
      <c r="O964" t="s">
        <v>74</v>
      </c>
      <c r="P964" t="s">
        <v>74</v>
      </c>
      <c r="Q964" t="s">
        <v>74</v>
      </c>
      <c r="R964" t="s">
        <v>74</v>
      </c>
      <c r="S964" t="s">
        <v>74</v>
      </c>
      <c r="T964" t="s">
        <v>18733</v>
      </c>
      <c r="U964" t="s">
        <v>18734</v>
      </c>
      <c r="V964" t="s">
        <v>18735</v>
      </c>
      <c r="W964" t="s">
        <v>18736</v>
      </c>
      <c r="X964" t="s">
        <v>2832</v>
      </c>
      <c r="Y964" t="s">
        <v>18737</v>
      </c>
      <c r="Z964" t="s">
        <v>2834</v>
      </c>
      <c r="AA964" t="s">
        <v>18738</v>
      </c>
      <c r="AB964" t="s">
        <v>18739</v>
      </c>
      <c r="AC964" t="s">
        <v>18740</v>
      </c>
      <c r="AD964" t="s">
        <v>18741</v>
      </c>
      <c r="AE964" t="s">
        <v>18742</v>
      </c>
      <c r="AF964" t="s">
        <v>74</v>
      </c>
      <c r="AG964">
        <v>113</v>
      </c>
      <c r="AH964">
        <v>4</v>
      </c>
      <c r="AI964">
        <v>4</v>
      </c>
      <c r="AJ964">
        <v>0</v>
      </c>
      <c r="AK964">
        <v>9</v>
      </c>
      <c r="AL964" t="s">
        <v>379</v>
      </c>
      <c r="AM964" t="s">
        <v>380</v>
      </c>
      <c r="AN964" t="s">
        <v>381</v>
      </c>
      <c r="AO964" t="s">
        <v>10115</v>
      </c>
      <c r="AP964" t="s">
        <v>18743</v>
      </c>
      <c r="AQ964" t="s">
        <v>74</v>
      </c>
      <c r="AR964" t="s">
        <v>10116</v>
      </c>
      <c r="AS964" t="s">
        <v>10117</v>
      </c>
      <c r="AT964" t="s">
        <v>3499</v>
      </c>
      <c r="AU964">
        <v>2019</v>
      </c>
      <c r="AV964">
        <v>176</v>
      </c>
      <c r="AW964" t="s">
        <v>74</v>
      </c>
      <c r="AX964" t="s">
        <v>74</v>
      </c>
      <c r="AY964" t="s">
        <v>74</v>
      </c>
      <c r="AZ964" t="s">
        <v>74</v>
      </c>
      <c r="BA964" t="s">
        <v>74</v>
      </c>
      <c r="BB964" t="s">
        <v>74</v>
      </c>
      <c r="BC964" t="s">
        <v>74</v>
      </c>
      <c r="BD964">
        <v>102128</v>
      </c>
      <c r="BE964" t="s">
        <v>18744</v>
      </c>
      <c r="BF964" t="str">
        <f>HYPERLINK("http://dx.doi.org/10.1016/j.pocean.2019.102128","http://dx.doi.org/10.1016/j.pocean.2019.102128")</f>
        <v>http://dx.doi.org/10.1016/j.pocean.2019.102128</v>
      </c>
      <c r="BG964" t="s">
        <v>74</v>
      </c>
      <c r="BH964" t="s">
        <v>74</v>
      </c>
      <c r="BI964">
        <v>11</v>
      </c>
      <c r="BJ964" t="s">
        <v>1945</v>
      </c>
      <c r="BK964" t="s">
        <v>294</v>
      </c>
      <c r="BL964" t="s">
        <v>1945</v>
      </c>
      <c r="BM964" t="s">
        <v>18710</v>
      </c>
      <c r="BN964" t="s">
        <v>74</v>
      </c>
      <c r="BO964" t="s">
        <v>74</v>
      </c>
      <c r="BP964" t="s">
        <v>74</v>
      </c>
      <c r="BQ964" t="s">
        <v>74</v>
      </c>
      <c r="BR964" t="s">
        <v>108</v>
      </c>
      <c r="BS964" t="s">
        <v>18745</v>
      </c>
      <c r="BT964" t="str">
        <f>HYPERLINK("https%3A%2F%2Fwww.webofscience.com%2Fwos%2Fwoscc%2Ffull-record%2FWOS:000483411800015","View Full Record in Web of Science")</f>
        <v>View Full Record in Web of Science</v>
      </c>
    </row>
    <row r="965" spans="1:72" x14ac:dyDescent="0.15">
      <c r="A965" t="s">
        <v>133</v>
      </c>
      <c r="B965" t="s">
        <v>18746</v>
      </c>
      <c r="C965" t="s">
        <v>74</v>
      </c>
      <c r="D965" t="s">
        <v>74</v>
      </c>
      <c r="E965" t="s">
        <v>74</v>
      </c>
      <c r="F965" t="s">
        <v>18747</v>
      </c>
      <c r="G965" t="s">
        <v>74</v>
      </c>
      <c r="H965" t="s">
        <v>74</v>
      </c>
      <c r="I965" t="s">
        <v>18748</v>
      </c>
      <c r="J965" t="s">
        <v>18749</v>
      </c>
      <c r="K965" t="s">
        <v>74</v>
      </c>
      <c r="L965" t="s">
        <v>74</v>
      </c>
      <c r="M965" t="s">
        <v>80</v>
      </c>
      <c r="N965" t="s">
        <v>138</v>
      </c>
      <c r="O965" t="s">
        <v>74</v>
      </c>
      <c r="P965" t="s">
        <v>74</v>
      </c>
      <c r="Q965" t="s">
        <v>74</v>
      </c>
      <c r="R965" t="s">
        <v>74</v>
      </c>
      <c r="S965" t="s">
        <v>74</v>
      </c>
      <c r="T965" t="s">
        <v>74</v>
      </c>
      <c r="U965" t="s">
        <v>18750</v>
      </c>
      <c r="V965" t="s">
        <v>18751</v>
      </c>
      <c r="W965" t="s">
        <v>18752</v>
      </c>
      <c r="X965" t="s">
        <v>18753</v>
      </c>
      <c r="Y965" t="s">
        <v>18754</v>
      </c>
      <c r="Z965" t="s">
        <v>18755</v>
      </c>
      <c r="AA965" t="s">
        <v>18756</v>
      </c>
      <c r="AB965" t="s">
        <v>74</v>
      </c>
      <c r="AC965" t="s">
        <v>18757</v>
      </c>
      <c r="AD965" t="s">
        <v>18758</v>
      </c>
      <c r="AE965" t="s">
        <v>18759</v>
      </c>
      <c r="AF965" t="s">
        <v>74</v>
      </c>
      <c r="AG965">
        <v>42</v>
      </c>
      <c r="AH965">
        <v>5</v>
      </c>
      <c r="AI965">
        <v>5</v>
      </c>
      <c r="AJ965">
        <v>0</v>
      </c>
      <c r="AK965">
        <v>8</v>
      </c>
      <c r="AL965" t="s">
        <v>18760</v>
      </c>
      <c r="AM965" t="s">
        <v>18761</v>
      </c>
      <c r="AN965" t="s">
        <v>18762</v>
      </c>
      <c r="AO965" t="s">
        <v>18763</v>
      </c>
      <c r="AP965" t="s">
        <v>18764</v>
      </c>
      <c r="AQ965" t="s">
        <v>74</v>
      </c>
      <c r="AR965" t="s">
        <v>18765</v>
      </c>
      <c r="AS965" t="s">
        <v>18766</v>
      </c>
      <c r="AT965" t="s">
        <v>3499</v>
      </c>
      <c r="AU965">
        <v>2019</v>
      </c>
      <c r="AV965">
        <v>76</v>
      </c>
      <c r="AW965">
        <v>9</v>
      </c>
      <c r="AX965" t="s">
        <v>74</v>
      </c>
      <c r="AY965" t="s">
        <v>74</v>
      </c>
      <c r="AZ965" t="s">
        <v>74</v>
      </c>
      <c r="BA965" t="s">
        <v>74</v>
      </c>
      <c r="BB965">
        <v>1471</v>
      </c>
      <c r="BC965">
        <v>1479</v>
      </c>
      <c r="BD965" t="s">
        <v>74</v>
      </c>
      <c r="BE965" t="s">
        <v>18767</v>
      </c>
      <c r="BF965" t="str">
        <f>HYPERLINK("http://dx.doi.org/10.1139/cjfas-2018-0090","http://dx.doi.org/10.1139/cjfas-2018-0090")</f>
        <v>http://dx.doi.org/10.1139/cjfas-2018-0090</v>
      </c>
      <c r="BG965" t="s">
        <v>74</v>
      </c>
      <c r="BH965" t="s">
        <v>74</v>
      </c>
      <c r="BI965">
        <v>9</v>
      </c>
      <c r="BJ965" t="s">
        <v>3008</v>
      </c>
      <c r="BK965" t="s">
        <v>294</v>
      </c>
      <c r="BL965" t="s">
        <v>3008</v>
      </c>
      <c r="BM965" t="s">
        <v>18768</v>
      </c>
      <c r="BN965" t="s">
        <v>74</v>
      </c>
      <c r="BO965" t="s">
        <v>74</v>
      </c>
      <c r="BP965" t="s">
        <v>74</v>
      </c>
      <c r="BQ965" t="s">
        <v>74</v>
      </c>
      <c r="BR965" t="s">
        <v>108</v>
      </c>
      <c r="BS965" t="s">
        <v>18769</v>
      </c>
      <c r="BT965" t="str">
        <f>HYPERLINK("https%3A%2F%2Fwww.webofscience.com%2Fwos%2Fwoscc%2Ffull-record%2FWOS:000482618200001","View Full Record in Web of Science")</f>
        <v>View Full Record in Web of Science</v>
      </c>
    </row>
    <row r="966" spans="1:72" x14ac:dyDescent="0.15">
      <c r="A966" t="s">
        <v>133</v>
      </c>
      <c r="B966" t="s">
        <v>18770</v>
      </c>
      <c r="C966" t="s">
        <v>74</v>
      </c>
      <c r="D966" t="s">
        <v>74</v>
      </c>
      <c r="E966" t="s">
        <v>74</v>
      </c>
      <c r="F966" t="s">
        <v>18771</v>
      </c>
      <c r="G966" t="s">
        <v>74</v>
      </c>
      <c r="H966" t="s">
        <v>74</v>
      </c>
      <c r="I966" t="s">
        <v>18772</v>
      </c>
      <c r="J966" t="s">
        <v>18773</v>
      </c>
      <c r="K966" t="s">
        <v>74</v>
      </c>
      <c r="L966" t="s">
        <v>74</v>
      </c>
      <c r="M966" t="s">
        <v>80</v>
      </c>
      <c r="N966" t="s">
        <v>138</v>
      </c>
      <c r="O966" t="s">
        <v>74</v>
      </c>
      <c r="P966" t="s">
        <v>74</v>
      </c>
      <c r="Q966" t="s">
        <v>74</v>
      </c>
      <c r="R966" t="s">
        <v>74</v>
      </c>
      <c r="S966" t="s">
        <v>74</v>
      </c>
      <c r="T966" t="s">
        <v>18774</v>
      </c>
      <c r="U966" t="s">
        <v>18775</v>
      </c>
      <c r="V966" t="s">
        <v>18776</v>
      </c>
      <c r="W966" t="s">
        <v>18777</v>
      </c>
      <c r="X966" t="s">
        <v>18778</v>
      </c>
      <c r="Y966" t="s">
        <v>18779</v>
      </c>
      <c r="Z966" t="s">
        <v>18780</v>
      </c>
      <c r="AA966" t="s">
        <v>18781</v>
      </c>
      <c r="AB966" t="s">
        <v>18782</v>
      </c>
      <c r="AC966" t="s">
        <v>18783</v>
      </c>
      <c r="AD966" t="s">
        <v>18784</v>
      </c>
      <c r="AE966" t="s">
        <v>18785</v>
      </c>
      <c r="AF966" t="s">
        <v>74</v>
      </c>
      <c r="AG966">
        <v>45</v>
      </c>
      <c r="AH966">
        <v>19</v>
      </c>
      <c r="AI966">
        <v>19</v>
      </c>
      <c r="AJ966">
        <v>1</v>
      </c>
      <c r="AK966">
        <v>33</v>
      </c>
      <c r="AL966" t="s">
        <v>5898</v>
      </c>
      <c r="AM966" t="s">
        <v>1965</v>
      </c>
      <c r="AN966" t="s">
        <v>5899</v>
      </c>
      <c r="AO966" t="s">
        <v>18786</v>
      </c>
      <c r="AP966" t="s">
        <v>18787</v>
      </c>
      <c r="AQ966" t="s">
        <v>74</v>
      </c>
      <c r="AR966" t="s">
        <v>18788</v>
      </c>
      <c r="AS966" t="s">
        <v>18789</v>
      </c>
      <c r="AT966" t="s">
        <v>3499</v>
      </c>
      <c r="AU966">
        <v>2019</v>
      </c>
      <c r="AV966">
        <v>235</v>
      </c>
      <c r="AW966" t="s">
        <v>74</v>
      </c>
      <c r="AX966" t="s">
        <v>74</v>
      </c>
      <c r="AY966" t="s">
        <v>74</v>
      </c>
      <c r="AZ966" t="s">
        <v>74</v>
      </c>
      <c r="BA966" t="s">
        <v>74</v>
      </c>
      <c r="BB966">
        <v>131</v>
      </c>
      <c r="BC966">
        <v>137</v>
      </c>
      <c r="BD966" t="s">
        <v>74</v>
      </c>
      <c r="BE966" t="s">
        <v>18790</v>
      </c>
      <c r="BF966" t="str">
        <f>HYPERLINK("http://dx.doi.org/10.1016/j.cbpa.2019.05.029","http://dx.doi.org/10.1016/j.cbpa.2019.05.029")</f>
        <v>http://dx.doi.org/10.1016/j.cbpa.2019.05.029</v>
      </c>
      <c r="BG966" t="s">
        <v>74</v>
      </c>
      <c r="BH966" t="s">
        <v>74</v>
      </c>
      <c r="BI966">
        <v>7</v>
      </c>
      <c r="BJ966" t="s">
        <v>18791</v>
      </c>
      <c r="BK966" t="s">
        <v>294</v>
      </c>
      <c r="BL966" t="s">
        <v>18791</v>
      </c>
      <c r="BM966" t="s">
        <v>18792</v>
      </c>
      <c r="BN966">
        <v>31170463</v>
      </c>
      <c r="BO966" t="s">
        <v>74</v>
      </c>
      <c r="BP966" t="s">
        <v>74</v>
      </c>
      <c r="BQ966" t="s">
        <v>74</v>
      </c>
      <c r="BR966" t="s">
        <v>108</v>
      </c>
      <c r="BS966" t="s">
        <v>18793</v>
      </c>
      <c r="BT966" t="str">
        <f>HYPERLINK("https%3A%2F%2Fwww.webofscience.com%2Fwos%2Fwoscc%2Ffull-record%2FWOS:000481561100013","View Full Record in Web of Science")</f>
        <v>View Full Record in Web of Science</v>
      </c>
    </row>
    <row r="967" spans="1:72" x14ac:dyDescent="0.15">
      <c r="A967" t="s">
        <v>133</v>
      </c>
      <c r="B967" t="s">
        <v>18794</v>
      </c>
      <c r="C967" t="s">
        <v>74</v>
      </c>
      <c r="D967" t="s">
        <v>74</v>
      </c>
      <c r="E967" t="s">
        <v>74</v>
      </c>
      <c r="F967" t="s">
        <v>18795</v>
      </c>
      <c r="G967" t="s">
        <v>74</v>
      </c>
      <c r="H967" t="s">
        <v>74</v>
      </c>
      <c r="I967" t="s">
        <v>18796</v>
      </c>
      <c r="J967" t="s">
        <v>18797</v>
      </c>
      <c r="K967" t="s">
        <v>74</v>
      </c>
      <c r="L967" t="s">
        <v>74</v>
      </c>
      <c r="M967" t="s">
        <v>80</v>
      </c>
      <c r="N967" t="s">
        <v>930</v>
      </c>
      <c r="O967" t="s">
        <v>74</v>
      </c>
      <c r="P967" t="s">
        <v>74</v>
      </c>
      <c r="Q967" t="s">
        <v>74</v>
      </c>
      <c r="R967" t="s">
        <v>74</v>
      </c>
      <c r="S967" t="s">
        <v>74</v>
      </c>
      <c r="T967" t="s">
        <v>18798</v>
      </c>
      <c r="U967" t="s">
        <v>18799</v>
      </c>
      <c r="V967" t="s">
        <v>18800</v>
      </c>
      <c r="W967" t="s">
        <v>18801</v>
      </c>
      <c r="X967" t="s">
        <v>12989</v>
      </c>
      <c r="Y967" t="s">
        <v>18802</v>
      </c>
      <c r="Z967" t="s">
        <v>18803</v>
      </c>
      <c r="AA967" t="s">
        <v>18804</v>
      </c>
      <c r="AB967" t="s">
        <v>18805</v>
      </c>
      <c r="AC967" t="s">
        <v>18806</v>
      </c>
      <c r="AD967" t="s">
        <v>18807</v>
      </c>
      <c r="AE967" t="s">
        <v>18808</v>
      </c>
      <c r="AF967" t="s">
        <v>74</v>
      </c>
      <c r="AG967">
        <v>84</v>
      </c>
      <c r="AH967">
        <v>6</v>
      </c>
      <c r="AI967">
        <v>6</v>
      </c>
      <c r="AJ967">
        <v>0</v>
      </c>
      <c r="AK967">
        <v>5</v>
      </c>
      <c r="AL967" t="s">
        <v>1964</v>
      </c>
      <c r="AM967" t="s">
        <v>1965</v>
      </c>
      <c r="AN967" t="s">
        <v>3452</v>
      </c>
      <c r="AO967" t="s">
        <v>18809</v>
      </c>
      <c r="AP967" t="s">
        <v>18810</v>
      </c>
      <c r="AQ967" t="s">
        <v>74</v>
      </c>
      <c r="AR967" t="s">
        <v>18811</v>
      </c>
      <c r="AS967" t="s">
        <v>18812</v>
      </c>
      <c r="AT967" t="s">
        <v>3499</v>
      </c>
      <c r="AU967">
        <v>2019</v>
      </c>
      <c r="AV967">
        <v>23</v>
      </c>
      <c r="AW967">
        <v>3</v>
      </c>
      <c r="AX967" t="s">
        <v>74</v>
      </c>
      <c r="AY967" t="s">
        <v>74</v>
      </c>
      <c r="AZ967" t="s">
        <v>74</v>
      </c>
      <c r="BA967" t="s">
        <v>74</v>
      </c>
      <c r="BB967">
        <v>755</v>
      </c>
      <c r="BC967">
        <v>771</v>
      </c>
      <c r="BD967" t="s">
        <v>74</v>
      </c>
      <c r="BE967" t="s">
        <v>18813</v>
      </c>
      <c r="BF967" t="str">
        <f>HYPERLINK("http://dx.doi.org/10.1007/s10761-019-00499-7","http://dx.doi.org/10.1007/s10761-019-00499-7")</f>
        <v>http://dx.doi.org/10.1007/s10761-019-00499-7</v>
      </c>
      <c r="BG967" t="s">
        <v>74</v>
      </c>
      <c r="BH967" t="s">
        <v>74</v>
      </c>
      <c r="BI967">
        <v>17</v>
      </c>
      <c r="BJ967" t="s">
        <v>18814</v>
      </c>
      <c r="BK967" t="s">
        <v>16447</v>
      </c>
      <c r="BL967" t="s">
        <v>18814</v>
      </c>
      <c r="BM967" t="s">
        <v>18815</v>
      </c>
      <c r="BN967" t="s">
        <v>74</v>
      </c>
      <c r="BO967" t="s">
        <v>74</v>
      </c>
      <c r="BP967" t="s">
        <v>74</v>
      </c>
      <c r="BQ967" t="s">
        <v>74</v>
      </c>
      <c r="BR967" t="s">
        <v>108</v>
      </c>
      <c r="BS967" t="s">
        <v>18816</v>
      </c>
      <c r="BT967" t="str">
        <f>HYPERLINK("https%3A%2F%2Fwww.webofscience.com%2Fwos%2Fwoscc%2Ffull-record%2FWOS:000480584000010","View Full Record in Web of Science")</f>
        <v>View Full Record in Web of Science</v>
      </c>
    </row>
    <row r="968" spans="1:72" x14ac:dyDescent="0.15">
      <c r="A968" t="s">
        <v>133</v>
      </c>
      <c r="B968" t="s">
        <v>18817</v>
      </c>
      <c r="C968" t="s">
        <v>74</v>
      </c>
      <c r="D968" t="s">
        <v>74</v>
      </c>
      <c r="E968" t="s">
        <v>74</v>
      </c>
      <c r="F968" t="s">
        <v>18818</v>
      </c>
      <c r="G968" t="s">
        <v>74</v>
      </c>
      <c r="H968" t="s">
        <v>74</v>
      </c>
      <c r="I968" t="s">
        <v>18819</v>
      </c>
      <c r="J968" t="s">
        <v>1003</v>
      </c>
      <c r="K968" t="s">
        <v>74</v>
      </c>
      <c r="L968" t="s">
        <v>74</v>
      </c>
      <c r="M968" t="s">
        <v>80</v>
      </c>
      <c r="N968" t="s">
        <v>138</v>
      </c>
      <c r="O968" t="s">
        <v>74</v>
      </c>
      <c r="P968" t="s">
        <v>74</v>
      </c>
      <c r="Q968" t="s">
        <v>74</v>
      </c>
      <c r="R968" t="s">
        <v>74</v>
      </c>
      <c r="S968" t="s">
        <v>74</v>
      </c>
      <c r="T968" t="s">
        <v>18820</v>
      </c>
      <c r="U968" t="s">
        <v>18821</v>
      </c>
      <c r="V968" t="s">
        <v>18822</v>
      </c>
      <c r="W968" t="s">
        <v>18823</v>
      </c>
      <c r="X968" t="s">
        <v>18824</v>
      </c>
      <c r="Y968" t="s">
        <v>18825</v>
      </c>
      <c r="Z968" t="s">
        <v>18826</v>
      </c>
      <c r="AA968" t="s">
        <v>74</v>
      </c>
      <c r="AB968" t="s">
        <v>74</v>
      </c>
      <c r="AC968" t="s">
        <v>18827</v>
      </c>
      <c r="AD968" t="s">
        <v>18828</v>
      </c>
      <c r="AE968" t="s">
        <v>18829</v>
      </c>
      <c r="AF968" t="s">
        <v>74</v>
      </c>
      <c r="AG968">
        <v>58</v>
      </c>
      <c r="AH968">
        <v>7</v>
      </c>
      <c r="AI968">
        <v>7</v>
      </c>
      <c r="AJ968">
        <v>0</v>
      </c>
      <c r="AK968">
        <v>9</v>
      </c>
      <c r="AL968" t="s">
        <v>1016</v>
      </c>
      <c r="AM968" t="s">
        <v>1017</v>
      </c>
      <c r="AN968" t="s">
        <v>4703</v>
      </c>
      <c r="AO968" t="s">
        <v>1019</v>
      </c>
      <c r="AP968" t="s">
        <v>1020</v>
      </c>
      <c r="AQ968" t="s">
        <v>74</v>
      </c>
      <c r="AR968" t="s">
        <v>1021</v>
      </c>
      <c r="AS968" t="s">
        <v>1022</v>
      </c>
      <c r="AT968" t="s">
        <v>3499</v>
      </c>
      <c r="AU968">
        <v>2019</v>
      </c>
      <c r="AV968">
        <v>32</v>
      </c>
      <c r="AW968">
        <v>18</v>
      </c>
      <c r="AX968" t="s">
        <v>74</v>
      </c>
      <c r="AY968" t="s">
        <v>74</v>
      </c>
      <c r="AZ968" t="s">
        <v>74</v>
      </c>
      <c r="BA968" t="s">
        <v>74</v>
      </c>
      <c r="BB968">
        <v>5997</v>
      </c>
      <c r="BC968">
        <v>6014</v>
      </c>
      <c r="BD968" t="s">
        <v>74</v>
      </c>
      <c r="BE968" t="s">
        <v>18830</v>
      </c>
      <c r="BF968" t="str">
        <f>HYPERLINK("http://dx.doi.org/10.1175/JCLI-D-19-0088.1","http://dx.doi.org/10.1175/JCLI-D-19-0088.1")</f>
        <v>http://dx.doi.org/10.1175/JCLI-D-19-0088.1</v>
      </c>
      <c r="BG968" t="s">
        <v>74</v>
      </c>
      <c r="BH968" t="s">
        <v>74</v>
      </c>
      <c r="BI968">
        <v>18</v>
      </c>
      <c r="BJ968" t="s">
        <v>1024</v>
      </c>
      <c r="BK968" t="s">
        <v>294</v>
      </c>
      <c r="BL968" t="s">
        <v>1024</v>
      </c>
      <c r="BM968" t="s">
        <v>18831</v>
      </c>
      <c r="BN968" t="s">
        <v>74</v>
      </c>
      <c r="BO968" t="s">
        <v>588</v>
      </c>
      <c r="BP968" t="s">
        <v>74</v>
      </c>
      <c r="BQ968" t="s">
        <v>74</v>
      </c>
      <c r="BR968" t="s">
        <v>108</v>
      </c>
      <c r="BS968" t="s">
        <v>18832</v>
      </c>
      <c r="BT968" t="str">
        <f>HYPERLINK("https%3A%2F%2Fwww.webofscience.com%2Fwos%2Fwoscc%2Ffull-record%2FWOS:000481822600002","View Full Record in Web of Science")</f>
        <v>View Full Record in Web of Science</v>
      </c>
    </row>
    <row r="969" spans="1:72" x14ac:dyDescent="0.15">
      <c r="A969" t="s">
        <v>133</v>
      </c>
      <c r="B969" t="s">
        <v>18833</v>
      </c>
      <c r="C969" t="s">
        <v>74</v>
      </c>
      <c r="D969" t="s">
        <v>74</v>
      </c>
      <c r="E969" t="s">
        <v>74</v>
      </c>
      <c r="F969" t="s">
        <v>18834</v>
      </c>
      <c r="G969" t="s">
        <v>74</v>
      </c>
      <c r="H969" t="s">
        <v>74</v>
      </c>
      <c r="I969" t="s">
        <v>18835</v>
      </c>
      <c r="J969" t="s">
        <v>1003</v>
      </c>
      <c r="K969" t="s">
        <v>74</v>
      </c>
      <c r="L969" t="s">
        <v>74</v>
      </c>
      <c r="M969" t="s">
        <v>80</v>
      </c>
      <c r="N969" t="s">
        <v>138</v>
      </c>
      <c r="O969" t="s">
        <v>74</v>
      </c>
      <c r="P969" t="s">
        <v>74</v>
      </c>
      <c r="Q969" t="s">
        <v>74</v>
      </c>
      <c r="R969" t="s">
        <v>74</v>
      </c>
      <c r="S969" t="s">
        <v>74</v>
      </c>
      <c r="T969" t="s">
        <v>18836</v>
      </c>
      <c r="U969" t="s">
        <v>18837</v>
      </c>
      <c r="V969" t="s">
        <v>18838</v>
      </c>
      <c r="W969" t="s">
        <v>18839</v>
      </c>
      <c r="X969" t="s">
        <v>18840</v>
      </c>
      <c r="Y969" t="s">
        <v>18841</v>
      </c>
      <c r="Z969" t="s">
        <v>18842</v>
      </c>
      <c r="AA969" t="s">
        <v>18843</v>
      </c>
      <c r="AB969" t="s">
        <v>18844</v>
      </c>
      <c r="AC969" t="s">
        <v>18845</v>
      </c>
      <c r="AD969" t="s">
        <v>18846</v>
      </c>
      <c r="AE969" t="s">
        <v>18847</v>
      </c>
      <c r="AF969" t="s">
        <v>74</v>
      </c>
      <c r="AG969">
        <v>73</v>
      </c>
      <c r="AH969">
        <v>16</v>
      </c>
      <c r="AI969">
        <v>17</v>
      </c>
      <c r="AJ969">
        <v>3</v>
      </c>
      <c r="AK969">
        <v>33</v>
      </c>
      <c r="AL969" t="s">
        <v>1016</v>
      </c>
      <c r="AM969" t="s">
        <v>1017</v>
      </c>
      <c r="AN969" t="s">
        <v>4703</v>
      </c>
      <c r="AO969" t="s">
        <v>1019</v>
      </c>
      <c r="AP969" t="s">
        <v>1020</v>
      </c>
      <c r="AQ969" t="s">
        <v>74</v>
      </c>
      <c r="AR969" t="s">
        <v>1021</v>
      </c>
      <c r="AS969" t="s">
        <v>1022</v>
      </c>
      <c r="AT969" t="s">
        <v>3499</v>
      </c>
      <c r="AU969">
        <v>2019</v>
      </c>
      <c r="AV969">
        <v>32</v>
      </c>
      <c r="AW969">
        <v>18</v>
      </c>
      <c r="AX969" t="s">
        <v>74</v>
      </c>
      <c r="AY969" t="s">
        <v>74</v>
      </c>
      <c r="AZ969" t="s">
        <v>74</v>
      </c>
      <c r="BA969" t="s">
        <v>74</v>
      </c>
      <c r="BB969">
        <v>6051</v>
      </c>
      <c r="BC969">
        <v>6069</v>
      </c>
      <c r="BD969" t="s">
        <v>74</v>
      </c>
      <c r="BE969" t="s">
        <v>18848</v>
      </c>
      <c r="BF969" t="str">
        <f>HYPERLINK("http://dx.doi.org/10.1175/JCLI-D-18-0249.1","http://dx.doi.org/10.1175/JCLI-D-18-0249.1")</f>
        <v>http://dx.doi.org/10.1175/JCLI-D-18-0249.1</v>
      </c>
      <c r="BG969" t="s">
        <v>74</v>
      </c>
      <c r="BH969" t="s">
        <v>74</v>
      </c>
      <c r="BI969">
        <v>19</v>
      </c>
      <c r="BJ969" t="s">
        <v>1024</v>
      </c>
      <c r="BK969" t="s">
        <v>294</v>
      </c>
      <c r="BL969" t="s">
        <v>1024</v>
      </c>
      <c r="BM969" t="s">
        <v>18831</v>
      </c>
      <c r="BN969" t="s">
        <v>74</v>
      </c>
      <c r="BO969" t="s">
        <v>4828</v>
      </c>
      <c r="BP969" t="s">
        <v>74</v>
      </c>
      <c r="BQ969" t="s">
        <v>74</v>
      </c>
      <c r="BR969" t="s">
        <v>108</v>
      </c>
      <c r="BS969" t="s">
        <v>18849</v>
      </c>
      <c r="BT969" t="str">
        <f>HYPERLINK("https%3A%2F%2Fwww.webofscience.com%2Fwos%2Fwoscc%2Ffull-record%2FWOS:000481822600005","View Full Record in Web of Science")</f>
        <v>View Full Record in Web of Science</v>
      </c>
    </row>
    <row r="970" spans="1:72" x14ac:dyDescent="0.15">
      <c r="A970" t="s">
        <v>133</v>
      </c>
      <c r="B970" t="s">
        <v>18850</v>
      </c>
      <c r="C970" t="s">
        <v>74</v>
      </c>
      <c r="D970" t="s">
        <v>74</v>
      </c>
      <c r="E970" t="s">
        <v>74</v>
      </c>
      <c r="F970" t="s">
        <v>18851</v>
      </c>
      <c r="G970" t="s">
        <v>74</v>
      </c>
      <c r="H970" t="s">
        <v>74</v>
      </c>
      <c r="I970" t="s">
        <v>18852</v>
      </c>
      <c r="J970" t="s">
        <v>1003</v>
      </c>
      <c r="K970" t="s">
        <v>74</v>
      </c>
      <c r="L970" t="s">
        <v>74</v>
      </c>
      <c r="M970" t="s">
        <v>80</v>
      </c>
      <c r="N970" t="s">
        <v>138</v>
      </c>
      <c r="O970" t="s">
        <v>74</v>
      </c>
      <c r="P970" t="s">
        <v>74</v>
      </c>
      <c r="Q970" t="s">
        <v>74</v>
      </c>
      <c r="R970" t="s">
        <v>74</v>
      </c>
      <c r="S970" t="s">
        <v>74</v>
      </c>
      <c r="T970" t="s">
        <v>18853</v>
      </c>
      <c r="U970" t="s">
        <v>18854</v>
      </c>
      <c r="V970" t="s">
        <v>18855</v>
      </c>
      <c r="W970" t="s">
        <v>18856</v>
      </c>
      <c r="X970" t="s">
        <v>18857</v>
      </c>
      <c r="Y970" t="s">
        <v>18858</v>
      </c>
      <c r="Z970" t="s">
        <v>18859</v>
      </c>
      <c r="AA970" t="s">
        <v>15524</v>
      </c>
      <c r="AB970" t="s">
        <v>18860</v>
      </c>
      <c r="AC970" t="s">
        <v>18861</v>
      </c>
      <c r="AD970" t="s">
        <v>18862</v>
      </c>
      <c r="AE970" t="s">
        <v>18863</v>
      </c>
      <c r="AF970" t="s">
        <v>74</v>
      </c>
      <c r="AG970">
        <v>71</v>
      </c>
      <c r="AH970">
        <v>6</v>
      </c>
      <c r="AI970">
        <v>7</v>
      </c>
      <c r="AJ970">
        <v>1</v>
      </c>
      <c r="AK970">
        <v>11</v>
      </c>
      <c r="AL970" t="s">
        <v>1016</v>
      </c>
      <c r="AM970" t="s">
        <v>1017</v>
      </c>
      <c r="AN970" t="s">
        <v>1018</v>
      </c>
      <c r="AO970" t="s">
        <v>1019</v>
      </c>
      <c r="AP970" t="s">
        <v>1020</v>
      </c>
      <c r="AQ970" t="s">
        <v>74</v>
      </c>
      <c r="AR970" t="s">
        <v>1021</v>
      </c>
      <c r="AS970" t="s">
        <v>1022</v>
      </c>
      <c r="AT970" t="s">
        <v>3499</v>
      </c>
      <c r="AU970">
        <v>2019</v>
      </c>
      <c r="AV970">
        <v>32</v>
      </c>
      <c r="AW970">
        <v>18</v>
      </c>
      <c r="AX970" t="s">
        <v>74</v>
      </c>
      <c r="AY970" t="s">
        <v>74</v>
      </c>
      <c r="AZ970" t="s">
        <v>74</v>
      </c>
      <c r="BA970" t="s">
        <v>74</v>
      </c>
      <c r="BB970">
        <v>6177</v>
      </c>
      <c r="BC970">
        <v>6195</v>
      </c>
      <c r="BD970" t="s">
        <v>74</v>
      </c>
      <c r="BE970" t="s">
        <v>18864</v>
      </c>
      <c r="BF970" t="str">
        <f>HYPERLINK("http://dx.doi.org/10.1175/JCLI-D-19-0159.1","http://dx.doi.org/10.1175/JCLI-D-19-0159.1")</f>
        <v>http://dx.doi.org/10.1175/JCLI-D-19-0159.1</v>
      </c>
      <c r="BG970" t="s">
        <v>74</v>
      </c>
      <c r="BH970" t="s">
        <v>74</v>
      </c>
      <c r="BI970">
        <v>19</v>
      </c>
      <c r="BJ970" t="s">
        <v>1024</v>
      </c>
      <c r="BK970" t="s">
        <v>294</v>
      </c>
      <c r="BL970" t="s">
        <v>1024</v>
      </c>
      <c r="BM970" t="s">
        <v>18865</v>
      </c>
      <c r="BN970" t="s">
        <v>74</v>
      </c>
      <c r="BO970" t="s">
        <v>588</v>
      </c>
      <c r="BP970" t="s">
        <v>74</v>
      </c>
      <c r="BQ970" t="s">
        <v>74</v>
      </c>
      <c r="BR970" t="s">
        <v>108</v>
      </c>
      <c r="BS970" t="s">
        <v>18866</v>
      </c>
      <c r="BT970" t="str">
        <f>HYPERLINK("https%3A%2F%2Fwww.webofscience.com%2Fwos%2Fwoscc%2Ffull-record%2FWOS:000482381300001","View Full Record in Web of Science")</f>
        <v>View Full Record in Web of Science</v>
      </c>
    </row>
    <row r="971" spans="1:72" x14ac:dyDescent="0.15">
      <c r="A971" t="s">
        <v>133</v>
      </c>
      <c r="B971" t="s">
        <v>18867</v>
      </c>
      <c r="C971" t="s">
        <v>74</v>
      </c>
      <c r="D971" t="s">
        <v>74</v>
      </c>
      <c r="E971" t="s">
        <v>74</v>
      </c>
      <c r="F971" t="s">
        <v>18868</v>
      </c>
      <c r="G971" t="s">
        <v>74</v>
      </c>
      <c r="H971" t="s">
        <v>74</v>
      </c>
      <c r="I971" t="s">
        <v>18869</v>
      </c>
      <c r="J971" t="s">
        <v>5007</v>
      </c>
      <c r="K971" t="s">
        <v>74</v>
      </c>
      <c r="L971" t="s">
        <v>74</v>
      </c>
      <c r="M971" t="s">
        <v>80</v>
      </c>
      <c r="N971" t="s">
        <v>138</v>
      </c>
      <c r="O971" t="s">
        <v>74</v>
      </c>
      <c r="P971" t="s">
        <v>74</v>
      </c>
      <c r="Q971" t="s">
        <v>74</v>
      </c>
      <c r="R971" t="s">
        <v>74</v>
      </c>
      <c r="S971" t="s">
        <v>74</v>
      </c>
      <c r="T971" t="s">
        <v>18870</v>
      </c>
      <c r="U971" t="s">
        <v>18871</v>
      </c>
      <c r="V971" t="s">
        <v>18872</v>
      </c>
      <c r="W971" t="s">
        <v>18873</v>
      </c>
      <c r="X971" t="s">
        <v>18874</v>
      </c>
      <c r="Y971" t="s">
        <v>18875</v>
      </c>
      <c r="Z971" t="s">
        <v>18876</v>
      </c>
      <c r="AA971" t="s">
        <v>18877</v>
      </c>
      <c r="AB971" t="s">
        <v>18878</v>
      </c>
      <c r="AC971" t="s">
        <v>18879</v>
      </c>
      <c r="AD971" t="s">
        <v>18880</v>
      </c>
      <c r="AE971" t="s">
        <v>18881</v>
      </c>
      <c r="AF971" t="s">
        <v>74</v>
      </c>
      <c r="AG971">
        <v>167</v>
      </c>
      <c r="AH971">
        <v>18</v>
      </c>
      <c r="AI971">
        <v>19</v>
      </c>
      <c r="AJ971">
        <v>0</v>
      </c>
      <c r="AK971">
        <v>13</v>
      </c>
      <c r="AL971" t="s">
        <v>284</v>
      </c>
      <c r="AM971" t="s">
        <v>285</v>
      </c>
      <c r="AN971" t="s">
        <v>286</v>
      </c>
      <c r="AO971" t="s">
        <v>5018</v>
      </c>
      <c r="AP971" t="s">
        <v>5019</v>
      </c>
      <c r="AQ971" t="s">
        <v>74</v>
      </c>
      <c r="AR971" t="s">
        <v>5020</v>
      </c>
      <c r="AS971" t="s">
        <v>5021</v>
      </c>
      <c r="AT971" t="s">
        <v>3499</v>
      </c>
      <c r="AU971">
        <v>2019</v>
      </c>
      <c r="AV971">
        <v>415</v>
      </c>
      <c r="AW971" t="s">
        <v>74</v>
      </c>
      <c r="AX971" t="s">
        <v>74</v>
      </c>
      <c r="AY971" t="s">
        <v>74</v>
      </c>
      <c r="AZ971" t="s">
        <v>74</v>
      </c>
      <c r="BA971" t="s">
        <v>74</v>
      </c>
      <c r="BB971" t="s">
        <v>74</v>
      </c>
      <c r="BC971" t="s">
        <v>74</v>
      </c>
      <c r="BD971">
        <v>105951</v>
      </c>
      <c r="BE971" t="s">
        <v>18882</v>
      </c>
      <c r="BF971" t="str">
        <f>HYPERLINK("http://dx.doi.org/10.1016/j.margeo.2019.05.010","http://dx.doi.org/10.1016/j.margeo.2019.05.010")</f>
        <v>http://dx.doi.org/10.1016/j.margeo.2019.05.010</v>
      </c>
      <c r="BG971" t="s">
        <v>74</v>
      </c>
      <c r="BH971" t="s">
        <v>74</v>
      </c>
      <c r="BI971">
        <v>21</v>
      </c>
      <c r="BJ971" t="s">
        <v>5023</v>
      </c>
      <c r="BK971" t="s">
        <v>294</v>
      </c>
      <c r="BL971" t="s">
        <v>5024</v>
      </c>
      <c r="BM971" t="s">
        <v>18883</v>
      </c>
      <c r="BN971" t="s">
        <v>74</v>
      </c>
      <c r="BO971" t="s">
        <v>638</v>
      </c>
      <c r="BP971" t="s">
        <v>74</v>
      </c>
      <c r="BQ971" t="s">
        <v>74</v>
      </c>
      <c r="BR971" t="s">
        <v>108</v>
      </c>
      <c r="BS971" t="s">
        <v>18884</v>
      </c>
      <c r="BT971" t="str">
        <f>HYPERLINK("https%3A%2F%2Fwww.webofscience.com%2Fwos%2Fwoscc%2Ffull-record%2FWOS:000481723500001","View Full Record in Web of Science")</f>
        <v>View Full Record in Web of Science</v>
      </c>
    </row>
    <row r="972" spans="1:72" x14ac:dyDescent="0.15">
      <c r="A972" t="s">
        <v>133</v>
      </c>
      <c r="B972" t="s">
        <v>18885</v>
      </c>
      <c r="C972" t="s">
        <v>74</v>
      </c>
      <c r="D972" t="s">
        <v>74</v>
      </c>
      <c r="E972" t="s">
        <v>74</v>
      </c>
      <c r="F972" t="s">
        <v>18886</v>
      </c>
      <c r="G972" t="s">
        <v>74</v>
      </c>
      <c r="H972" t="s">
        <v>74</v>
      </c>
      <c r="I972" t="s">
        <v>18887</v>
      </c>
      <c r="J972" t="s">
        <v>6016</v>
      </c>
      <c r="K972" t="s">
        <v>74</v>
      </c>
      <c r="L972" t="s">
        <v>74</v>
      </c>
      <c r="M972" t="s">
        <v>80</v>
      </c>
      <c r="N972" t="s">
        <v>1996</v>
      </c>
      <c r="O972" t="s">
        <v>18888</v>
      </c>
      <c r="P972" t="s">
        <v>18889</v>
      </c>
      <c r="Q972" t="s">
        <v>18890</v>
      </c>
      <c r="R972" t="s">
        <v>74</v>
      </c>
      <c r="S972" t="s">
        <v>74</v>
      </c>
      <c r="T972" t="s">
        <v>18891</v>
      </c>
      <c r="U972" t="s">
        <v>18892</v>
      </c>
      <c r="V972" t="s">
        <v>18893</v>
      </c>
      <c r="W972" t="s">
        <v>18894</v>
      </c>
      <c r="X972" t="s">
        <v>18895</v>
      </c>
      <c r="Y972" t="s">
        <v>18896</v>
      </c>
      <c r="Z972" t="s">
        <v>18897</v>
      </c>
      <c r="AA972" t="s">
        <v>18898</v>
      </c>
      <c r="AB972" t="s">
        <v>18899</v>
      </c>
      <c r="AC972" t="s">
        <v>18900</v>
      </c>
      <c r="AD972" t="s">
        <v>18901</v>
      </c>
      <c r="AE972" t="s">
        <v>18902</v>
      </c>
      <c r="AF972" t="s">
        <v>74</v>
      </c>
      <c r="AG972">
        <v>129</v>
      </c>
      <c r="AH972">
        <v>132</v>
      </c>
      <c r="AI972">
        <v>151</v>
      </c>
      <c r="AJ972">
        <v>16</v>
      </c>
      <c r="AK972">
        <v>166</v>
      </c>
      <c r="AL972" t="s">
        <v>4977</v>
      </c>
      <c r="AM972" t="s">
        <v>3542</v>
      </c>
      <c r="AN972" t="s">
        <v>4978</v>
      </c>
      <c r="AO972" t="s">
        <v>6027</v>
      </c>
      <c r="AP972" t="s">
        <v>6028</v>
      </c>
      <c r="AQ972" t="s">
        <v>74</v>
      </c>
      <c r="AR972" t="s">
        <v>6029</v>
      </c>
      <c r="AS972" t="s">
        <v>6030</v>
      </c>
      <c r="AT972" t="s">
        <v>3499</v>
      </c>
      <c r="AU972">
        <v>2019</v>
      </c>
      <c r="AV972">
        <v>36</v>
      </c>
      <c r="AW972">
        <v>9</v>
      </c>
      <c r="AX972" t="s">
        <v>74</v>
      </c>
      <c r="AY972" t="s">
        <v>74</v>
      </c>
      <c r="AZ972" t="s">
        <v>555</v>
      </c>
      <c r="BA972" t="s">
        <v>74</v>
      </c>
      <c r="BB972">
        <v>902</v>
      </c>
      <c r="BC972">
        <v>921</v>
      </c>
      <c r="BD972" t="s">
        <v>74</v>
      </c>
      <c r="BE972" t="s">
        <v>18903</v>
      </c>
      <c r="BF972" t="str">
        <f>HYPERLINK("http://dx.doi.org/10.1007/s00376-019-8236-5","http://dx.doi.org/10.1007/s00376-019-8236-5")</f>
        <v>http://dx.doi.org/10.1007/s00376-019-8236-5</v>
      </c>
      <c r="BG972" t="s">
        <v>74</v>
      </c>
      <c r="BH972" t="s">
        <v>74</v>
      </c>
      <c r="BI972">
        <v>20</v>
      </c>
      <c r="BJ972" t="s">
        <v>1024</v>
      </c>
      <c r="BK972" t="s">
        <v>2020</v>
      </c>
      <c r="BL972" t="s">
        <v>1024</v>
      </c>
      <c r="BM972" t="s">
        <v>18904</v>
      </c>
      <c r="BN972" t="s">
        <v>74</v>
      </c>
      <c r="BO972" t="s">
        <v>74</v>
      </c>
      <c r="BP972" t="s">
        <v>74</v>
      </c>
      <c r="BQ972" t="s">
        <v>74</v>
      </c>
      <c r="BR972" t="s">
        <v>108</v>
      </c>
      <c r="BS972" t="s">
        <v>18905</v>
      </c>
      <c r="BT972" t="str">
        <f>HYPERLINK("https%3A%2F%2Fwww.webofscience.com%2Fwos%2Fwoscc%2Ffull-record%2FWOS:000474348600003","View Full Record in Web of Science")</f>
        <v>View Full Record in Web of Science</v>
      </c>
    </row>
    <row r="973" spans="1:72" x14ac:dyDescent="0.15">
      <c r="A973" t="s">
        <v>133</v>
      </c>
      <c r="B973" t="s">
        <v>18906</v>
      </c>
      <c r="C973" t="s">
        <v>74</v>
      </c>
      <c r="D973" t="s">
        <v>74</v>
      </c>
      <c r="E973" t="s">
        <v>74</v>
      </c>
      <c r="F973" t="s">
        <v>18907</v>
      </c>
      <c r="G973" t="s">
        <v>74</v>
      </c>
      <c r="H973" t="s">
        <v>74</v>
      </c>
      <c r="I973" t="s">
        <v>18908</v>
      </c>
      <c r="J973" t="s">
        <v>18909</v>
      </c>
      <c r="K973" t="s">
        <v>74</v>
      </c>
      <c r="L973" t="s">
        <v>74</v>
      </c>
      <c r="M973" t="s">
        <v>80</v>
      </c>
      <c r="N973" t="s">
        <v>138</v>
      </c>
      <c r="O973" t="s">
        <v>74</v>
      </c>
      <c r="P973" t="s">
        <v>74</v>
      </c>
      <c r="Q973" t="s">
        <v>74</v>
      </c>
      <c r="R973" t="s">
        <v>74</v>
      </c>
      <c r="S973" t="s">
        <v>74</v>
      </c>
      <c r="T973" t="s">
        <v>18910</v>
      </c>
      <c r="U973" t="s">
        <v>74</v>
      </c>
      <c r="V973" t="s">
        <v>18911</v>
      </c>
      <c r="W973" t="s">
        <v>18912</v>
      </c>
      <c r="X973" t="s">
        <v>18913</v>
      </c>
      <c r="Y973" t="s">
        <v>18914</v>
      </c>
      <c r="Z973" t="s">
        <v>18915</v>
      </c>
      <c r="AA973" t="s">
        <v>74</v>
      </c>
      <c r="AB973" t="s">
        <v>74</v>
      </c>
      <c r="AC973" t="s">
        <v>18916</v>
      </c>
      <c r="AD973" t="s">
        <v>18916</v>
      </c>
      <c r="AE973" t="s">
        <v>18917</v>
      </c>
      <c r="AF973" t="s">
        <v>74</v>
      </c>
      <c r="AG973">
        <v>13</v>
      </c>
      <c r="AH973">
        <v>2</v>
      </c>
      <c r="AI973">
        <v>3</v>
      </c>
      <c r="AJ973">
        <v>1</v>
      </c>
      <c r="AK973">
        <v>2</v>
      </c>
      <c r="AL973" t="s">
        <v>683</v>
      </c>
      <c r="AM973" t="s">
        <v>684</v>
      </c>
      <c r="AN973" t="s">
        <v>685</v>
      </c>
      <c r="AO973" t="s">
        <v>74</v>
      </c>
      <c r="AP973" t="s">
        <v>18918</v>
      </c>
      <c r="AQ973" t="s">
        <v>74</v>
      </c>
      <c r="AR973" t="s">
        <v>18919</v>
      </c>
      <c r="AS973" t="s">
        <v>18920</v>
      </c>
      <c r="AT973" t="s">
        <v>3499</v>
      </c>
      <c r="AU973">
        <v>2019</v>
      </c>
      <c r="AV973">
        <v>2</v>
      </c>
      <c r="AW973">
        <v>3</v>
      </c>
      <c r="AX973" t="s">
        <v>74</v>
      </c>
      <c r="AY973" t="s">
        <v>74</v>
      </c>
      <c r="AZ973" t="s">
        <v>74</v>
      </c>
      <c r="BA973" t="s">
        <v>74</v>
      </c>
      <c r="BB973" t="s">
        <v>74</v>
      </c>
      <c r="BC973" t="s">
        <v>74</v>
      </c>
      <c r="BD973">
        <v>21</v>
      </c>
      <c r="BE973" t="s">
        <v>18921</v>
      </c>
      <c r="BF973" t="str">
        <f>HYPERLINK("http://dx.doi.org/10.3390/asi2030021","http://dx.doi.org/10.3390/asi2030021")</f>
        <v>http://dx.doi.org/10.3390/asi2030021</v>
      </c>
      <c r="BG973" t="s">
        <v>74</v>
      </c>
      <c r="BH973" t="s">
        <v>74</v>
      </c>
      <c r="BI973">
        <v>18</v>
      </c>
      <c r="BJ973" t="s">
        <v>18922</v>
      </c>
      <c r="BK973" t="s">
        <v>160</v>
      </c>
      <c r="BL973" t="s">
        <v>18923</v>
      </c>
      <c r="BM973" t="s">
        <v>18924</v>
      </c>
      <c r="BN973" t="s">
        <v>74</v>
      </c>
      <c r="BO973" t="s">
        <v>1276</v>
      </c>
      <c r="BP973" t="s">
        <v>74</v>
      </c>
      <c r="BQ973" t="s">
        <v>74</v>
      </c>
      <c r="BR973" t="s">
        <v>108</v>
      </c>
      <c r="BS973" t="s">
        <v>18925</v>
      </c>
      <c r="BT973" t="str">
        <f>HYPERLINK("https%3A%2F%2Fwww.webofscience.com%2Fwos%2Fwoscc%2Ffull-record%2FWOS:000697688300003","View Full Record in Web of Science")</f>
        <v>View Full Record in Web of Science</v>
      </c>
    </row>
    <row r="974" spans="1:72" x14ac:dyDescent="0.15">
      <c r="A974" t="s">
        <v>133</v>
      </c>
      <c r="B974" t="s">
        <v>18926</v>
      </c>
      <c r="C974" t="s">
        <v>74</v>
      </c>
      <c r="D974" t="s">
        <v>74</v>
      </c>
      <c r="E974" t="s">
        <v>74</v>
      </c>
      <c r="F974" t="s">
        <v>18927</v>
      </c>
      <c r="G974" t="s">
        <v>74</v>
      </c>
      <c r="H974" t="s">
        <v>74</v>
      </c>
      <c r="I974" t="s">
        <v>18928</v>
      </c>
      <c r="J974" t="s">
        <v>17811</v>
      </c>
      <c r="K974" t="s">
        <v>74</v>
      </c>
      <c r="L974" t="s">
        <v>74</v>
      </c>
      <c r="M974" t="s">
        <v>80</v>
      </c>
      <c r="N974" t="s">
        <v>930</v>
      </c>
      <c r="O974" t="s">
        <v>74</v>
      </c>
      <c r="P974" t="s">
        <v>74</v>
      </c>
      <c r="Q974" t="s">
        <v>74</v>
      </c>
      <c r="R974" t="s">
        <v>74</v>
      </c>
      <c r="S974" t="s">
        <v>74</v>
      </c>
      <c r="T974" t="s">
        <v>18929</v>
      </c>
      <c r="U974" t="s">
        <v>18930</v>
      </c>
      <c r="V974" t="s">
        <v>18931</v>
      </c>
      <c r="W974" t="s">
        <v>18932</v>
      </c>
      <c r="X974" t="s">
        <v>18933</v>
      </c>
      <c r="Y974" t="s">
        <v>18934</v>
      </c>
      <c r="Z974" t="s">
        <v>18935</v>
      </c>
      <c r="AA974" t="s">
        <v>18936</v>
      </c>
      <c r="AB974" t="s">
        <v>18937</v>
      </c>
      <c r="AC974" t="s">
        <v>18938</v>
      </c>
      <c r="AD974" t="s">
        <v>18939</v>
      </c>
      <c r="AE974" t="s">
        <v>18940</v>
      </c>
      <c r="AF974" t="s">
        <v>74</v>
      </c>
      <c r="AG974">
        <v>126</v>
      </c>
      <c r="AH974">
        <v>429</v>
      </c>
      <c r="AI974">
        <v>454</v>
      </c>
      <c r="AJ974">
        <v>25</v>
      </c>
      <c r="AK974">
        <v>259</v>
      </c>
      <c r="AL974" t="s">
        <v>709</v>
      </c>
      <c r="AM974" t="s">
        <v>380</v>
      </c>
      <c r="AN974" t="s">
        <v>710</v>
      </c>
      <c r="AO974" t="s">
        <v>17824</v>
      </c>
      <c r="AP974" t="s">
        <v>17825</v>
      </c>
      <c r="AQ974" t="s">
        <v>74</v>
      </c>
      <c r="AR974" t="s">
        <v>17826</v>
      </c>
      <c r="AS974" t="s">
        <v>17827</v>
      </c>
      <c r="AT974" t="s">
        <v>3499</v>
      </c>
      <c r="AU974">
        <v>2019</v>
      </c>
      <c r="AV974">
        <v>237</v>
      </c>
      <c r="AW974" t="s">
        <v>74</v>
      </c>
      <c r="AX974" t="s">
        <v>74</v>
      </c>
      <c r="AY974" t="s">
        <v>74</v>
      </c>
      <c r="AZ974" t="s">
        <v>74</v>
      </c>
      <c r="BA974" t="s">
        <v>74</v>
      </c>
      <c r="BB974">
        <v>525</v>
      </c>
      <c r="BC974">
        <v>537</v>
      </c>
      <c r="BD974" t="s">
        <v>74</v>
      </c>
      <c r="BE974" t="s">
        <v>18941</v>
      </c>
      <c r="BF974" t="str">
        <f>HYPERLINK("http://dx.doi.org/10.1016/j.biocon.2019.06.033","http://dx.doi.org/10.1016/j.biocon.2019.06.033")</f>
        <v>http://dx.doi.org/10.1016/j.biocon.2019.06.033</v>
      </c>
      <c r="BG974" t="s">
        <v>74</v>
      </c>
      <c r="BH974" t="s">
        <v>74</v>
      </c>
      <c r="BI974">
        <v>13</v>
      </c>
      <c r="BJ974" t="s">
        <v>1596</v>
      </c>
      <c r="BK974" t="s">
        <v>294</v>
      </c>
      <c r="BL974" t="s">
        <v>295</v>
      </c>
      <c r="BM974" t="s">
        <v>17829</v>
      </c>
      <c r="BN974" t="s">
        <v>74</v>
      </c>
      <c r="BO974" t="s">
        <v>638</v>
      </c>
      <c r="BP974" t="s">
        <v>560</v>
      </c>
      <c r="BQ974" t="s">
        <v>561</v>
      </c>
      <c r="BR974" t="s">
        <v>108</v>
      </c>
      <c r="BS974" t="s">
        <v>18942</v>
      </c>
      <c r="BT974" t="str">
        <f>HYPERLINK("https%3A%2F%2Fwww.webofscience.com%2Fwos%2Fwoscc%2Ffull-record%2FWOS:000488314700056","View Full Record in Web of Science")</f>
        <v>View Full Record in Web of Science</v>
      </c>
    </row>
    <row r="975" spans="1:72" x14ac:dyDescent="0.15">
      <c r="A975" t="s">
        <v>133</v>
      </c>
      <c r="B975" t="s">
        <v>18943</v>
      </c>
      <c r="C975" t="s">
        <v>74</v>
      </c>
      <c r="D975" t="s">
        <v>74</v>
      </c>
      <c r="E975" t="s">
        <v>74</v>
      </c>
      <c r="F975" t="s">
        <v>18944</v>
      </c>
      <c r="G975" t="s">
        <v>74</v>
      </c>
      <c r="H975" t="s">
        <v>74</v>
      </c>
      <c r="I975" t="s">
        <v>18945</v>
      </c>
      <c r="J975" t="s">
        <v>6952</v>
      </c>
      <c r="K975" t="s">
        <v>74</v>
      </c>
      <c r="L975" t="s">
        <v>74</v>
      </c>
      <c r="M975" t="s">
        <v>80</v>
      </c>
      <c r="N975" t="s">
        <v>138</v>
      </c>
      <c r="O975" t="s">
        <v>74</v>
      </c>
      <c r="P975" t="s">
        <v>74</v>
      </c>
      <c r="Q975" t="s">
        <v>74</v>
      </c>
      <c r="R975" t="s">
        <v>74</v>
      </c>
      <c r="S975" t="s">
        <v>74</v>
      </c>
      <c r="T975" t="s">
        <v>18946</v>
      </c>
      <c r="U975" t="s">
        <v>18947</v>
      </c>
      <c r="V975" t="s">
        <v>18948</v>
      </c>
      <c r="W975" t="s">
        <v>18949</v>
      </c>
      <c r="X975" t="s">
        <v>18950</v>
      </c>
      <c r="Y975" t="s">
        <v>18951</v>
      </c>
      <c r="Z975" t="s">
        <v>12157</v>
      </c>
      <c r="AA975" t="s">
        <v>18952</v>
      </c>
      <c r="AB975" t="s">
        <v>18953</v>
      </c>
      <c r="AC975" t="s">
        <v>18954</v>
      </c>
      <c r="AD975" t="s">
        <v>18955</v>
      </c>
      <c r="AE975" t="s">
        <v>18956</v>
      </c>
      <c r="AF975" t="s">
        <v>74</v>
      </c>
      <c r="AG975">
        <v>79</v>
      </c>
      <c r="AH975">
        <v>13</v>
      </c>
      <c r="AI975">
        <v>14</v>
      </c>
      <c r="AJ975">
        <v>4</v>
      </c>
      <c r="AK975">
        <v>43</v>
      </c>
      <c r="AL975" t="s">
        <v>1964</v>
      </c>
      <c r="AM975" t="s">
        <v>4096</v>
      </c>
      <c r="AN975" t="s">
        <v>4097</v>
      </c>
      <c r="AO975" t="s">
        <v>6964</v>
      </c>
      <c r="AP975" t="s">
        <v>6965</v>
      </c>
      <c r="AQ975" t="s">
        <v>74</v>
      </c>
      <c r="AR975" t="s">
        <v>6966</v>
      </c>
      <c r="AS975" t="s">
        <v>6967</v>
      </c>
      <c r="AT975" t="s">
        <v>3499</v>
      </c>
      <c r="AU975">
        <v>2019</v>
      </c>
      <c r="AV975">
        <v>21</v>
      </c>
      <c r="AW975">
        <v>9</v>
      </c>
      <c r="AX975" t="s">
        <v>74</v>
      </c>
      <c r="AY975" t="s">
        <v>74</v>
      </c>
      <c r="AZ975" t="s">
        <v>74</v>
      </c>
      <c r="BA975" t="s">
        <v>74</v>
      </c>
      <c r="BB975">
        <v>2819</v>
      </c>
      <c r="BC975">
        <v>2836</v>
      </c>
      <c r="BD975" t="s">
        <v>74</v>
      </c>
      <c r="BE975" t="s">
        <v>18957</v>
      </c>
      <c r="BF975" t="str">
        <f>HYPERLINK("http://dx.doi.org/10.1007/s10530-019-02016-7","http://dx.doi.org/10.1007/s10530-019-02016-7")</f>
        <v>http://dx.doi.org/10.1007/s10530-019-02016-7</v>
      </c>
      <c r="BG975" t="s">
        <v>74</v>
      </c>
      <c r="BH975" t="s">
        <v>74</v>
      </c>
      <c r="BI975">
        <v>18</v>
      </c>
      <c r="BJ975" t="s">
        <v>3524</v>
      </c>
      <c r="BK975" t="s">
        <v>294</v>
      </c>
      <c r="BL975" t="s">
        <v>295</v>
      </c>
      <c r="BM975" t="s">
        <v>18958</v>
      </c>
      <c r="BN975" t="s">
        <v>74</v>
      </c>
      <c r="BO975" t="s">
        <v>74</v>
      </c>
      <c r="BP975" t="s">
        <v>74</v>
      </c>
      <c r="BQ975" t="s">
        <v>74</v>
      </c>
      <c r="BR975" t="s">
        <v>108</v>
      </c>
      <c r="BS975" t="s">
        <v>18959</v>
      </c>
      <c r="BT975" t="str">
        <f>HYPERLINK("https%3A%2F%2Fwww.webofscience.com%2Fwos%2Fwoscc%2Ffull-record%2FWOS:000478767600005","View Full Record in Web of Science")</f>
        <v>View Full Record in Web of Science</v>
      </c>
    </row>
    <row r="976" spans="1:72" x14ac:dyDescent="0.15">
      <c r="A976" t="s">
        <v>133</v>
      </c>
      <c r="B976" t="s">
        <v>18960</v>
      </c>
      <c r="C976" t="s">
        <v>74</v>
      </c>
      <c r="D976" t="s">
        <v>74</v>
      </c>
      <c r="E976" t="s">
        <v>74</v>
      </c>
      <c r="F976" t="s">
        <v>18961</v>
      </c>
      <c r="G976" t="s">
        <v>74</v>
      </c>
      <c r="H976" t="s">
        <v>74</v>
      </c>
      <c r="I976" t="s">
        <v>18962</v>
      </c>
      <c r="J976" t="s">
        <v>5664</v>
      </c>
      <c r="K976" t="s">
        <v>74</v>
      </c>
      <c r="L976" t="s">
        <v>74</v>
      </c>
      <c r="M976" t="s">
        <v>80</v>
      </c>
      <c r="N976" t="s">
        <v>138</v>
      </c>
      <c r="O976" t="s">
        <v>74</v>
      </c>
      <c r="P976" t="s">
        <v>74</v>
      </c>
      <c r="Q976" t="s">
        <v>74</v>
      </c>
      <c r="R976" t="s">
        <v>74</v>
      </c>
      <c r="S976" t="s">
        <v>74</v>
      </c>
      <c r="T976" t="s">
        <v>74</v>
      </c>
      <c r="U976" t="s">
        <v>74</v>
      </c>
      <c r="V976" t="s">
        <v>74</v>
      </c>
      <c r="W976" t="s">
        <v>18963</v>
      </c>
      <c r="X976" t="s">
        <v>18964</v>
      </c>
      <c r="Y976" t="s">
        <v>18965</v>
      </c>
      <c r="Z976" t="s">
        <v>74</v>
      </c>
      <c r="AA976" t="s">
        <v>18966</v>
      </c>
      <c r="AB976" t="s">
        <v>18967</v>
      </c>
      <c r="AC976" t="s">
        <v>74</v>
      </c>
      <c r="AD976" t="s">
        <v>74</v>
      </c>
      <c r="AE976" t="s">
        <v>74</v>
      </c>
      <c r="AF976" t="s">
        <v>74</v>
      </c>
      <c r="AG976">
        <v>0</v>
      </c>
      <c r="AH976">
        <v>39</v>
      </c>
      <c r="AI976">
        <v>40</v>
      </c>
      <c r="AJ976">
        <v>5</v>
      </c>
      <c r="AK976">
        <v>48</v>
      </c>
      <c r="AL976" t="s">
        <v>1016</v>
      </c>
      <c r="AM976" t="s">
        <v>1017</v>
      </c>
      <c r="AN976" t="s">
        <v>4703</v>
      </c>
      <c r="AO976" t="s">
        <v>5676</v>
      </c>
      <c r="AP976" t="s">
        <v>5677</v>
      </c>
      <c r="AQ976" t="s">
        <v>74</v>
      </c>
      <c r="AR976" t="s">
        <v>5678</v>
      </c>
      <c r="AS976" t="s">
        <v>5679</v>
      </c>
      <c r="AT976" t="s">
        <v>3499</v>
      </c>
      <c r="AU976">
        <v>2019</v>
      </c>
      <c r="AV976">
        <v>100</v>
      </c>
      <c r="AW976">
        <v>9</v>
      </c>
      <c r="AX976" t="s">
        <v>74</v>
      </c>
      <c r="AY976" t="s">
        <v>74</v>
      </c>
      <c r="AZ976" t="s">
        <v>74</v>
      </c>
      <c r="BA976" t="s">
        <v>74</v>
      </c>
      <c r="BB976" t="s">
        <v>18968</v>
      </c>
      <c r="BC976" t="s">
        <v>18969</v>
      </c>
      <c r="BD976" t="s">
        <v>74</v>
      </c>
      <c r="BE976" t="s">
        <v>74</v>
      </c>
      <c r="BF976" t="s">
        <v>74</v>
      </c>
      <c r="BG976" t="s">
        <v>74</v>
      </c>
      <c r="BH976" t="s">
        <v>74</v>
      </c>
      <c r="BI976">
        <v>0</v>
      </c>
      <c r="BJ976" t="s">
        <v>1024</v>
      </c>
      <c r="BK976" t="s">
        <v>294</v>
      </c>
      <c r="BL976" t="s">
        <v>1024</v>
      </c>
      <c r="BM976" t="s">
        <v>17806</v>
      </c>
      <c r="BN976" t="s">
        <v>74</v>
      </c>
      <c r="BO976" t="s">
        <v>74</v>
      </c>
      <c r="BP976" t="s">
        <v>74</v>
      </c>
      <c r="BQ976" t="s">
        <v>74</v>
      </c>
      <c r="BR976" t="s">
        <v>108</v>
      </c>
      <c r="BS976" t="s">
        <v>18970</v>
      </c>
      <c r="BT976" t="str">
        <f>HYPERLINK("https%3A%2F%2Fwww.webofscience.com%2Fwos%2Fwoscc%2Ffull-record%2FWOS:000489716700003","View Full Record in Web of Science")</f>
        <v>View Full Record in Web of Science</v>
      </c>
    </row>
    <row r="977" spans="1:72" x14ac:dyDescent="0.15">
      <c r="A977" t="s">
        <v>133</v>
      </c>
      <c r="B977" t="s">
        <v>18971</v>
      </c>
      <c r="C977" t="s">
        <v>74</v>
      </c>
      <c r="D977" t="s">
        <v>74</v>
      </c>
      <c r="E977" t="s">
        <v>74</v>
      </c>
      <c r="F977" t="s">
        <v>18972</v>
      </c>
      <c r="G977" t="s">
        <v>74</v>
      </c>
      <c r="H977" t="s">
        <v>74</v>
      </c>
      <c r="I977" t="s">
        <v>18973</v>
      </c>
      <c r="J977" t="s">
        <v>10516</v>
      </c>
      <c r="K977" t="s">
        <v>74</v>
      </c>
      <c r="L977" t="s">
        <v>74</v>
      </c>
      <c r="M977" t="s">
        <v>80</v>
      </c>
      <c r="N977" t="s">
        <v>138</v>
      </c>
      <c r="O977" t="s">
        <v>74</v>
      </c>
      <c r="P977" t="s">
        <v>74</v>
      </c>
      <c r="Q977" t="s">
        <v>74</v>
      </c>
      <c r="R977" t="s">
        <v>74</v>
      </c>
      <c r="S977" t="s">
        <v>74</v>
      </c>
      <c r="T977" t="s">
        <v>18974</v>
      </c>
      <c r="U977" t="s">
        <v>18975</v>
      </c>
      <c r="V977" t="s">
        <v>18976</v>
      </c>
      <c r="W977" t="s">
        <v>18977</v>
      </c>
      <c r="X977" t="s">
        <v>18978</v>
      </c>
      <c r="Y977" t="s">
        <v>18979</v>
      </c>
      <c r="Z977" t="s">
        <v>18980</v>
      </c>
      <c r="AA977" t="s">
        <v>18981</v>
      </c>
      <c r="AB977" t="s">
        <v>18982</v>
      </c>
      <c r="AC977" t="s">
        <v>18983</v>
      </c>
      <c r="AD977" t="s">
        <v>18984</v>
      </c>
      <c r="AE977" t="s">
        <v>18985</v>
      </c>
      <c r="AF977" t="s">
        <v>74</v>
      </c>
      <c r="AG977">
        <v>60</v>
      </c>
      <c r="AH977">
        <v>23</v>
      </c>
      <c r="AI977">
        <v>23</v>
      </c>
      <c r="AJ977">
        <v>1</v>
      </c>
      <c r="AK977">
        <v>29</v>
      </c>
      <c r="AL977" t="s">
        <v>1964</v>
      </c>
      <c r="AM977" t="s">
        <v>1965</v>
      </c>
      <c r="AN977" t="s">
        <v>1966</v>
      </c>
      <c r="AO977" t="s">
        <v>10528</v>
      </c>
      <c r="AP977" t="s">
        <v>10529</v>
      </c>
      <c r="AQ977" t="s">
        <v>74</v>
      </c>
      <c r="AR977" t="s">
        <v>10530</v>
      </c>
      <c r="AS977" t="s">
        <v>10531</v>
      </c>
      <c r="AT977" t="s">
        <v>3499</v>
      </c>
      <c r="AU977">
        <v>2019</v>
      </c>
      <c r="AV977">
        <v>53</v>
      </c>
      <c r="AW977" t="s">
        <v>8754</v>
      </c>
      <c r="AX977" t="s">
        <v>74</v>
      </c>
      <c r="AY977" t="s">
        <v>74</v>
      </c>
      <c r="AZ977" t="s">
        <v>74</v>
      </c>
      <c r="BA977" t="s">
        <v>74</v>
      </c>
      <c r="BB977">
        <v>3675</v>
      </c>
      <c r="BC977">
        <v>3690</v>
      </c>
      <c r="BD977" t="s">
        <v>74</v>
      </c>
      <c r="BE977" t="s">
        <v>18986</v>
      </c>
      <c r="BF977" t="str">
        <f>HYPERLINK("http://dx.doi.org/10.1007/s00382-019-04736-x","http://dx.doi.org/10.1007/s00382-019-04736-x")</f>
        <v>http://dx.doi.org/10.1007/s00382-019-04736-x</v>
      </c>
      <c r="BG977" t="s">
        <v>74</v>
      </c>
      <c r="BH977" t="s">
        <v>74</v>
      </c>
      <c r="BI977">
        <v>16</v>
      </c>
      <c r="BJ977" t="s">
        <v>1024</v>
      </c>
      <c r="BK977" t="s">
        <v>294</v>
      </c>
      <c r="BL977" t="s">
        <v>1024</v>
      </c>
      <c r="BM977" t="s">
        <v>18549</v>
      </c>
      <c r="BN977" t="s">
        <v>74</v>
      </c>
      <c r="BO977" t="s">
        <v>74</v>
      </c>
      <c r="BP977" t="s">
        <v>74</v>
      </c>
      <c r="BQ977" t="s">
        <v>74</v>
      </c>
      <c r="BR977" t="s">
        <v>108</v>
      </c>
      <c r="BS977" t="s">
        <v>18987</v>
      </c>
      <c r="BT977" t="str">
        <f>HYPERLINK("https%3A%2F%2Fwww.webofscience.com%2Fwos%2Fwoscc%2Ffull-record%2FWOS:000483626900069","View Full Record in Web of Science")</f>
        <v>View Full Record in Web of Science</v>
      </c>
    </row>
    <row r="978" spans="1:72" x14ac:dyDescent="0.15">
      <c r="A978" t="s">
        <v>133</v>
      </c>
      <c r="B978" t="s">
        <v>18988</v>
      </c>
      <c r="C978" t="s">
        <v>74</v>
      </c>
      <c r="D978" t="s">
        <v>74</v>
      </c>
      <c r="E978" t="s">
        <v>74</v>
      </c>
      <c r="F978" t="s">
        <v>18989</v>
      </c>
      <c r="G978" t="s">
        <v>74</v>
      </c>
      <c r="H978" t="s">
        <v>74</v>
      </c>
      <c r="I978" t="s">
        <v>18990</v>
      </c>
      <c r="J978" t="s">
        <v>18991</v>
      </c>
      <c r="K978" t="s">
        <v>74</v>
      </c>
      <c r="L978" t="s">
        <v>74</v>
      </c>
      <c r="M978" t="s">
        <v>80</v>
      </c>
      <c r="N978" t="s">
        <v>138</v>
      </c>
      <c r="O978" t="s">
        <v>74</v>
      </c>
      <c r="P978" t="s">
        <v>74</v>
      </c>
      <c r="Q978" t="s">
        <v>74</v>
      </c>
      <c r="R978" t="s">
        <v>74</v>
      </c>
      <c r="S978" t="s">
        <v>74</v>
      </c>
      <c r="T978" t="s">
        <v>18992</v>
      </c>
      <c r="U978" t="s">
        <v>74</v>
      </c>
      <c r="V978" t="s">
        <v>18993</v>
      </c>
      <c r="W978" t="s">
        <v>18994</v>
      </c>
      <c r="X978" t="s">
        <v>18995</v>
      </c>
      <c r="Y978" t="s">
        <v>18996</v>
      </c>
      <c r="Z978" t="s">
        <v>18997</v>
      </c>
      <c r="AA978" t="s">
        <v>18998</v>
      </c>
      <c r="AB978" t="s">
        <v>18999</v>
      </c>
      <c r="AC978" t="s">
        <v>19000</v>
      </c>
      <c r="AD978" t="s">
        <v>19001</v>
      </c>
      <c r="AE978" t="s">
        <v>19002</v>
      </c>
      <c r="AF978" t="s">
        <v>74</v>
      </c>
      <c r="AG978">
        <v>94</v>
      </c>
      <c r="AH978">
        <v>13</v>
      </c>
      <c r="AI978">
        <v>14</v>
      </c>
      <c r="AJ978">
        <v>1</v>
      </c>
      <c r="AK978">
        <v>2</v>
      </c>
      <c r="AL978" t="s">
        <v>683</v>
      </c>
      <c r="AM978" t="s">
        <v>684</v>
      </c>
      <c r="AN978" t="s">
        <v>685</v>
      </c>
      <c r="AO978" t="s">
        <v>74</v>
      </c>
      <c r="AP978" t="s">
        <v>19003</v>
      </c>
      <c r="AQ978" t="s">
        <v>74</v>
      </c>
      <c r="AR978" t="s">
        <v>19004</v>
      </c>
      <c r="AS978" t="s">
        <v>19005</v>
      </c>
      <c r="AT978" t="s">
        <v>3499</v>
      </c>
      <c r="AU978">
        <v>2019</v>
      </c>
      <c r="AV978">
        <v>1</v>
      </c>
      <c r="AW978">
        <v>3</v>
      </c>
      <c r="AX978" t="s">
        <v>74</v>
      </c>
      <c r="AY978" t="s">
        <v>74</v>
      </c>
      <c r="AZ978" t="s">
        <v>74</v>
      </c>
      <c r="BA978" t="s">
        <v>74</v>
      </c>
      <c r="BB978">
        <v>352</v>
      </c>
      <c r="BC978">
        <v>366</v>
      </c>
      <c r="BD978" t="s">
        <v>74</v>
      </c>
      <c r="BE978" t="s">
        <v>19006</v>
      </c>
      <c r="BF978" t="str">
        <f>HYPERLINK("http://dx.doi.org/10.3390/clockssleep1030029","http://dx.doi.org/10.3390/clockssleep1030029")</f>
        <v>http://dx.doi.org/10.3390/clockssleep1030029</v>
      </c>
      <c r="BG978" t="s">
        <v>74</v>
      </c>
      <c r="BH978" t="s">
        <v>74</v>
      </c>
      <c r="BI978">
        <v>15</v>
      </c>
      <c r="BJ978" t="s">
        <v>19007</v>
      </c>
      <c r="BK978" t="s">
        <v>160</v>
      </c>
      <c r="BL978" t="s">
        <v>19008</v>
      </c>
      <c r="BM978" t="s">
        <v>19009</v>
      </c>
      <c r="BN978">
        <v>33089174</v>
      </c>
      <c r="BO978" t="s">
        <v>693</v>
      </c>
      <c r="BP978" t="s">
        <v>74</v>
      </c>
      <c r="BQ978" t="s">
        <v>74</v>
      </c>
      <c r="BR978" t="s">
        <v>108</v>
      </c>
      <c r="BS978" t="s">
        <v>19010</v>
      </c>
      <c r="BT978" t="str">
        <f>HYPERLINK("https%3A%2F%2Fwww.webofscience.com%2Fwos%2Fwoscc%2Ffull-record%2FWOS:000655371100001","View Full Record in Web of Science")</f>
        <v>View Full Record in Web of Science</v>
      </c>
    </row>
    <row r="979" spans="1:72" x14ac:dyDescent="0.15">
      <c r="A979" t="s">
        <v>133</v>
      </c>
      <c r="B979" t="s">
        <v>19011</v>
      </c>
      <c r="C979" t="s">
        <v>74</v>
      </c>
      <c r="D979" t="s">
        <v>74</v>
      </c>
      <c r="E979" t="s">
        <v>74</v>
      </c>
      <c r="F979" t="s">
        <v>19012</v>
      </c>
      <c r="G979" t="s">
        <v>74</v>
      </c>
      <c r="H979" t="s">
        <v>74</v>
      </c>
      <c r="I979" t="s">
        <v>19013</v>
      </c>
      <c r="J979" t="s">
        <v>6082</v>
      </c>
      <c r="K979" t="s">
        <v>74</v>
      </c>
      <c r="L979" t="s">
        <v>74</v>
      </c>
      <c r="M979" t="s">
        <v>80</v>
      </c>
      <c r="N979" t="s">
        <v>138</v>
      </c>
      <c r="O979" t="s">
        <v>74</v>
      </c>
      <c r="P979" t="s">
        <v>74</v>
      </c>
      <c r="Q979" t="s">
        <v>74</v>
      </c>
      <c r="R979" t="s">
        <v>74</v>
      </c>
      <c r="S979" t="s">
        <v>74</v>
      </c>
      <c r="T979" t="s">
        <v>19014</v>
      </c>
      <c r="U979" t="s">
        <v>19015</v>
      </c>
      <c r="V979" t="s">
        <v>19016</v>
      </c>
      <c r="W979" t="s">
        <v>19017</v>
      </c>
      <c r="X979" t="s">
        <v>19018</v>
      </c>
      <c r="Y979" t="s">
        <v>19019</v>
      </c>
      <c r="Z979" t="s">
        <v>19020</v>
      </c>
      <c r="AA979" t="s">
        <v>74</v>
      </c>
      <c r="AB979" t="s">
        <v>74</v>
      </c>
      <c r="AC979" t="s">
        <v>19021</v>
      </c>
      <c r="AD979" t="s">
        <v>7958</v>
      </c>
      <c r="AE979" t="s">
        <v>19022</v>
      </c>
      <c r="AF979" t="s">
        <v>74</v>
      </c>
      <c r="AG979">
        <v>75</v>
      </c>
      <c r="AH979">
        <v>11</v>
      </c>
      <c r="AI979">
        <v>11</v>
      </c>
      <c r="AJ979">
        <v>3</v>
      </c>
      <c r="AK979">
        <v>20</v>
      </c>
      <c r="AL979" t="s">
        <v>5898</v>
      </c>
      <c r="AM979" t="s">
        <v>1965</v>
      </c>
      <c r="AN979" t="s">
        <v>5899</v>
      </c>
      <c r="AO979" t="s">
        <v>6095</v>
      </c>
      <c r="AP979" t="s">
        <v>6096</v>
      </c>
      <c r="AQ979" t="s">
        <v>74</v>
      </c>
      <c r="AR979" t="s">
        <v>6097</v>
      </c>
      <c r="AS979" t="s">
        <v>6098</v>
      </c>
      <c r="AT979" t="s">
        <v>3499</v>
      </c>
      <c r="AU979">
        <v>2019</v>
      </c>
      <c r="AV979">
        <v>235</v>
      </c>
      <c r="AW979" t="s">
        <v>74</v>
      </c>
      <c r="AX979" t="s">
        <v>74</v>
      </c>
      <c r="AY979" t="s">
        <v>74</v>
      </c>
      <c r="AZ979" t="s">
        <v>74</v>
      </c>
      <c r="BA979" t="s">
        <v>74</v>
      </c>
      <c r="BB979">
        <v>46</v>
      </c>
      <c r="BC979">
        <v>53</v>
      </c>
      <c r="BD979" t="s">
        <v>74</v>
      </c>
      <c r="BE979" t="s">
        <v>19023</v>
      </c>
      <c r="BF979" t="str">
        <f>HYPERLINK("http://dx.doi.org/10.1016/j.cbpb.2019.05.011","http://dx.doi.org/10.1016/j.cbpb.2019.05.011")</f>
        <v>http://dx.doi.org/10.1016/j.cbpb.2019.05.011</v>
      </c>
      <c r="BG979" t="s">
        <v>74</v>
      </c>
      <c r="BH979" t="s">
        <v>74</v>
      </c>
      <c r="BI979">
        <v>8</v>
      </c>
      <c r="BJ979" t="s">
        <v>6100</v>
      </c>
      <c r="BK979" t="s">
        <v>294</v>
      </c>
      <c r="BL979" t="s">
        <v>6100</v>
      </c>
      <c r="BM979" t="s">
        <v>19024</v>
      </c>
      <c r="BN979">
        <v>31176865</v>
      </c>
      <c r="BO979" t="s">
        <v>1092</v>
      </c>
      <c r="BP979" t="s">
        <v>74</v>
      </c>
      <c r="BQ979" t="s">
        <v>74</v>
      </c>
      <c r="BR979" t="s">
        <v>108</v>
      </c>
      <c r="BS979" t="s">
        <v>19025</v>
      </c>
      <c r="BT979" t="str">
        <f>HYPERLINK("https%3A%2F%2Fwww.webofscience.com%2Fwos%2Fwoscc%2Ffull-record%2FWOS:000477690200006","View Full Record in Web of Science")</f>
        <v>View Full Record in Web of Science</v>
      </c>
    </row>
    <row r="980" spans="1:72" x14ac:dyDescent="0.15">
      <c r="A980" t="s">
        <v>133</v>
      </c>
      <c r="B980" t="s">
        <v>19026</v>
      </c>
      <c r="C980" t="s">
        <v>74</v>
      </c>
      <c r="D980" t="s">
        <v>74</v>
      </c>
      <c r="E980" t="s">
        <v>74</v>
      </c>
      <c r="F980" t="s">
        <v>19027</v>
      </c>
      <c r="G980" t="s">
        <v>74</v>
      </c>
      <c r="H980" t="s">
        <v>74</v>
      </c>
      <c r="I980" t="s">
        <v>19028</v>
      </c>
      <c r="J980" t="s">
        <v>11519</v>
      </c>
      <c r="K980" t="s">
        <v>74</v>
      </c>
      <c r="L980" t="s">
        <v>74</v>
      </c>
      <c r="M980" t="s">
        <v>80</v>
      </c>
      <c r="N980" t="s">
        <v>138</v>
      </c>
      <c r="O980" t="s">
        <v>74</v>
      </c>
      <c r="P980" t="s">
        <v>74</v>
      </c>
      <c r="Q980" t="s">
        <v>74</v>
      </c>
      <c r="R980" t="s">
        <v>74</v>
      </c>
      <c r="S980" t="s">
        <v>74</v>
      </c>
      <c r="T980" t="s">
        <v>74</v>
      </c>
      <c r="U980" t="s">
        <v>19029</v>
      </c>
      <c r="V980" t="s">
        <v>19030</v>
      </c>
      <c r="W980" t="s">
        <v>19031</v>
      </c>
      <c r="X980" t="s">
        <v>19032</v>
      </c>
      <c r="Y980" t="s">
        <v>19033</v>
      </c>
      <c r="Z980" t="s">
        <v>19034</v>
      </c>
      <c r="AA980" t="s">
        <v>74</v>
      </c>
      <c r="AB980" t="s">
        <v>74</v>
      </c>
      <c r="AC980" t="s">
        <v>19035</v>
      </c>
      <c r="AD980" t="s">
        <v>5322</v>
      </c>
      <c r="AE980" t="s">
        <v>19036</v>
      </c>
      <c r="AF980" t="s">
        <v>74</v>
      </c>
      <c r="AG980">
        <v>46</v>
      </c>
      <c r="AH980">
        <v>7</v>
      </c>
      <c r="AI980">
        <v>8</v>
      </c>
      <c r="AJ980">
        <v>0</v>
      </c>
      <c r="AK980">
        <v>36</v>
      </c>
      <c r="AL980" t="s">
        <v>1964</v>
      </c>
      <c r="AM980" t="s">
        <v>1965</v>
      </c>
      <c r="AN980" t="s">
        <v>3452</v>
      </c>
      <c r="AO980" t="s">
        <v>11530</v>
      </c>
      <c r="AP980" t="s">
        <v>11531</v>
      </c>
      <c r="AQ980" t="s">
        <v>74</v>
      </c>
      <c r="AR980" t="s">
        <v>11532</v>
      </c>
      <c r="AS980" t="s">
        <v>11533</v>
      </c>
      <c r="AT980" t="s">
        <v>3499</v>
      </c>
      <c r="AU980">
        <v>2019</v>
      </c>
      <c r="AV980">
        <v>76</v>
      </c>
      <c r="AW980">
        <v>9</v>
      </c>
      <c r="AX980" t="s">
        <v>74</v>
      </c>
      <c r="AY980" t="s">
        <v>74</v>
      </c>
      <c r="AZ980" t="s">
        <v>74</v>
      </c>
      <c r="BA980" t="s">
        <v>74</v>
      </c>
      <c r="BB980">
        <v>967</v>
      </c>
      <c r="BC980">
        <v>974</v>
      </c>
      <c r="BD980" t="s">
        <v>74</v>
      </c>
      <c r="BE980" t="s">
        <v>19037</v>
      </c>
      <c r="BF980" t="str">
        <f>HYPERLINK("http://dx.doi.org/10.1007/s00284-019-01709-5","http://dx.doi.org/10.1007/s00284-019-01709-5")</f>
        <v>http://dx.doi.org/10.1007/s00284-019-01709-5</v>
      </c>
      <c r="BG980" t="s">
        <v>74</v>
      </c>
      <c r="BH980" t="s">
        <v>74</v>
      </c>
      <c r="BI980">
        <v>8</v>
      </c>
      <c r="BJ980" t="s">
        <v>1713</v>
      </c>
      <c r="BK980" t="s">
        <v>294</v>
      </c>
      <c r="BL980" t="s">
        <v>1713</v>
      </c>
      <c r="BM980" t="s">
        <v>19038</v>
      </c>
      <c r="BN980">
        <v>31134298</v>
      </c>
      <c r="BO980" t="s">
        <v>74</v>
      </c>
      <c r="BP980" t="s">
        <v>74</v>
      </c>
      <c r="BQ980" t="s">
        <v>74</v>
      </c>
      <c r="BR980" t="s">
        <v>108</v>
      </c>
      <c r="BS980" t="s">
        <v>19039</v>
      </c>
      <c r="BT980" t="str">
        <f>HYPERLINK("https%3A%2F%2Fwww.webofscience.com%2Fwos%2Fwoscc%2Ffull-record%2FWOS:000477871100001","View Full Record in Web of Science")</f>
        <v>View Full Record in Web of Science</v>
      </c>
    </row>
    <row r="981" spans="1:72" x14ac:dyDescent="0.15">
      <c r="A981" t="s">
        <v>133</v>
      </c>
      <c r="B981" t="s">
        <v>19040</v>
      </c>
      <c r="C981" t="s">
        <v>74</v>
      </c>
      <c r="D981" t="s">
        <v>74</v>
      </c>
      <c r="E981" t="s">
        <v>74</v>
      </c>
      <c r="F981" t="s">
        <v>19041</v>
      </c>
      <c r="G981" t="s">
        <v>74</v>
      </c>
      <c r="H981" t="s">
        <v>74</v>
      </c>
      <c r="I981" t="s">
        <v>19042</v>
      </c>
      <c r="J981" t="s">
        <v>18057</v>
      </c>
      <c r="K981" t="s">
        <v>74</v>
      </c>
      <c r="L981" t="s">
        <v>74</v>
      </c>
      <c r="M981" t="s">
        <v>80</v>
      </c>
      <c r="N981" t="s">
        <v>138</v>
      </c>
      <c r="O981" t="s">
        <v>74</v>
      </c>
      <c r="P981" t="s">
        <v>74</v>
      </c>
      <c r="Q981" t="s">
        <v>74</v>
      </c>
      <c r="R981" t="s">
        <v>74</v>
      </c>
      <c r="S981" t="s">
        <v>74</v>
      </c>
      <c r="T981" t="s">
        <v>19043</v>
      </c>
      <c r="U981" t="s">
        <v>19044</v>
      </c>
      <c r="V981" t="s">
        <v>19045</v>
      </c>
      <c r="W981" t="s">
        <v>19046</v>
      </c>
      <c r="X981" t="s">
        <v>19047</v>
      </c>
      <c r="Y981" t="s">
        <v>19048</v>
      </c>
      <c r="Z981" t="s">
        <v>19049</v>
      </c>
      <c r="AA981" t="s">
        <v>19050</v>
      </c>
      <c r="AB981" t="s">
        <v>74</v>
      </c>
      <c r="AC981" t="s">
        <v>19051</v>
      </c>
      <c r="AD981" t="s">
        <v>19052</v>
      </c>
      <c r="AE981" t="s">
        <v>19053</v>
      </c>
      <c r="AF981" t="s">
        <v>74</v>
      </c>
      <c r="AG981">
        <v>37</v>
      </c>
      <c r="AH981">
        <v>9</v>
      </c>
      <c r="AI981">
        <v>9</v>
      </c>
      <c r="AJ981">
        <v>1</v>
      </c>
      <c r="AK981">
        <v>17</v>
      </c>
      <c r="AL981" t="s">
        <v>284</v>
      </c>
      <c r="AM981" t="s">
        <v>285</v>
      </c>
      <c r="AN981" t="s">
        <v>286</v>
      </c>
      <c r="AO981" t="s">
        <v>18067</v>
      </c>
      <c r="AP981" t="s">
        <v>18068</v>
      </c>
      <c r="AQ981" t="s">
        <v>74</v>
      </c>
      <c r="AR981" t="s">
        <v>18069</v>
      </c>
      <c r="AS981" t="s">
        <v>18070</v>
      </c>
      <c r="AT981" t="s">
        <v>3499</v>
      </c>
      <c r="AU981">
        <v>2019</v>
      </c>
      <c r="AV981">
        <v>87</v>
      </c>
      <c r="AW981" t="s">
        <v>74</v>
      </c>
      <c r="AX981" t="s">
        <v>74</v>
      </c>
      <c r="AY981" t="s">
        <v>74</v>
      </c>
      <c r="AZ981" t="s">
        <v>74</v>
      </c>
      <c r="BA981" t="s">
        <v>74</v>
      </c>
      <c r="BB981" t="s">
        <v>74</v>
      </c>
      <c r="BC981" t="s">
        <v>74</v>
      </c>
      <c r="BD981">
        <v>101100</v>
      </c>
      <c r="BE981" t="s">
        <v>19054</v>
      </c>
      <c r="BF981" t="str">
        <f>HYPERLINK("http://dx.doi.org/10.1016/j.dynatmoce.2019.101100","http://dx.doi.org/10.1016/j.dynatmoce.2019.101100")</f>
        <v>http://dx.doi.org/10.1016/j.dynatmoce.2019.101100</v>
      </c>
      <c r="BG981" t="s">
        <v>74</v>
      </c>
      <c r="BH981" t="s">
        <v>74</v>
      </c>
      <c r="BI981">
        <v>14</v>
      </c>
      <c r="BJ981" t="s">
        <v>18072</v>
      </c>
      <c r="BK981" t="s">
        <v>294</v>
      </c>
      <c r="BL981" t="s">
        <v>18072</v>
      </c>
      <c r="BM981" t="s">
        <v>18073</v>
      </c>
      <c r="BN981" t="s">
        <v>74</v>
      </c>
      <c r="BO981" t="s">
        <v>74</v>
      </c>
      <c r="BP981" t="s">
        <v>74</v>
      </c>
      <c r="BQ981" t="s">
        <v>74</v>
      </c>
      <c r="BR981" t="s">
        <v>108</v>
      </c>
      <c r="BS981" t="s">
        <v>19055</v>
      </c>
      <c r="BT981" t="str">
        <f>HYPERLINK("https%3A%2F%2Fwww.webofscience.com%2Fwos%2Fwoscc%2Ffull-record%2FWOS:000488137700008","View Full Record in Web of Science")</f>
        <v>View Full Record in Web of Science</v>
      </c>
    </row>
    <row r="982" spans="1:72" x14ac:dyDescent="0.15">
      <c r="A982" t="s">
        <v>133</v>
      </c>
      <c r="B982" t="s">
        <v>19056</v>
      </c>
      <c r="C982" t="s">
        <v>74</v>
      </c>
      <c r="D982" t="s">
        <v>74</v>
      </c>
      <c r="E982" t="s">
        <v>74</v>
      </c>
      <c r="F982" t="s">
        <v>19057</v>
      </c>
      <c r="G982" t="s">
        <v>74</v>
      </c>
      <c r="H982" t="s">
        <v>74</v>
      </c>
      <c r="I982" t="s">
        <v>19058</v>
      </c>
      <c r="J982" t="s">
        <v>6129</v>
      </c>
      <c r="K982" t="s">
        <v>74</v>
      </c>
      <c r="L982" t="s">
        <v>74</v>
      </c>
      <c r="M982" t="s">
        <v>80</v>
      </c>
      <c r="N982" t="s">
        <v>138</v>
      </c>
      <c r="O982" t="s">
        <v>74</v>
      </c>
      <c r="P982" t="s">
        <v>74</v>
      </c>
      <c r="Q982" t="s">
        <v>74</v>
      </c>
      <c r="R982" t="s">
        <v>74</v>
      </c>
      <c r="S982" t="s">
        <v>74</v>
      </c>
      <c r="T982" t="s">
        <v>19059</v>
      </c>
      <c r="U982" t="s">
        <v>19060</v>
      </c>
      <c r="V982" t="s">
        <v>19061</v>
      </c>
      <c r="W982" t="s">
        <v>19062</v>
      </c>
      <c r="X982" t="s">
        <v>19063</v>
      </c>
      <c r="Y982" t="s">
        <v>19064</v>
      </c>
      <c r="Z982" t="s">
        <v>19065</v>
      </c>
      <c r="AA982" t="s">
        <v>19066</v>
      </c>
      <c r="AB982" t="s">
        <v>19067</v>
      </c>
      <c r="AC982" t="s">
        <v>19068</v>
      </c>
      <c r="AD982" t="s">
        <v>19069</v>
      </c>
      <c r="AE982" t="s">
        <v>19070</v>
      </c>
      <c r="AF982" t="s">
        <v>74</v>
      </c>
      <c r="AG982">
        <v>51</v>
      </c>
      <c r="AH982">
        <v>16</v>
      </c>
      <c r="AI982">
        <v>18</v>
      </c>
      <c r="AJ982">
        <v>2</v>
      </c>
      <c r="AK982">
        <v>41</v>
      </c>
      <c r="AL982" t="s">
        <v>284</v>
      </c>
      <c r="AM982" t="s">
        <v>285</v>
      </c>
      <c r="AN982" t="s">
        <v>286</v>
      </c>
      <c r="AO982" t="s">
        <v>6142</v>
      </c>
      <c r="AP982" t="s">
        <v>6143</v>
      </c>
      <c r="AQ982" t="s">
        <v>74</v>
      </c>
      <c r="AR982" t="s">
        <v>6144</v>
      </c>
      <c r="AS982" t="s">
        <v>6145</v>
      </c>
      <c r="AT982" t="s">
        <v>16929</v>
      </c>
      <c r="AU982">
        <v>2019</v>
      </c>
      <c r="AV982">
        <v>521</v>
      </c>
      <c r="AW982" t="s">
        <v>74</v>
      </c>
      <c r="AX982" t="s">
        <v>74</v>
      </c>
      <c r="AY982" t="s">
        <v>74</v>
      </c>
      <c r="AZ982" t="s">
        <v>74</v>
      </c>
      <c r="BA982" t="s">
        <v>74</v>
      </c>
      <c r="BB982">
        <v>1</v>
      </c>
      <c r="BC982">
        <v>13</v>
      </c>
      <c r="BD982" t="s">
        <v>74</v>
      </c>
      <c r="BE982" t="s">
        <v>19071</v>
      </c>
      <c r="BF982" t="str">
        <f>HYPERLINK("http://dx.doi.org/10.1016/j.epsl.2019.05.019","http://dx.doi.org/10.1016/j.epsl.2019.05.019")</f>
        <v>http://dx.doi.org/10.1016/j.epsl.2019.05.019</v>
      </c>
      <c r="BG982" t="s">
        <v>74</v>
      </c>
      <c r="BH982" t="s">
        <v>74</v>
      </c>
      <c r="BI982">
        <v>13</v>
      </c>
      <c r="BJ982" t="s">
        <v>1067</v>
      </c>
      <c r="BK982" t="s">
        <v>294</v>
      </c>
      <c r="BL982" t="s">
        <v>1067</v>
      </c>
      <c r="BM982" t="s">
        <v>19072</v>
      </c>
      <c r="BN982" t="s">
        <v>74</v>
      </c>
      <c r="BO982" t="s">
        <v>8365</v>
      </c>
      <c r="BP982" t="s">
        <v>74</v>
      </c>
      <c r="BQ982" t="s">
        <v>74</v>
      </c>
      <c r="BR982" t="s">
        <v>108</v>
      </c>
      <c r="BS982" t="s">
        <v>19073</v>
      </c>
      <c r="BT982" t="str">
        <f>HYPERLINK("https%3A%2F%2Fwww.webofscience.com%2Fwos%2Fwoscc%2Ffull-record%2FWOS:000476963300001","View Full Record in Web of Science")</f>
        <v>View Full Record in Web of Science</v>
      </c>
    </row>
    <row r="983" spans="1:72" x14ac:dyDescent="0.15">
      <c r="A983" t="s">
        <v>133</v>
      </c>
      <c r="B983" t="s">
        <v>19074</v>
      </c>
      <c r="C983" t="s">
        <v>74</v>
      </c>
      <c r="D983" t="s">
        <v>74</v>
      </c>
      <c r="E983" t="s">
        <v>74</v>
      </c>
      <c r="F983" t="s">
        <v>19075</v>
      </c>
      <c r="G983" t="s">
        <v>74</v>
      </c>
      <c r="H983" t="s">
        <v>74</v>
      </c>
      <c r="I983" t="s">
        <v>19076</v>
      </c>
      <c r="J983" t="s">
        <v>19077</v>
      </c>
      <c r="K983" t="s">
        <v>74</v>
      </c>
      <c r="L983" t="s">
        <v>74</v>
      </c>
      <c r="M983" t="s">
        <v>80</v>
      </c>
      <c r="N983" t="s">
        <v>138</v>
      </c>
      <c r="O983" t="s">
        <v>74</v>
      </c>
      <c r="P983" t="s">
        <v>74</v>
      </c>
      <c r="Q983" t="s">
        <v>74</v>
      </c>
      <c r="R983" t="s">
        <v>74</v>
      </c>
      <c r="S983" t="s">
        <v>74</v>
      </c>
      <c r="T983" t="s">
        <v>19078</v>
      </c>
      <c r="U983" t="s">
        <v>19079</v>
      </c>
      <c r="V983" t="s">
        <v>19080</v>
      </c>
      <c r="W983" t="s">
        <v>19081</v>
      </c>
      <c r="X983" t="s">
        <v>19082</v>
      </c>
      <c r="Y983" t="s">
        <v>19083</v>
      </c>
      <c r="Z983" t="s">
        <v>19084</v>
      </c>
      <c r="AA983" t="s">
        <v>19085</v>
      </c>
      <c r="AB983" t="s">
        <v>19086</v>
      </c>
      <c r="AC983" t="s">
        <v>74</v>
      </c>
      <c r="AD983" t="s">
        <v>74</v>
      </c>
      <c r="AE983" t="s">
        <v>74</v>
      </c>
      <c r="AF983" t="s">
        <v>74</v>
      </c>
      <c r="AG983">
        <v>131</v>
      </c>
      <c r="AH983">
        <v>49</v>
      </c>
      <c r="AI983">
        <v>52</v>
      </c>
      <c r="AJ983">
        <v>2</v>
      </c>
      <c r="AK983">
        <v>27</v>
      </c>
      <c r="AL983" t="s">
        <v>429</v>
      </c>
      <c r="AM983" t="s">
        <v>430</v>
      </c>
      <c r="AN983" t="s">
        <v>431</v>
      </c>
      <c r="AO983" t="s">
        <v>19087</v>
      </c>
      <c r="AP983" t="s">
        <v>19088</v>
      </c>
      <c r="AQ983" t="s">
        <v>74</v>
      </c>
      <c r="AR983" t="s">
        <v>19089</v>
      </c>
      <c r="AS983" t="s">
        <v>19090</v>
      </c>
      <c r="AT983" t="s">
        <v>3499</v>
      </c>
      <c r="AU983">
        <v>2019</v>
      </c>
      <c r="AV983">
        <v>20</v>
      </c>
      <c r="AW983">
        <v>5</v>
      </c>
      <c r="AX983" t="s">
        <v>74</v>
      </c>
      <c r="AY983" t="s">
        <v>74</v>
      </c>
      <c r="AZ983" t="s">
        <v>74</v>
      </c>
      <c r="BA983" t="s">
        <v>74</v>
      </c>
      <c r="BB983">
        <v>977</v>
      </c>
      <c r="BC983">
        <v>992</v>
      </c>
      <c r="BD983" t="s">
        <v>74</v>
      </c>
      <c r="BE983" t="s">
        <v>19091</v>
      </c>
      <c r="BF983" t="str">
        <f>HYPERLINK("http://dx.doi.org/10.1111/faf.12392","http://dx.doi.org/10.1111/faf.12392")</f>
        <v>http://dx.doi.org/10.1111/faf.12392</v>
      </c>
      <c r="BG983" t="s">
        <v>74</v>
      </c>
      <c r="BH983" t="s">
        <v>74</v>
      </c>
      <c r="BI983">
        <v>16</v>
      </c>
      <c r="BJ983" t="s">
        <v>413</v>
      </c>
      <c r="BK983" t="s">
        <v>360</v>
      </c>
      <c r="BL983" t="s">
        <v>413</v>
      </c>
      <c r="BM983" t="s">
        <v>19092</v>
      </c>
      <c r="BN983" t="s">
        <v>74</v>
      </c>
      <c r="BO983" t="s">
        <v>1092</v>
      </c>
      <c r="BP983" t="s">
        <v>74</v>
      </c>
      <c r="BQ983" t="s">
        <v>74</v>
      </c>
      <c r="BR983" t="s">
        <v>108</v>
      </c>
      <c r="BS983" t="s">
        <v>19093</v>
      </c>
      <c r="BT983" t="str">
        <f>HYPERLINK("https%3A%2F%2Fwww.webofscience.com%2Fwos%2Fwoscc%2Ffull-record%2FWOS:000483722600011","View Full Record in Web of Science")</f>
        <v>View Full Record in Web of Science</v>
      </c>
    </row>
    <row r="984" spans="1:72" x14ac:dyDescent="0.15">
      <c r="A984" t="s">
        <v>133</v>
      </c>
      <c r="B984" t="s">
        <v>19094</v>
      </c>
      <c r="C984" t="s">
        <v>74</v>
      </c>
      <c r="D984" t="s">
        <v>74</v>
      </c>
      <c r="E984" t="s">
        <v>74</v>
      </c>
      <c r="F984" t="s">
        <v>19095</v>
      </c>
      <c r="G984" t="s">
        <v>74</v>
      </c>
      <c r="H984" t="s">
        <v>74</v>
      </c>
      <c r="I984" t="s">
        <v>19096</v>
      </c>
      <c r="J984" t="s">
        <v>19097</v>
      </c>
      <c r="K984" t="s">
        <v>74</v>
      </c>
      <c r="L984" t="s">
        <v>74</v>
      </c>
      <c r="M984" t="s">
        <v>80</v>
      </c>
      <c r="N984" t="s">
        <v>138</v>
      </c>
      <c r="O984" t="s">
        <v>74</v>
      </c>
      <c r="P984" t="s">
        <v>74</v>
      </c>
      <c r="Q984" t="s">
        <v>74</v>
      </c>
      <c r="R984" t="s">
        <v>74</v>
      </c>
      <c r="S984" t="s">
        <v>74</v>
      </c>
      <c r="T984" t="s">
        <v>19098</v>
      </c>
      <c r="U984" t="s">
        <v>19099</v>
      </c>
      <c r="V984" t="s">
        <v>19100</v>
      </c>
      <c r="W984" t="s">
        <v>19101</v>
      </c>
      <c r="X984" t="s">
        <v>74</v>
      </c>
      <c r="Y984" t="s">
        <v>19102</v>
      </c>
      <c r="Z984" t="s">
        <v>19103</v>
      </c>
      <c r="AA984" t="s">
        <v>74</v>
      </c>
      <c r="AB984" t="s">
        <v>74</v>
      </c>
      <c r="AC984" t="s">
        <v>74</v>
      </c>
      <c r="AD984" t="s">
        <v>74</v>
      </c>
      <c r="AE984" t="s">
        <v>74</v>
      </c>
      <c r="AF984" t="s">
        <v>74</v>
      </c>
      <c r="AG984">
        <v>128</v>
      </c>
      <c r="AH984">
        <v>1</v>
      </c>
      <c r="AI984">
        <v>1</v>
      </c>
      <c r="AJ984">
        <v>0</v>
      </c>
      <c r="AK984">
        <v>2</v>
      </c>
      <c r="AL984" t="s">
        <v>1346</v>
      </c>
      <c r="AM984" t="s">
        <v>1347</v>
      </c>
      <c r="AN984" t="s">
        <v>1348</v>
      </c>
      <c r="AO984" t="s">
        <v>19104</v>
      </c>
      <c r="AP984" t="s">
        <v>19105</v>
      </c>
      <c r="AQ984" t="s">
        <v>74</v>
      </c>
      <c r="AR984" t="s">
        <v>19106</v>
      </c>
      <c r="AS984" t="s">
        <v>19107</v>
      </c>
      <c r="AT984" t="s">
        <v>3499</v>
      </c>
      <c r="AU984">
        <v>2019</v>
      </c>
      <c r="AV984">
        <v>49</v>
      </c>
      <c r="AW984">
        <v>4</v>
      </c>
      <c r="AX984" t="s">
        <v>74</v>
      </c>
      <c r="AY984" t="s">
        <v>74</v>
      </c>
      <c r="AZ984" t="s">
        <v>74</v>
      </c>
      <c r="BA984" t="s">
        <v>74</v>
      </c>
      <c r="BB984">
        <v>384</v>
      </c>
      <c r="BC984">
        <v>419</v>
      </c>
      <c r="BD984" t="s">
        <v>74</v>
      </c>
      <c r="BE984" t="s">
        <v>19108</v>
      </c>
      <c r="BF984" t="str">
        <f>HYPERLINK("http://dx.doi.org/10.1525/hsns.2019.49.4.384","http://dx.doi.org/10.1525/hsns.2019.49.4.384")</f>
        <v>http://dx.doi.org/10.1525/hsns.2019.49.4.384</v>
      </c>
      <c r="BG984" t="s">
        <v>74</v>
      </c>
      <c r="BH984" t="s">
        <v>74</v>
      </c>
      <c r="BI984">
        <v>36</v>
      </c>
      <c r="BJ984" t="s">
        <v>18641</v>
      </c>
      <c r="BK984" t="s">
        <v>19109</v>
      </c>
      <c r="BL984" t="s">
        <v>18642</v>
      </c>
      <c r="BM984" t="s">
        <v>19110</v>
      </c>
      <c r="BN984" t="s">
        <v>74</v>
      </c>
      <c r="BO984" t="s">
        <v>74</v>
      </c>
      <c r="BP984" t="s">
        <v>74</v>
      </c>
      <c r="BQ984" t="s">
        <v>74</v>
      </c>
      <c r="BR984" t="s">
        <v>108</v>
      </c>
      <c r="BS984" t="s">
        <v>19111</v>
      </c>
      <c r="BT984" t="str">
        <f>HYPERLINK("https%3A%2F%2Fwww.webofscience.com%2Fwos%2Fwoscc%2Ffull-record%2FWOS:000573233200002","View Full Record in Web of Science")</f>
        <v>View Full Record in Web of Science</v>
      </c>
    </row>
    <row r="985" spans="1:72" x14ac:dyDescent="0.15">
      <c r="A985" t="s">
        <v>133</v>
      </c>
      <c r="B985" t="s">
        <v>19112</v>
      </c>
      <c r="C985" t="s">
        <v>74</v>
      </c>
      <c r="D985" t="s">
        <v>74</v>
      </c>
      <c r="E985" t="s">
        <v>74</v>
      </c>
      <c r="F985" t="s">
        <v>19113</v>
      </c>
      <c r="G985" t="s">
        <v>74</v>
      </c>
      <c r="H985" t="s">
        <v>74</v>
      </c>
      <c r="I985" t="s">
        <v>19114</v>
      </c>
      <c r="J985" t="s">
        <v>19115</v>
      </c>
      <c r="K985" t="s">
        <v>74</v>
      </c>
      <c r="L985" t="s">
        <v>74</v>
      </c>
      <c r="M985" t="s">
        <v>80</v>
      </c>
      <c r="N985" t="s">
        <v>138</v>
      </c>
      <c r="O985" t="s">
        <v>74</v>
      </c>
      <c r="P985" t="s">
        <v>74</v>
      </c>
      <c r="Q985" t="s">
        <v>74</v>
      </c>
      <c r="R985" t="s">
        <v>74</v>
      </c>
      <c r="S985" t="s">
        <v>74</v>
      </c>
      <c r="T985" t="s">
        <v>19116</v>
      </c>
      <c r="U985" t="s">
        <v>19117</v>
      </c>
      <c r="V985" t="s">
        <v>19118</v>
      </c>
      <c r="W985" t="s">
        <v>19119</v>
      </c>
      <c r="X985" t="s">
        <v>19120</v>
      </c>
      <c r="Y985" t="s">
        <v>19121</v>
      </c>
      <c r="Z985" t="s">
        <v>74</v>
      </c>
      <c r="AA985" t="s">
        <v>74</v>
      </c>
      <c r="AB985" t="s">
        <v>74</v>
      </c>
      <c r="AC985" t="s">
        <v>19122</v>
      </c>
      <c r="AD985" t="s">
        <v>19122</v>
      </c>
      <c r="AE985" t="s">
        <v>19123</v>
      </c>
      <c r="AF985" t="s">
        <v>74</v>
      </c>
      <c r="AG985">
        <v>49</v>
      </c>
      <c r="AH985">
        <v>0</v>
      </c>
      <c r="AI985">
        <v>0</v>
      </c>
      <c r="AJ985">
        <v>0</v>
      </c>
      <c r="AK985">
        <v>5</v>
      </c>
      <c r="AL985" t="s">
        <v>1758</v>
      </c>
      <c r="AM985" t="s">
        <v>1759</v>
      </c>
      <c r="AN985" t="s">
        <v>1760</v>
      </c>
      <c r="AO985" t="s">
        <v>19124</v>
      </c>
      <c r="AP985" t="s">
        <v>19125</v>
      </c>
      <c r="AQ985" t="s">
        <v>74</v>
      </c>
      <c r="AR985" t="s">
        <v>19126</v>
      </c>
      <c r="AS985" t="s">
        <v>19127</v>
      </c>
      <c r="AT985" t="s">
        <v>3499</v>
      </c>
      <c r="AU985">
        <v>2019</v>
      </c>
      <c r="AV985">
        <v>48</v>
      </c>
      <c r="AW985">
        <v>2</v>
      </c>
      <c r="AX985" t="s">
        <v>74</v>
      </c>
      <c r="AY985" t="s">
        <v>74</v>
      </c>
      <c r="AZ985" t="s">
        <v>74</v>
      </c>
      <c r="BA985" t="s">
        <v>74</v>
      </c>
      <c r="BB985">
        <v>427</v>
      </c>
      <c r="BC985">
        <v>438</v>
      </c>
      <c r="BD985" t="s">
        <v>74</v>
      </c>
      <c r="BE985" t="s">
        <v>19128</v>
      </c>
      <c r="BF985" t="str">
        <f>HYPERLINK("http://dx.doi.org/10.1111/1095-9270.12354","http://dx.doi.org/10.1111/1095-9270.12354")</f>
        <v>http://dx.doi.org/10.1111/1095-9270.12354</v>
      </c>
      <c r="BG985" t="s">
        <v>74</v>
      </c>
      <c r="BH985" t="s">
        <v>74</v>
      </c>
      <c r="BI985">
        <v>12</v>
      </c>
      <c r="BJ985" t="s">
        <v>18814</v>
      </c>
      <c r="BK985" t="s">
        <v>16447</v>
      </c>
      <c r="BL985" t="s">
        <v>18814</v>
      </c>
      <c r="BM985" t="s">
        <v>19129</v>
      </c>
      <c r="BN985" t="s">
        <v>74</v>
      </c>
      <c r="BO985" t="s">
        <v>638</v>
      </c>
      <c r="BP985" t="s">
        <v>74</v>
      </c>
      <c r="BQ985" t="s">
        <v>74</v>
      </c>
      <c r="BR985" t="s">
        <v>108</v>
      </c>
      <c r="BS985" t="s">
        <v>19130</v>
      </c>
      <c r="BT985" t="str">
        <f>HYPERLINK("https%3A%2F%2Fwww.webofscience.com%2Fwos%2Fwoscc%2Ffull-record%2FWOS:000484476600012","View Full Record in Web of Science")</f>
        <v>View Full Record in Web of Science</v>
      </c>
    </row>
    <row r="986" spans="1:72" x14ac:dyDescent="0.15">
      <c r="A986" t="s">
        <v>133</v>
      </c>
      <c r="B986" t="s">
        <v>19131</v>
      </c>
      <c r="C986" t="s">
        <v>74</v>
      </c>
      <c r="D986" t="s">
        <v>74</v>
      </c>
      <c r="E986" t="s">
        <v>74</v>
      </c>
      <c r="F986" t="s">
        <v>19132</v>
      </c>
      <c r="G986" t="s">
        <v>74</v>
      </c>
      <c r="H986" t="s">
        <v>74</v>
      </c>
      <c r="I986" t="s">
        <v>19133</v>
      </c>
      <c r="J986" t="s">
        <v>10855</v>
      </c>
      <c r="K986" t="s">
        <v>74</v>
      </c>
      <c r="L986" t="s">
        <v>74</v>
      </c>
      <c r="M986" t="s">
        <v>80</v>
      </c>
      <c r="N986" t="s">
        <v>138</v>
      </c>
      <c r="O986" t="s">
        <v>74</v>
      </c>
      <c r="P986" t="s">
        <v>74</v>
      </c>
      <c r="Q986" t="s">
        <v>74</v>
      </c>
      <c r="R986" t="s">
        <v>74</v>
      </c>
      <c r="S986" t="s">
        <v>74</v>
      </c>
      <c r="T986" t="s">
        <v>19134</v>
      </c>
      <c r="U986" t="s">
        <v>19135</v>
      </c>
      <c r="V986" t="s">
        <v>19136</v>
      </c>
      <c r="W986" t="s">
        <v>19137</v>
      </c>
      <c r="X986" t="s">
        <v>19138</v>
      </c>
      <c r="Y986" t="s">
        <v>19139</v>
      </c>
      <c r="Z986" t="s">
        <v>19140</v>
      </c>
      <c r="AA986" t="s">
        <v>19141</v>
      </c>
      <c r="AB986" t="s">
        <v>19142</v>
      </c>
      <c r="AC986" t="s">
        <v>19143</v>
      </c>
      <c r="AD986" t="s">
        <v>19144</v>
      </c>
      <c r="AE986" t="s">
        <v>19145</v>
      </c>
      <c r="AF986" t="s">
        <v>74</v>
      </c>
      <c r="AG986">
        <v>71</v>
      </c>
      <c r="AH986">
        <v>28</v>
      </c>
      <c r="AI986">
        <v>28</v>
      </c>
      <c r="AJ986">
        <v>7</v>
      </c>
      <c r="AK986">
        <v>48</v>
      </c>
      <c r="AL986" t="s">
        <v>429</v>
      </c>
      <c r="AM986" t="s">
        <v>430</v>
      </c>
      <c r="AN986" t="s">
        <v>431</v>
      </c>
      <c r="AO986" t="s">
        <v>10865</v>
      </c>
      <c r="AP986" t="s">
        <v>10866</v>
      </c>
      <c r="AQ986" t="s">
        <v>74</v>
      </c>
      <c r="AR986" t="s">
        <v>10867</v>
      </c>
      <c r="AS986" t="s">
        <v>10868</v>
      </c>
      <c r="AT986" t="s">
        <v>3499</v>
      </c>
      <c r="AU986">
        <v>2019</v>
      </c>
      <c r="AV986">
        <v>88</v>
      </c>
      <c r="AW986">
        <v>9</v>
      </c>
      <c r="AX986" t="s">
        <v>74</v>
      </c>
      <c r="AY986" t="s">
        <v>74</v>
      </c>
      <c r="AZ986" t="s">
        <v>74</v>
      </c>
      <c r="BA986" t="s">
        <v>74</v>
      </c>
      <c r="BB986">
        <v>1366</v>
      </c>
      <c r="BC986">
        <v>1378</v>
      </c>
      <c r="BD986" t="s">
        <v>74</v>
      </c>
      <c r="BE986" t="s">
        <v>19146</v>
      </c>
      <c r="BF986" t="str">
        <f>HYPERLINK("http://dx.doi.org/10.1111/1365-2656.13009","http://dx.doi.org/10.1111/1365-2656.13009")</f>
        <v>http://dx.doi.org/10.1111/1365-2656.13009</v>
      </c>
      <c r="BG986" t="s">
        <v>74</v>
      </c>
      <c r="BH986" t="s">
        <v>74</v>
      </c>
      <c r="BI986">
        <v>13</v>
      </c>
      <c r="BJ986" t="s">
        <v>10870</v>
      </c>
      <c r="BK986" t="s">
        <v>294</v>
      </c>
      <c r="BL986" t="s">
        <v>10871</v>
      </c>
      <c r="BM986" t="s">
        <v>19147</v>
      </c>
      <c r="BN986">
        <v>31187479</v>
      </c>
      <c r="BO986" t="s">
        <v>588</v>
      </c>
      <c r="BP986" t="s">
        <v>74</v>
      </c>
      <c r="BQ986" t="s">
        <v>74</v>
      </c>
      <c r="BR986" t="s">
        <v>108</v>
      </c>
      <c r="BS986" t="s">
        <v>19148</v>
      </c>
      <c r="BT986" t="str">
        <f>HYPERLINK("https%3A%2F%2Fwww.webofscience.com%2Fwos%2Fwoscc%2Ffull-record%2FWOS:000485030800009","View Full Record in Web of Science")</f>
        <v>View Full Record in Web of Science</v>
      </c>
    </row>
    <row r="987" spans="1:72" x14ac:dyDescent="0.15">
      <c r="A987" t="s">
        <v>133</v>
      </c>
      <c r="B987" t="s">
        <v>19149</v>
      </c>
      <c r="C987" t="s">
        <v>74</v>
      </c>
      <c r="D987" t="s">
        <v>74</v>
      </c>
      <c r="E987" t="s">
        <v>74</v>
      </c>
      <c r="F987" t="s">
        <v>19150</v>
      </c>
      <c r="G987" t="s">
        <v>74</v>
      </c>
      <c r="H987" t="s">
        <v>74</v>
      </c>
      <c r="I987" t="s">
        <v>19151</v>
      </c>
      <c r="J987" t="s">
        <v>19152</v>
      </c>
      <c r="K987" t="s">
        <v>74</v>
      </c>
      <c r="L987" t="s">
        <v>74</v>
      </c>
      <c r="M987" t="s">
        <v>80</v>
      </c>
      <c r="N987" t="s">
        <v>138</v>
      </c>
      <c r="O987" t="s">
        <v>74</v>
      </c>
      <c r="P987" t="s">
        <v>74</v>
      </c>
      <c r="Q987" t="s">
        <v>74</v>
      </c>
      <c r="R987" t="s">
        <v>74</v>
      </c>
      <c r="S987" t="s">
        <v>74</v>
      </c>
      <c r="T987" t="s">
        <v>19153</v>
      </c>
      <c r="U987" t="s">
        <v>19154</v>
      </c>
      <c r="V987" t="s">
        <v>19155</v>
      </c>
      <c r="W987" t="s">
        <v>19156</v>
      </c>
      <c r="X987" t="s">
        <v>19157</v>
      </c>
      <c r="Y987" t="s">
        <v>19158</v>
      </c>
      <c r="Z987" t="s">
        <v>19159</v>
      </c>
      <c r="AA987" t="s">
        <v>19160</v>
      </c>
      <c r="AB987" t="s">
        <v>19161</v>
      </c>
      <c r="AC987" t="s">
        <v>19162</v>
      </c>
      <c r="AD987" t="s">
        <v>19163</v>
      </c>
      <c r="AE987" t="s">
        <v>19164</v>
      </c>
      <c r="AF987" t="s">
        <v>74</v>
      </c>
      <c r="AG987">
        <v>47</v>
      </c>
      <c r="AH987">
        <v>8</v>
      </c>
      <c r="AI987">
        <v>9</v>
      </c>
      <c r="AJ987">
        <v>0</v>
      </c>
      <c r="AK987">
        <v>12</v>
      </c>
      <c r="AL987" t="s">
        <v>683</v>
      </c>
      <c r="AM987" t="s">
        <v>684</v>
      </c>
      <c r="AN987" t="s">
        <v>685</v>
      </c>
      <c r="AO987" t="s">
        <v>74</v>
      </c>
      <c r="AP987" t="s">
        <v>19165</v>
      </c>
      <c r="AQ987" t="s">
        <v>74</v>
      </c>
      <c r="AR987" t="s">
        <v>19166</v>
      </c>
      <c r="AS987" t="s">
        <v>19167</v>
      </c>
      <c r="AT987" t="s">
        <v>3499</v>
      </c>
      <c r="AU987">
        <v>2019</v>
      </c>
      <c r="AV987">
        <v>7</v>
      </c>
      <c r="AW987">
        <v>9</v>
      </c>
      <c r="AX987" t="s">
        <v>74</v>
      </c>
      <c r="AY987" t="s">
        <v>74</v>
      </c>
      <c r="AZ987" t="s">
        <v>74</v>
      </c>
      <c r="BA987" t="s">
        <v>74</v>
      </c>
      <c r="BB987" t="s">
        <v>74</v>
      </c>
      <c r="BC987" t="s">
        <v>74</v>
      </c>
      <c r="BD987">
        <v>285</v>
      </c>
      <c r="BE987" t="s">
        <v>19168</v>
      </c>
      <c r="BF987" t="str">
        <f>HYPERLINK("http://dx.doi.org/10.3390/jmse7090285","http://dx.doi.org/10.3390/jmse7090285")</f>
        <v>http://dx.doi.org/10.3390/jmse7090285</v>
      </c>
      <c r="BG987" t="s">
        <v>74</v>
      </c>
      <c r="BH987" t="s">
        <v>74</v>
      </c>
      <c r="BI987">
        <v>16</v>
      </c>
      <c r="BJ987" t="s">
        <v>19169</v>
      </c>
      <c r="BK987" t="s">
        <v>294</v>
      </c>
      <c r="BL987" t="s">
        <v>19170</v>
      </c>
      <c r="BM987" t="s">
        <v>19171</v>
      </c>
      <c r="BN987" t="s">
        <v>74</v>
      </c>
      <c r="BO987" t="s">
        <v>2261</v>
      </c>
      <c r="BP987" t="s">
        <v>74</v>
      </c>
      <c r="BQ987" t="s">
        <v>74</v>
      </c>
      <c r="BR987" t="s">
        <v>108</v>
      </c>
      <c r="BS987" t="s">
        <v>19172</v>
      </c>
      <c r="BT987" t="str">
        <f>HYPERLINK("https%3A%2F%2Fwww.webofscience.com%2Fwos%2Fwoscc%2Ffull-record%2FWOS:000487981700036","View Full Record in Web of Science")</f>
        <v>View Full Record in Web of Science</v>
      </c>
    </row>
    <row r="988" spans="1:72" x14ac:dyDescent="0.15">
      <c r="A988" t="s">
        <v>133</v>
      </c>
      <c r="B988" t="s">
        <v>19173</v>
      </c>
      <c r="C988" t="s">
        <v>74</v>
      </c>
      <c r="D988" t="s">
        <v>74</v>
      </c>
      <c r="E988" t="s">
        <v>74</v>
      </c>
      <c r="F988" t="s">
        <v>19174</v>
      </c>
      <c r="G988" t="s">
        <v>74</v>
      </c>
      <c r="H988" t="s">
        <v>74</v>
      </c>
      <c r="I988" t="s">
        <v>19175</v>
      </c>
      <c r="J988" t="s">
        <v>19176</v>
      </c>
      <c r="K988" t="s">
        <v>74</v>
      </c>
      <c r="L988" t="s">
        <v>74</v>
      </c>
      <c r="M988" t="s">
        <v>80</v>
      </c>
      <c r="N988" t="s">
        <v>138</v>
      </c>
      <c r="O988" t="s">
        <v>74</v>
      </c>
      <c r="P988" t="s">
        <v>74</v>
      </c>
      <c r="Q988" t="s">
        <v>74</v>
      </c>
      <c r="R988" t="s">
        <v>74</v>
      </c>
      <c r="S988" t="s">
        <v>74</v>
      </c>
      <c r="T988" t="s">
        <v>19177</v>
      </c>
      <c r="U988" t="s">
        <v>19178</v>
      </c>
      <c r="V988" t="s">
        <v>19179</v>
      </c>
      <c r="W988" t="s">
        <v>19180</v>
      </c>
      <c r="X988" t="s">
        <v>19181</v>
      </c>
      <c r="Y988" t="s">
        <v>19182</v>
      </c>
      <c r="Z988" t="s">
        <v>19183</v>
      </c>
      <c r="AA988" t="s">
        <v>19184</v>
      </c>
      <c r="AB988" t="s">
        <v>19185</v>
      </c>
      <c r="AC988" t="s">
        <v>19186</v>
      </c>
      <c r="AD988" t="s">
        <v>19187</v>
      </c>
      <c r="AE988" t="s">
        <v>19188</v>
      </c>
      <c r="AF988" t="s">
        <v>74</v>
      </c>
      <c r="AG988">
        <v>81</v>
      </c>
      <c r="AH988">
        <v>18</v>
      </c>
      <c r="AI988">
        <v>19</v>
      </c>
      <c r="AJ988">
        <v>0</v>
      </c>
      <c r="AK988">
        <v>28</v>
      </c>
      <c r="AL988" t="s">
        <v>284</v>
      </c>
      <c r="AM988" t="s">
        <v>285</v>
      </c>
      <c r="AN988" t="s">
        <v>286</v>
      </c>
      <c r="AO988" t="s">
        <v>19189</v>
      </c>
      <c r="AP988" t="s">
        <v>19190</v>
      </c>
      <c r="AQ988" t="s">
        <v>74</v>
      </c>
      <c r="AR988" t="s">
        <v>19191</v>
      </c>
      <c r="AS988" t="s">
        <v>19192</v>
      </c>
      <c r="AT988" t="s">
        <v>16929</v>
      </c>
      <c r="AU988">
        <v>2019</v>
      </c>
      <c r="AV988">
        <v>381</v>
      </c>
      <c r="AW988" t="s">
        <v>74</v>
      </c>
      <c r="AX988" t="s">
        <v>74</v>
      </c>
      <c r="AY988" t="s">
        <v>74</v>
      </c>
      <c r="AZ988" t="s">
        <v>74</v>
      </c>
      <c r="BA988" t="s">
        <v>74</v>
      </c>
      <c r="BB988">
        <v>57</v>
      </c>
      <c r="BC988">
        <v>82</v>
      </c>
      <c r="BD988" t="s">
        <v>74</v>
      </c>
      <c r="BE988" t="s">
        <v>19193</v>
      </c>
      <c r="BF988" t="str">
        <f>HYPERLINK("http://dx.doi.org/10.1016/j.jvolgeores.2019.05.009","http://dx.doi.org/10.1016/j.jvolgeores.2019.05.009")</f>
        <v>http://dx.doi.org/10.1016/j.jvolgeores.2019.05.009</v>
      </c>
      <c r="BG988" t="s">
        <v>74</v>
      </c>
      <c r="BH988" t="s">
        <v>74</v>
      </c>
      <c r="BI988">
        <v>26</v>
      </c>
      <c r="BJ988" t="s">
        <v>849</v>
      </c>
      <c r="BK988" t="s">
        <v>294</v>
      </c>
      <c r="BL988" t="s">
        <v>850</v>
      </c>
      <c r="BM988" t="s">
        <v>19194</v>
      </c>
      <c r="BN988" t="s">
        <v>74</v>
      </c>
      <c r="BO988" t="s">
        <v>666</v>
      </c>
      <c r="BP988" t="s">
        <v>74</v>
      </c>
      <c r="BQ988" t="s">
        <v>74</v>
      </c>
      <c r="BR988" t="s">
        <v>108</v>
      </c>
      <c r="BS988" t="s">
        <v>19195</v>
      </c>
      <c r="BT988" t="str">
        <f>HYPERLINK("https%3A%2F%2Fwww.webofscience.com%2Fwos%2Fwoscc%2Ffull-record%2FWOS:000480378900005","View Full Record in Web of Science")</f>
        <v>View Full Record in Web of Science</v>
      </c>
    </row>
    <row r="989" spans="1:72" x14ac:dyDescent="0.15">
      <c r="A989" t="s">
        <v>133</v>
      </c>
      <c r="B989" t="s">
        <v>19196</v>
      </c>
      <c r="C989" t="s">
        <v>74</v>
      </c>
      <c r="D989" t="s">
        <v>74</v>
      </c>
      <c r="E989" t="s">
        <v>74</v>
      </c>
      <c r="F989" t="s">
        <v>19197</v>
      </c>
      <c r="G989" t="s">
        <v>74</v>
      </c>
      <c r="H989" t="s">
        <v>74</v>
      </c>
      <c r="I989" t="s">
        <v>19198</v>
      </c>
      <c r="J989" t="s">
        <v>5556</v>
      </c>
      <c r="K989" t="s">
        <v>74</v>
      </c>
      <c r="L989" t="s">
        <v>74</v>
      </c>
      <c r="M989" t="s">
        <v>80</v>
      </c>
      <c r="N989" t="s">
        <v>138</v>
      </c>
      <c r="O989" t="s">
        <v>74</v>
      </c>
      <c r="P989" t="s">
        <v>74</v>
      </c>
      <c r="Q989" t="s">
        <v>74</v>
      </c>
      <c r="R989" t="s">
        <v>74</v>
      </c>
      <c r="S989" t="s">
        <v>74</v>
      </c>
      <c r="T989" t="s">
        <v>19199</v>
      </c>
      <c r="U989" t="s">
        <v>19200</v>
      </c>
      <c r="V989" t="s">
        <v>19201</v>
      </c>
      <c r="W989" t="s">
        <v>19202</v>
      </c>
      <c r="X989" t="s">
        <v>19203</v>
      </c>
      <c r="Y989" t="s">
        <v>19204</v>
      </c>
      <c r="Z989" t="s">
        <v>19205</v>
      </c>
      <c r="AA989" t="s">
        <v>19206</v>
      </c>
      <c r="AB989" t="s">
        <v>19207</v>
      </c>
      <c r="AC989" t="s">
        <v>19208</v>
      </c>
      <c r="AD989" t="s">
        <v>19209</v>
      </c>
      <c r="AE989" t="s">
        <v>19210</v>
      </c>
      <c r="AF989" t="s">
        <v>74</v>
      </c>
      <c r="AG989">
        <v>64</v>
      </c>
      <c r="AH989">
        <v>6</v>
      </c>
      <c r="AI989">
        <v>7</v>
      </c>
      <c r="AJ989">
        <v>1</v>
      </c>
      <c r="AK989">
        <v>16</v>
      </c>
      <c r="AL989" t="s">
        <v>709</v>
      </c>
      <c r="AM989" t="s">
        <v>380</v>
      </c>
      <c r="AN989" t="s">
        <v>710</v>
      </c>
      <c r="AO989" t="s">
        <v>5569</v>
      </c>
      <c r="AP989" t="s">
        <v>5570</v>
      </c>
      <c r="AQ989" t="s">
        <v>74</v>
      </c>
      <c r="AR989" t="s">
        <v>5571</v>
      </c>
      <c r="AS989" t="s">
        <v>5572</v>
      </c>
      <c r="AT989" t="s">
        <v>3499</v>
      </c>
      <c r="AU989">
        <v>2019</v>
      </c>
      <c r="AV989">
        <v>150</v>
      </c>
      <c r="AW989" t="s">
        <v>74</v>
      </c>
      <c r="AX989" t="s">
        <v>74</v>
      </c>
      <c r="AY989" t="s">
        <v>74</v>
      </c>
      <c r="AZ989" t="s">
        <v>74</v>
      </c>
      <c r="BA989" t="s">
        <v>74</v>
      </c>
      <c r="BB989" t="s">
        <v>74</v>
      </c>
      <c r="BC989" t="s">
        <v>74</v>
      </c>
      <c r="BD989">
        <v>104755</v>
      </c>
      <c r="BE989" t="s">
        <v>19211</v>
      </c>
      <c r="BF989" t="str">
        <f>HYPERLINK("http://dx.doi.org/10.1016/j.marenvres.2019.104755","http://dx.doi.org/10.1016/j.marenvres.2019.104755")</f>
        <v>http://dx.doi.org/10.1016/j.marenvres.2019.104755</v>
      </c>
      <c r="BG989" t="s">
        <v>74</v>
      </c>
      <c r="BH989" t="s">
        <v>74</v>
      </c>
      <c r="BI989">
        <v>8</v>
      </c>
      <c r="BJ989" t="s">
        <v>5574</v>
      </c>
      <c r="BK989" t="s">
        <v>294</v>
      </c>
      <c r="BL989" t="s">
        <v>5575</v>
      </c>
      <c r="BM989" t="s">
        <v>19212</v>
      </c>
      <c r="BN989">
        <v>31299541</v>
      </c>
      <c r="BO989" t="s">
        <v>74</v>
      </c>
      <c r="BP989" t="s">
        <v>74</v>
      </c>
      <c r="BQ989" t="s">
        <v>74</v>
      </c>
      <c r="BR989" t="s">
        <v>108</v>
      </c>
      <c r="BS989" t="s">
        <v>19213</v>
      </c>
      <c r="BT989" t="str">
        <f>HYPERLINK("https%3A%2F%2Fwww.webofscience.com%2Fwos%2Fwoscc%2Ffull-record%2FWOS:000500180400005","View Full Record in Web of Science")</f>
        <v>View Full Record in Web of Science</v>
      </c>
    </row>
    <row r="990" spans="1:72" x14ac:dyDescent="0.15">
      <c r="A990" t="s">
        <v>133</v>
      </c>
      <c r="B990" t="s">
        <v>19214</v>
      </c>
      <c r="C990" t="s">
        <v>74</v>
      </c>
      <c r="D990" t="s">
        <v>74</v>
      </c>
      <c r="E990" t="s">
        <v>74</v>
      </c>
      <c r="F990" t="s">
        <v>19215</v>
      </c>
      <c r="G990" t="s">
        <v>74</v>
      </c>
      <c r="H990" t="s">
        <v>74</v>
      </c>
      <c r="I990" t="s">
        <v>19216</v>
      </c>
      <c r="J990" t="s">
        <v>5556</v>
      </c>
      <c r="K990" t="s">
        <v>74</v>
      </c>
      <c r="L990" t="s">
        <v>74</v>
      </c>
      <c r="M990" t="s">
        <v>80</v>
      </c>
      <c r="N990" t="s">
        <v>138</v>
      </c>
      <c r="O990" t="s">
        <v>74</v>
      </c>
      <c r="P990" t="s">
        <v>74</v>
      </c>
      <c r="Q990" t="s">
        <v>74</v>
      </c>
      <c r="R990" t="s">
        <v>74</v>
      </c>
      <c r="S990" t="s">
        <v>74</v>
      </c>
      <c r="T990" t="s">
        <v>19217</v>
      </c>
      <c r="U990" t="s">
        <v>19218</v>
      </c>
      <c r="V990" t="s">
        <v>19219</v>
      </c>
      <c r="W990" t="s">
        <v>19220</v>
      </c>
      <c r="X990" t="s">
        <v>19221</v>
      </c>
      <c r="Y990" t="s">
        <v>19222</v>
      </c>
      <c r="Z990" t="s">
        <v>19223</v>
      </c>
      <c r="AA990" t="s">
        <v>19224</v>
      </c>
      <c r="AB990" t="s">
        <v>19225</v>
      </c>
      <c r="AC990" t="s">
        <v>19226</v>
      </c>
      <c r="AD990" t="s">
        <v>19227</v>
      </c>
      <c r="AE990" t="s">
        <v>19228</v>
      </c>
      <c r="AF990" t="s">
        <v>74</v>
      </c>
      <c r="AG990">
        <v>79</v>
      </c>
      <c r="AH990">
        <v>21</v>
      </c>
      <c r="AI990">
        <v>23</v>
      </c>
      <c r="AJ990">
        <v>4</v>
      </c>
      <c r="AK990">
        <v>42</v>
      </c>
      <c r="AL990" t="s">
        <v>709</v>
      </c>
      <c r="AM990" t="s">
        <v>380</v>
      </c>
      <c r="AN990" t="s">
        <v>710</v>
      </c>
      <c r="AO990" t="s">
        <v>5569</v>
      </c>
      <c r="AP990" t="s">
        <v>5570</v>
      </c>
      <c r="AQ990" t="s">
        <v>74</v>
      </c>
      <c r="AR990" t="s">
        <v>5571</v>
      </c>
      <c r="AS990" t="s">
        <v>5572</v>
      </c>
      <c r="AT990" t="s">
        <v>3499</v>
      </c>
      <c r="AU990">
        <v>2019</v>
      </c>
      <c r="AV990">
        <v>150</v>
      </c>
      <c r="AW990" t="s">
        <v>74</v>
      </c>
      <c r="AX990" t="s">
        <v>74</v>
      </c>
      <c r="AY990" t="s">
        <v>74</v>
      </c>
      <c r="AZ990" t="s">
        <v>74</v>
      </c>
      <c r="BA990" t="s">
        <v>74</v>
      </c>
      <c r="BB990" t="s">
        <v>74</v>
      </c>
      <c r="BC990" t="s">
        <v>74</v>
      </c>
      <c r="BD990">
        <v>104779</v>
      </c>
      <c r="BE990" t="s">
        <v>19229</v>
      </c>
      <c r="BF990" t="str">
        <f>HYPERLINK("http://dx.doi.org/10.1016/j.marenvres.2019.104779","http://dx.doi.org/10.1016/j.marenvres.2019.104779")</f>
        <v>http://dx.doi.org/10.1016/j.marenvres.2019.104779</v>
      </c>
      <c r="BG990" t="s">
        <v>74</v>
      </c>
      <c r="BH990" t="s">
        <v>74</v>
      </c>
      <c r="BI990">
        <v>16</v>
      </c>
      <c r="BJ990" t="s">
        <v>5574</v>
      </c>
      <c r="BK990" t="s">
        <v>294</v>
      </c>
      <c r="BL990" t="s">
        <v>5575</v>
      </c>
      <c r="BM990" t="s">
        <v>19212</v>
      </c>
      <c r="BN990">
        <v>31450038</v>
      </c>
      <c r="BO990" t="s">
        <v>74</v>
      </c>
      <c r="BP990" t="s">
        <v>74</v>
      </c>
      <c r="BQ990" t="s">
        <v>74</v>
      </c>
      <c r="BR990" t="s">
        <v>108</v>
      </c>
      <c r="BS990" t="s">
        <v>19230</v>
      </c>
      <c r="BT990" t="str">
        <f>HYPERLINK("https%3A%2F%2Fwww.webofscience.com%2Fwos%2Fwoscc%2Ffull-record%2FWOS:000500180400017","View Full Record in Web of Science")</f>
        <v>View Full Record in Web of Science</v>
      </c>
    </row>
    <row r="991" spans="1:72" x14ac:dyDescent="0.15">
      <c r="A991" t="s">
        <v>133</v>
      </c>
      <c r="B991" t="s">
        <v>19231</v>
      </c>
      <c r="C991" t="s">
        <v>74</v>
      </c>
      <c r="D991" t="s">
        <v>74</v>
      </c>
      <c r="E991" t="s">
        <v>74</v>
      </c>
      <c r="F991" t="s">
        <v>19232</v>
      </c>
      <c r="G991" t="s">
        <v>74</v>
      </c>
      <c r="H991" t="s">
        <v>74</v>
      </c>
      <c r="I991" t="s">
        <v>19233</v>
      </c>
      <c r="J991" t="s">
        <v>5556</v>
      </c>
      <c r="K991" t="s">
        <v>74</v>
      </c>
      <c r="L991" t="s">
        <v>74</v>
      </c>
      <c r="M991" t="s">
        <v>80</v>
      </c>
      <c r="N991" t="s">
        <v>138</v>
      </c>
      <c r="O991" t="s">
        <v>74</v>
      </c>
      <c r="P991" t="s">
        <v>74</v>
      </c>
      <c r="Q991" t="s">
        <v>74</v>
      </c>
      <c r="R991" t="s">
        <v>74</v>
      </c>
      <c r="S991" t="s">
        <v>74</v>
      </c>
      <c r="T991" t="s">
        <v>19234</v>
      </c>
      <c r="U991" t="s">
        <v>19235</v>
      </c>
      <c r="V991" t="s">
        <v>19236</v>
      </c>
      <c r="W991" t="s">
        <v>19237</v>
      </c>
      <c r="X991" t="s">
        <v>19238</v>
      </c>
      <c r="Y991" t="s">
        <v>19239</v>
      </c>
      <c r="Z991" t="s">
        <v>19240</v>
      </c>
      <c r="AA991" t="s">
        <v>19241</v>
      </c>
      <c r="AB991" t="s">
        <v>19242</v>
      </c>
      <c r="AC991" t="s">
        <v>19243</v>
      </c>
      <c r="AD991" t="s">
        <v>19244</v>
      </c>
      <c r="AE991" t="s">
        <v>19245</v>
      </c>
      <c r="AF991" t="s">
        <v>74</v>
      </c>
      <c r="AG991">
        <v>61</v>
      </c>
      <c r="AH991">
        <v>15</v>
      </c>
      <c r="AI991">
        <v>16</v>
      </c>
      <c r="AJ991">
        <v>3</v>
      </c>
      <c r="AK991">
        <v>26</v>
      </c>
      <c r="AL991" t="s">
        <v>709</v>
      </c>
      <c r="AM991" t="s">
        <v>380</v>
      </c>
      <c r="AN991" t="s">
        <v>710</v>
      </c>
      <c r="AO991" t="s">
        <v>5569</v>
      </c>
      <c r="AP991" t="s">
        <v>5570</v>
      </c>
      <c r="AQ991" t="s">
        <v>74</v>
      </c>
      <c r="AR991" t="s">
        <v>5571</v>
      </c>
      <c r="AS991" t="s">
        <v>5572</v>
      </c>
      <c r="AT991" t="s">
        <v>3499</v>
      </c>
      <c r="AU991">
        <v>2019</v>
      </c>
      <c r="AV991">
        <v>150</v>
      </c>
      <c r="AW991" t="s">
        <v>74</v>
      </c>
      <c r="AX991" t="s">
        <v>74</v>
      </c>
      <c r="AY991" t="s">
        <v>74</v>
      </c>
      <c r="AZ991" t="s">
        <v>74</v>
      </c>
      <c r="BA991" t="s">
        <v>74</v>
      </c>
      <c r="BB991" t="s">
        <v>74</v>
      </c>
      <c r="BC991" t="s">
        <v>74</v>
      </c>
      <c r="BD991">
        <v>104757</v>
      </c>
      <c r="BE991" t="s">
        <v>19246</v>
      </c>
      <c r="BF991" t="str">
        <f>HYPERLINK("http://dx.doi.org/10.1016/j.marenvres.2019.104757","http://dx.doi.org/10.1016/j.marenvres.2019.104757")</f>
        <v>http://dx.doi.org/10.1016/j.marenvres.2019.104757</v>
      </c>
      <c r="BG991" t="s">
        <v>74</v>
      </c>
      <c r="BH991" t="s">
        <v>74</v>
      </c>
      <c r="BI991">
        <v>10</v>
      </c>
      <c r="BJ991" t="s">
        <v>5574</v>
      </c>
      <c r="BK991" t="s">
        <v>294</v>
      </c>
      <c r="BL991" t="s">
        <v>5575</v>
      </c>
      <c r="BM991" t="s">
        <v>19212</v>
      </c>
      <c r="BN991">
        <v>31306868</v>
      </c>
      <c r="BO991" t="s">
        <v>8365</v>
      </c>
      <c r="BP991" t="s">
        <v>74</v>
      </c>
      <c r="BQ991" t="s">
        <v>74</v>
      </c>
      <c r="BR991" t="s">
        <v>108</v>
      </c>
      <c r="BS991" t="s">
        <v>19247</v>
      </c>
      <c r="BT991" t="str">
        <f>HYPERLINK("https%3A%2F%2Fwww.webofscience.com%2Fwos%2Fwoscc%2Ffull-record%2FWOS:000500180400007","View Full Record in Web of Science")</f>
        <v>View Full Record in Web of Science</v>
      </c>
    </row>
    <row r="992" spans="1:72" x14ac:dyDescent="0.15">
      <c r="A992" t="s">
        <v>133</v>
      </c>
      <c r="B992" t="s">
        <v>19248</v>
      </c>
      <c r="C992" t="s">
        <v>74</v>
      </c>
      <c r="D992" t="s">
        <v>74</v>
      </c>
      <c r="E992" t="s">
        <v>74</v>
      </c>
      <c r="F992" t="s">
        <v>19249</v>
      </c>
      <c r="G992" t="s">
        <v>74</v>
      </c>
      <c r="H992" t="s">
        <v>74</v>
      </c>
      <c r="I992" t="s">
        <v>19250</v>
      </c>
      <c r="J992" t="s">
        <v>4911</v>
      </c>
      <c r="K992" t="s">
        <v>74</v>
      </c>
      <c r="L992" t="s">
        <v>74</v>
      </c>
      <c r="M992" t="s">
        <v>80</v>
      </c>
      <c r="N992" t="s">
        <v>138</v>
      </c>
      <c r="O992" t="s">
        <v>74</v>
      </c>
      <c r="P992" t="s">
        <v>74</v>
      </c>
      <c r="Q992" t="s">
        <v>74</v>
      </c>
      <c r="R992" t="s">
        <v>74</v>
      </c>
      <c r="S992" t="s">
        <v>74</v>
      </c>
      <c r="T992" t="s">
        <v>19251</v>
      </c>
      <c r="U992" t="s">
        <v>19252</v>
      </c>
      <c r="V992" t="s">
        <v>19253</v>
      </c>
      <c r="W992" t="s">
        <v>19254</v>
      </c>
      <c r="X992" t="s">
        <v>19255</v>
      </c>
      <c r="Y992" t="s">
        <v>19256</v>
      </c>
      <c r="Z992" t="s">
        <v>19257</v>
      </c>
      <c r="AA992" t="s">
        <v>19258</v>
      </c>
      <c r="AB992" t="s">
        <v>19259</v>
      </c>
      <c r="AC992" t="s">
        <v>19260</v>
      </c>
      <c r="AD992" t="s">
        <v>19261</v>
      </c>
      <c r="AE992" t="s">
        <v>19262</v>
      </c>
      <c r="AF992" t="s">
        <v>74</v>
      </c>
      <c r="AG992">
        <v>60</v>
      </c>
      <c r="AH992">
        <v>176</v>
      </c>
      <c r="AI992">
        <v>192</v>
      </c>
      <c r="AJ992">
        <v>43</v>
      </c>
      <c r="AK992">
        <v>405</v>
      </c>
      <c r="AL992" t="s">
        <v>379</v>
      </c>
      <c r="AM992" t="s">
        <v>380</v>
      </c>
      <c r="AN992" t="s">
        <v>381</v>
      </c>
      <c r="AO992" t="s">
        <v>4924</v>
      </c>
      <c r="AP992" t="s">
        <v>4925</v>
      </c>
      <c r="AQ992" t="s">
        <v>74</v>
      </c>
      <c r="AR992" t="s">
        <v>4926</v>
      </c>
      <c r="AS992" t="s">
        <v>4927</v>
      </c>
      <c r="AT992" t="s">
        <v>3499</v>
      </c>
      <c r="AU992">
        <v>2019</v>
      </c>
      <c r="AV992">
        <v>146</v>
      </c>
      <c r="AW992" t="s">
        <v>74</v>
      </c>
      <c r="AX992" t="s">
        <v>74</v>
      </c>
      <c r="AY992" t="s">
        <v>74</v>
      </c>
      <c r="AZ992" t="s">
        <v>74</v>
      </c>
      <c r="BA992" t="s">
        <v>74</v>
      </c>
      <c r="BB992">
        <v>921</v>
      </c>
      <c r="BC992">
        <v>924</v>
      </c>
      <c r="BD992" t="s">
        <v>74</v>
      </c>
      <c r="BE992" t="s">
        <v>19263</v>
      </c>
      <c r="BF992" t="str">
        <f>HYPERLINK("http://dx.doi.org/10.1016/j.marpolbul.2019.07.052","http://dx.doi.org/10.1016/j.marpolbul.2019.07.052")</f>
        <v>http://dx.doi.org/10.1016/j.marpolbul.2019.07.052</v>
      </c>
      <c r="BG992" t="s">
        <v>74</v>
      </c>
      <c r="BH992" t="s">
        <v>74</v>
      </c>
      <c r="BI992">
        <v>4</v>
      </c>
      <c r="BJ992" t="s">
        <v>2738</v>
      </c>
      <c r="BK992" t="s">
        <v>294</v>
      </c>
      <c r="BL992" t="s">
        <v>2739</v>
      </c>
      <c r="BM992" t="s">
        <v>19264</v>
      </c>
      <c r="BN992">
        <v>31426238</v>
      </c>
      <c r="BO992" t="s">
        <v>74</v>
      </c>
      <c r="BP992" t="s">
        <v>560</v>
      </c>
      <c r="BQ992" t="s">
        <v>561</v>
      </c>
      <c r="BR992" t="s">
        <v>108</v>
      </c>
      <c r="BS992" t="s">
        <v>19265</v>
      </c>
      <c r="BT992" t="str">
        <f>HYPERLINK("https%3A%2F%2Fwww.webofscience.com%2Fwos%2Fwoscc%2Ffull-record%2FWOS:000488999000104","View Full Record in Web of Science")</f>
        <v>View Full Record in Web of Science</v>
      </c>
    </row>
    <row r="993" spans="1:72" x14ac:dyDescent="0.15">
      <c r="A993" t="s">
        <v>133</v>
      </c>
      <c r="B993" t="s">
        <v>19266</v>
      </c>
      <c r="C993" t="s">
        <v>74</v>
      </c>
      <c r="D993" t="s">
        <v>74</v>
      </c>
      <c r="E993" t="s">
        <v>74</v>
      </c>
      <c r="F993" t="s">
        <v>19267</v>
      </c>
      <c r="G993" t="s">
        <v>74</v>
      </c>
      <c r="H993" t="s">
        <v>74</v>
      </c>
      <c r="I993" t="s">
        <v>19268</v>
      </c>
      <c r="J993" t="s">
        <v>5765</v>
      </c>
      <c r="K993" t="s">
        <v>74</v>
      </c>
      <c r="L993" t="s">
        <v>74</v>
      </c>
      <c r="M993" t="s">
        <v>80</v>
      </c>
      <c r="N993" t="s">
        <v>1333</v>
      </c>
      <c r="O993" t="s">
        <v>74</v>
      </c>
      <c r="P993" t="s">
        <v>74</v>
      </c>
      <c r="Q993" t="s">
        <v>74</v>
      </c>
      <c r="R993" t="s">
        <v>74</v>
      </c>
      <c r="S993" t="s">
        <v>74</v>
      </c>
      <c r="T993" t="s">
        <v>74</v>
      </c>
      <c r="U993" t="s">
        <v>19269</v>
      </c>
      <c r="V993" t="s">
        <v>19270</v>
      </c>
      <c r="W993" t="s">
        <v>19271</v>
      </c>
      <c r="X993" t="s">
        <v>19272</v>
      </c>
      <c r="Y993" t="s">
        <v>19273</v>
      </c>
      <c r="Z993" t="s">
        <v>19274</v>
      </c>
      <c r="AA993" t="s">
        <v>74</v>
      </c>
      <c r="AB993" t="s">
        <v>74</v>
      </c>
      <c r="AC993" t="s">
        <v>74</v>
      </c>
      <c r="AD993" t="s">
        <v>74</v>
      </c>
      <c r="AE993" t="s">
        <v>74</v>
      </c>
      <c r="AF993" t="s">
        <v>74</v>
      </c>
      <c r="AG993">
        <v>13</v>
      </c>
      <c r="AH993">
        <v>1</v>
      </c>
      <c r="AI993">
        <v>1</v>
      </c>
      <c r="AJ993">
        <v>1</v>
      </c>
      <c r="AK993">
        <v>21</v>
      </c>
      <c r="AL993" t="s">
        <v>2038</v>
      </c>
      <c r="AM993" t="s">
        <v>1730</v>
      </c>
      <c r="AN993" t="s">
        <v>2039</v>
      </c>
      <c r="AO993" t="s">
        <v>5777</v>
      </c>
      <c r="AP993" t="s">
        <v>5778</v>
      </c>
      <c r="AQ993" t="s">
        <v>74</v>
      </c>
      <c r="AR993" t="s">
        <v>5779</v>
      </c>
      <c r="AS993" t="s">
        <v>5780</v>
      </c>
      <c r="AT993" t="s">
        <v>3499</v>
      </c>
      <c r="AU993">
        <v>2019</v>
      </c>
      <c r="AV993">
        <v>9</v>
      </c>
      <c r="AW993">
        <v>9</v>
      </c>
      <c r="AX993" t="s">
        <v>74</v>
      </c>
      <c r="AY993" t="s">
        <v>74</v>
      </c>
      <c r="AZ993" t="s">
        <v>74</v>
      </c>
      <c r="BA993" t="s">
        <v>74</v>
      </c>
      <c r="BB993">
        <v>651</v>
      </c>
      <c r="BC993">
        <v>652</v>
      </c>
      <c r="BD993" t="s">
        <v>74</v>
      </c>
      <c r="BE993" t="s">
        <v>19275</v>
      </c>
      <c r="BF993" t="str">
        <f>HYPERLINK("http://dx.doi.org/10.1038/s41558-019-0562-1","http://dx.doi.org/10.1038/s41558-019-0562-1")</f>
        <v>http://dx.doi.org/10.1038/s41558-019-0562-1</v>
      </c>
      <c r="BG993" t="s">
        <v>74</v>
      </c>
      <c r="BH993" t="s">
        <v>74</v>
      </c>
      <c r="BI993">
        <v>2</v>
      </c>
      <c r="BJ993" t="s">
        <v>5782</v>
      </c>
      <c r="BK993" t="s">
        <v>360</v>
      </c>
      <c r="BL993" t="s">
        <v>105</v>
      </c>
      <c r="BM993" t="s">
        <v>18677</v>
      </c>
      <c r="BN993" t="s">
        <v>74</v>
      </c>
      <c r="BO993" t="s">
        <v>666</v>
      </c>
      <c r="BP993" t="s">
        <v>74</v>
      </c>
      <c r="BQ993" t="s">
        <v>74</v>
      </c>
      <c r="BR993" t="s">
        <v>108</v>
      </c>
      <c r="BS993" t="s">
        <v>19276</v>
      </c>
      <c r="BT993" t="str">
        <f>HYPERLINK("https%3A%2F%2Fwww.webofscience.com%2Fwos%2Fwoscc%2Ffull-record%2FWOS:000483551700010","View Full Record in Web of Science")</f>
        <v>View Full Record in Web of Science</v>
      </c>
    </row>
    <row r="994" spans="1:72" x14ac:dyDescent="0.15">
      <c r="A994" t="s">
        <v>133</v>
      </c>
      <c r="B994" t="s">
        <v>19277</v>
      </c>
      <c r="C994" t="s">
        <v>74</v>
      </c>
      <c r="D994" t="s">
        <v>74</v>
      </c>
      <c r="E994" t="s">
        <v>74</v>
      </c>
      <c r="F994" t="s">
        <v>19278</v>
      </c>
      <c r="G994" t="s">
        <v>74</v>
      </c>
      <c r="H994" t="s">
        <v>74</v>
      </c>
      <c r="I994" t="s">
        <v>19279</v>
      </c>
      <c r="J994" t="s">
        <v>15272</v>
      </c>
      <c r="K994" t="s">
        <v>74</v>
      </c>
      <c r="L994" t="s">
        <v>74</v>
      </c>
      <c r="M994" t="s">
        <v>80</v>
      </c>
      <c r="N994" t="s">
        <v>138</v>
      </c>
      <c r="O994" t="s">
        <v>74</v>
      </c>
      <c r="P994" t="s">
        <v>74</v>
      </c>
      <c r="Q994" t="s">
        <v>74</v>
      </c>
      <c r="R994" t="s">
        <v>74</v>
      </c>
      <c r="S994" t="s">
        <v>74</v>
      </c>
      <c r="T994" t="s">
        <v>74</v>
      </c>
      <c r="U994" t="s">
        <v>19280</v>
      </c>
      <c r="V994" t="s">
        <v>19281</v>
      </c>
      <c r="W994" t="s">
        <v>19282</v>
      </c>
      <c r="X994" t="s">
        <v>19283</v>
      </c>
      <c r="Y994" t="s">
        <v>19284</v>
      </c>
      <c r="Z994" t="s">
        <v>19285</v>
      </c>
      <c r="AA994" t="s">
        <v>19286</v>
      </c>
      <c r="AB994" t="s">
        <v>19287</v>
      </c>
      <c r="AC994" t="s">
        <v>19288</v>
      </c>
      <c r="AD994" t="s">
        <v>19289</v>
      </c>
      <c r="AE994" t="s">
        <v>19290</v>
      </c>
      <c r="AF994" t="s">
        <v>74</v>
      </c>
      <c r="AG994">
        <v>64</v>
      </c>
      <c r="AH994">
        <v>144</v>
      </c>
      <c r="AI994">
        <v>153</v>
      </c>
      <c r="AJ994">
        <v>11</v>
      </c>
      <c r="AK994">
        <v>172</v>
      </c>
      <c r="AL994" t="s">
        <v>2038</v>
      </c>
      <c r="AM994" t="s">
        <v>1730</v>
      </c>
      <c r="AN994" t="s">
        <v>2039</v>
      </c>
      <c r="AO994" t="s">
        <v>15281</v>
      </c>
      <c r="AP994" t="s">
        <v>74</v>
      </c>
      <c r="AQ994" t="s">
        <v>74</v>
      </c>
      <c r="AR994" t="s">
        <v>15282</v>
      </c>
      <c r="AS994" t="s">
        <v>15283</v>
      </c>
      <c r="AT994" t="s">
        <v>3499</v>
      </c>
      <c r="AU994">
        <v>2019</v>
      </c>
      <c r="AV994">
        <v>3</v>
      </c>
      <c r="AW994">
        <v>9</v>
      </c>
      <c r="AX994" t="s">
        <v>74</v>
      </c>
      <c r="AY994" t="s">
        <v>74</v>
      </c>
      <c r="AZ994" t="s">
        <v>74</v>
      </c>
      <c r="BA994" t="s">
        <v>74</v>
      </c>
      <c r="BB994">
        <v>1341</v>
      </c>
      <c r="BC994">
        <v>1350</v>
      </c>
      <c r="BD994" t="s">
        <v>74</v>
      </c>
      <c r="BE994" t="s">
        <v>19291</v>
      </c>
      <c r="BF994" t="str">
        <f>HYPERLINK("http://dx.doi.org/10.1038/s41559-019-0953-8","http://dx.doi.org/10.1038/s41559-019-0953-8")</f>
        <v>http://dx.doi.org/10.1038/s41559-019-0953-8</v>
      </c>
      <c r="BG994" t="s">
        <v>74</v>
      </c>
      <c r="BH994" t="s">
        <v>74</v>
      </c>
      <c r="BI994">
        <v>10</v>
      </c>
      <c r="BJ994" t="s">
        <v>2678</v>
      </c>
      <c r="BK994" t="s">
        <v>294</v>
      </c>
      <c r="BL994" t="s">
        <v>2679</v>
      </c>
      <c r="BM994" t="s">
        <v>19292</v>
      </c>
      <c r="BN994">
        <v>31406279</v>
      </c>
      <c r="BO994" t="s">
        <v>741</v>
      </c>
      <c r="BP994" t="s">
        <v>74</v>
      </c>
      <c r="BQ994" t="s">
        <v>74</v>
      </c>
      <c r="BR994" t="s">
        <v>108</v>
      </c>
      <c r="BS994" t="s">
        <v>19293</v>
      </c>
      <c r="BT994" t="str">
        <f>HYPERLINK("https%3A%2F%2Fwww.webofscience.com%2Fwos%2Fwoscc%2Ffull-record%2FWOS:000484026600018","View Full Record in Web of Science")</f>
        <v>View Full Record in Web of Science</v>
      </c>
    </row>
    <row r="995" spans="1:72" x14ac:dyDescent="0.15">
      <c r="A995" t="s">
        <v>133</v>
      </c>
      <c r="B995" t="s">
        <v>19294</v>
      </c>
      <c r="C995" t="s">
        <v>74</v>
      </c>
      <c r="D995" t="s">
        <v>74</v>
      </c>
      <c r="E995" t="s">
        <v>74</v>
      </c>
      <c r="F995" t="s">
        <v>19295</v>
      </c>
      <c r="G995" t="s">
        <v>74</v>
      </c>
      <c r="H995" t="s">
        <v>74</v>
      </c>
      <c r="I995" t="s">
        <v>19296</v>
      </c>
      <c r="J995" t="s">
        <v>828</v>
      </c>
      <c r="K995" t="s">
        <v>74</v>
      </c>
      <c r="L995" t="s">
        <v>74</v>
      </c>
      <c r="M995" t="s">
        <v>80</v>
      </c>
      <c r="N995" t="s">
        <v>138</v>
      </c>
      <c r="O995" t="s">
        <v>74</v>
      </c>
      <c r="P995" t="s">
        <v>74</v>
      </c>
      <c r="Q995" t="s">
        <v>74</v>
      </c>
      <c r="R995" t="s">
        <v>74</v>
      </c>
      <c r="S995" t="s">
        <v>74</v>
      </c>
      <c r="T995" t="s">
        <v>74</v>
      </c>
      <c r="U995" t="s">
        <v>19297</v>
      </c>
      <c r="V995" t="s">
        <v>19298</v>
      </c>
      <c r="W995" t="s">
        <v>19299</v>
      </c>
      <c r="X995" t="s">
        <v>19300</v>
      </c>
      <c r="Y995" t="s">
        <v>19301</v>
      </c>
      <c r="Z995" t="s">
        <v>19302</v>
      </c>
      <c r="AA995" t="s">
        <v>19303</v>
      </c>
      <c r="AB995" t="s">
        <v>19304</v>
      </c>
      <c r="AC995" t="s">
        <v>19305</v>
      </c>
      <c r="AD995" t="s">
        <v>19306</v>
      </c>
      <c r="AE995" t="s">
        <v>19307</v>
      </c>
      <c r="AF995" t="s">
        <v>74</v>
      </c>
      <c r="AG995">
        <v>56</v>
      </c>
      <c r="AH995">
        <v>147</v>
      </c>
      <c r="AI995">
        <v>159</v>
      </c>
      <c r="AJ995">
        <v>11</v>
      </c>
      <c r="AK995">
        <v>79</v>
      </c>
      <c r="AL995" t="s">
        <v>2635</v>
      </c>
      <c r="AM995" t="s">
        <v>841</v>
      </c>
      <c r="AN995" t="s">
        <v>842</v>
      </c>
      <c r="AO995" t="s">
        <v>843</v>
      </c>
      <c r="AP995" t="s">
        <v>844</v>
      </c>
      <c r="AQ995" t="s">
        <v>74</v>
      </c>
      <c r="AR995" t="s">
        <v>845</v>
      </c>
      <c r="AS995" t="s">
        <v>846</v>
      </c>
      <c r="AT995" t="s">
        <v>3499</v>
      </c>
      <c r="AU995">
        <v>2019</v>
      </c>
      <c r="AV995">
        <v>12</v>
      </c>
      <c r="AW995">
        <v>9</v>
      </c>
      <c r="AX995" t="s">
        <v>74</v>
      </c>
      <c r="AY995" t="s">
        <v>74</v>
      </c>
      <c r="AZ995" t="s">
        <v>74</v>
      </c>
      <c r="BA995" t="s">
        <v>74</v>
      </c>
      <c r="BB995">
        <v>718</v>
      </c>
      <c r="BC995" t="s">
        <v>847</v>
      </c>
      <c r="BD995" t="s">
        <v>74</v>
      </c>
      <c r="BE995" t="s">
        <v>19308</v>
      </c>
      <c r="BF995" t="str">
        <f>HYPERLINK("http://dx.doi.org/10.1038/s41561-019-0420-9","http://dx.doi.org/10.1038/s41561-019-0420-9")</f>
        <v>http://dx.doi.org/10.1038/s41561-019-0420-9</v>
      </c>
      <c r="BG995" t="s">
        <v>74</v>
      </c>
      <c r="BH995" t="s">
        <v>74</v>
      </c>
      <c r="BI995">
        <v>10</v>
      </c>
      <c r="BJ995" t="s">
        <v>849</v>
      </c>
      <c r="BK995" t="s">
        <v>294</v>
      </c>
      <c r="BL995" t="s">
        <v>850</v>
      </c>
      <c r="BM995" t="s">
        <v>19309</v>
      </c>
      <c r="BN995" t="s">
        <v>74</v>
      </c>
      <c r="BO995" t="s">
        <v>638</v>
      </c>
      <c r="BP995" t="s">
        <v>560</v>
      </c>
      <c r="BQ995" t="s">
        <v>561</v>
      </c>
      <c r="BR995" t="s">
        <v>108</v>
      </c>
      <c r="BS995" t="s">
        <v>19310</v>
      </c>
      <c r="BT995" t="str">
        <f>HYPERLINK("https%3A%2F%2Fwww.webofscience.com%2Fwos%2Fwoscc%2Ffull-record%2FWOS:000484058100011","View Full Record in Web of Science")</f>
        <v>View Full Record in Web of Science</v>
      </c>
    </row>
    <row r="996" spans="1:72" x14ac:dyDescent="0.15">
      <c r="A996" t="s">
        <v>133</v>
      </c>
      <c r="B996" t="s">
        <v>19311</v>
      </c>
      <c r="C996" t="s">
        <v>74</v>
      </c>
      <c r="D996" t="s">
        <v>74</v>
      </c>
      <c r="E996" t="s">
        <v>74</v>
      </c>
      <c r="F996" t="s">
        <v>19312</v>
      </c>
      <c r="G996" t="s">
        <v>74</v>
      </c>
      <c r="H996" t="s">
        <v>74</v>
      </c>
      <c r="I996" t="s">
        <v>19313</v>
      </c>
      <c r="J996" t="s">
        <v>19314</v>
      </c>
      <c r="K996" t="s">
        <v>74</v>
      </c>
      <c r="L996" t="s">
        <v>74</v>
      </c>
      <c r="M996" t="s">
        <v>80</v>
      </c>
      <c r="N996" t="s">
        <v>138</v>
      </c>
      <c r="O996" t="s">
        <v>74</v>
      </c>
      <c r="P996" t="s">
        <v>74</v>
      </c>
      <c r="Q996" t="s">
        <v>74</v>
      </c>
      <c r="R996" t="s">
        <v>74</v>
      </c>
      <c r="S996" t="s">
        <v>74</v>
      </c>
      <c r="T996" t="s">
        <v>19315</v>
      </c>
      <c r="U996" t="s">
        <v>74</v>
      </c>
      <c r="V996" t="s">
        <v>19316</v>
      </c>
      <c r="W996" t="s">
        <v>19317</v>
      </c>
      <c r="X996" t="s">
        <v>19318</v>
      </c>
      <c r="Y996" t="s">
        <v>19319</v>
      </c>
      <c r="Z996" t="s">
        <v>19320</v>
      </c>
      <c r="AA996" t="s">
        <v>19321</v>
      </c>
      <c r="AB996" t="s">
        <v>19322</v>
      </c>
      <c r="AC996" t="s">
        <v>19323</v>
      </c>
      <c r="AD996" t="s">
        <v>19324</v>
      </c>
      <c r="AE996" t="s">
        <v>19325</v>
      </c>
      <c r="AF996" t="s">
        <v>74</v>
      </c>
      <c r="AG996">
        <v>64</v>
      </c>
      <c r="AH996">
        <v>24</v>
      </c>
      <c r="AI996">
        <v>26</v>
      </c>
      <c r="AJ996">
        <v>1</v>
      </c>
      <c r="AK996">
        <v>13</v>
      </c>
      <c r="AL996" t="s">
        <v>429</v>
      </c>
      <c r="AM996" t="s">
        <v>430</v>
      </c>
      <c r="AN996" t="s">
        <v>431</v>
      </c>
      <c r="AO996" t="s">
        <v>74</v>
      </c>
      <c r="AP996" t="s">
        <v>19326</v>
      </c>
      <c r="AQ996" t="s">
        <v>74</v>
      </c>
      <c r="AR996" t="s">
        <v>19327</v>
      </c>
      <c r="AS996" t="s">
        <v>19328</v>
      </c>
      <c r="AT996" t="s">
        <v>3499</v>
      </c>
      <c r="AU996">
        <v>2019</v>
      </c>
      <c r="AV996">
        <v>1</v>
      </c>
      <c r="AW996">
        <v>3</v>
      </c>
      <c r="AX996" t="s">
        <v>74</v>
      </c>
      <c r="AY996" t="s">
        <v>74</v>
      </c>
      <c r="AZ996" t="s">
        <v>74</v>
      </c>
      <c r="BA996" t="s">
        <v>74</v>
      </c>
      <c r="BB996">
        <v>317</v>
      </c>
      <c r="BC996">
        <v>330</v>
      </c>
      <c r="BD996" t="s">
        <v>74</v>
      </c>
      <c r="BE996" t="s">
        <v>19329</v>
      </c>
      <c r="BF996" t="str">
        <f>HYPERLINK("http://dx.doi.org/10.1002/pan3.26","http://dx.doi.org/10.1002/pan3.26")</f>
        <v>http://dx.doi.org/10.1002/pan3.26</v>
      </c>
      <c r="BG996" t="s">
        <v>74</v>
      </c>
      <c r="BH996" t="s">
        <v>74</v>
      </c>
      <c r="BI996">
        <v>14</v>
      </c>
      <c r="BJ996" t="s">
        <v>3524</v>
      </c>
      <c r="BK996" t="s">
        <v>160</v>
      </c>
      <c r="BL996" t="s">
        <v>295</v>
      </c>
      <c r="BM996" t="s">
        <v>19330</v>
      </c>
      <c r="BN996" t="s">
        <v>74</v>
      </c>
      <c r="BO996" t="s">
        <v>3287</v>
      </c>
      <c r="BP996" t="s">
        <v>74</v>
      </c>
      <c r="BQ996" t="s">
        <v>74</v>
      </c>
      <c r="BR996" t="s">
        <v>108</v>
      </c>
      <c r="BS996" t="s">
        <v>19331</v>
      </c>
      <c r="BT996" t="str">
        <f>HYPERLINK("https%3A%2F%2Fwww.webofscience.com%2Fwos%2Fwoscc%2Ffull-record%2FWOS:000657184400005","View Full Record in Web of Science")</f>
        <v>View Full Record in Web of Science</v>
      </c>
    </row>
    <row r="997" spans="1:72" x14ac:dyDescent="0.15">
      <c r="A997" t="s">
        <v>133</v>
      </c>
      <c r="B997" t="s">
        <v>19332</v>
      </c>
      <c r="C997" t="s">
        <v>74</v>
      </c>
      <c r="D997" t="s">
        <v>74</v>
      </c>
      <c r="E997" t="s">
        <v>74</v>
      </c>
      <c r="F997" t="s">
        <v>19333</v>
      </c>
      <c r="G997" t="s">
        <v>74</v>
      </c>
      <c r="H997" t="s">
        <v>74</v>
      </c>
      <c r="I997" t="s">
        <v>19334</v>
      </c>
      <c r="J997" t="s">
        <v>19335</v>
      </c>
      <c r="K997" t="s">
        <v>74</v>
      </c>
      <c r="L997" t="s">
        <v>74</v>
      </c>
      <c r="M997" t="s">
        <v>80</v>
      </c>
      <c r="N997" t="s">
        <v>1333</v>
      </c>
      <c r="O997" t="s">
        <v>74</v>
      </c>
      <c r="P997" t="s">
        <v>74</v>
      </c>
      <c r="Q997" t="s">
        <v>74</v>
      </c>
      <c r="R997" t="s">
        <v>74</v>
      </c>
      <c r="S997" t="s">
        <v>74</v>
      </c>
      <c r="T997" t="s">
        <v>74</v>
      </c>
      <c r="U997" t="s">
        <v>74</v>
      </c>
      <c r="V997" t="s">
        <v>74</v>
      </c>
      <c r="W997" t="s">
        <v>74</v>
      </c>
      <c r="X997" t="s">
        <v>74</v>
      </c>
      <c r="Y997" t="s">
        <v>74</v>
      </c>
      <c r="Z997" t="s">
        <v>74</v>
      </c>
      <c r="AA997" t="s">
        <v>74</v>
      </c>
      <c r="AB997" t="s">
        <v>74</v>
      </c>
      <c r="AC997" t="s">
        <v>74</v>
      </c>
      <c r="AD997" t="s">
        <v>74</v>
      </c>
      <c r="AE997" t="s">
        <v>74</v>
      </c>
      <c r="AF997" t="s">
        <v>74</v>
      </c>
      <c r="AG997">
        <v>1</v>
      </c>
      <c r="AH997">
        <v>0</v>
      </c>
      <c r="AI997">
        <v>0</v>
      </c>
      <c r="AJ997">
        <v>0</v>
      </c>
      <c r="AK997">
        <v>0</v>
      </c>
      <c r="AL997" t="s">
        <v>96</v>
      </c>
      <c r="AM997" t="s">
        <v>97</v>
      </c>
      <c r="AN997" t="s">
        <v>3769</v>
      </c>
      <c r="AO997" t="s">
        <v>19336</v>
      </c>
      <c r="AP997" t="s">
        <v>74</v>
      </c>
      <c r="AQ997" t="s">
        <v>74</v>
      </c>
      <c r="AR997" t="s">
        <v>19337</v>
      </c>
      <c r="AS997" t="s">
        <v>19338</v>
      </c>
      <c r="AT997" t="s">
        <v>3499</v>
      </c>
      <c r="AU997">
        <v>2019</v>
      </c>
      <c r="AV997">
        <v>32</v>
      </c>
      <c r="AW997">
        <v>9</v>
      </c>
      <c r="AX997" t="s">
        <v>74</v>
      </c>
      <c r="AY997" t="s">
        <v>74</v>
      </c>
      <c r="AZ997" t="s">
        <v>74</v>
      </c>
      <c r="BA997" t="s">
        <v>74</v>
      </c>
      <c r="BB997">
        <v>6</v>
      </c>
      <c r="BC997">
        <v>6</v>
      </c>
      <c r="BD997" t="s">
        <v>74</v>
      </c>
      <c r="BE997" t="s">
        <v>74</v>
      </c>
      <c r="BF997" t="s">
        <v>74</v>
      </c>
      <c r="BG997" t="s">
        <v>74</v>
      </c>
      <c r="BH997" t="s">
        <v>74</v>
      </c>
      <c r="BI997">
        <v>1</v>
      </c>
      <c r="BJ997" t="s">
        <v>15354</v>
      </c>
      <c r="BK997" t="s">
        <v>294</v>
      </c>
      <c r="BL997" t="s">
        <v>7968</v>
      </c>
      <c r="BM997" t="s">
        <v>19339</v>
      </c>
      <c r="BN997" t="s">
        <v>74</v>
      </c>
      <c r="BO997" t="s">
        <v>74</v>
      </c>
      <c r="BP997" t="s">
        <v>74</v>
      </c>
      <c r="BQ997" t="s">
        <v>74</v>
      </c>
      <c r="BR997" t="s">
        <v>108</v>
      </c>
      <c r="BS997" t="s">
        <v>19340</v>
      </c>
      <c r="BT997" t="str">
        <f>HYPERLINK("https%3A%2F%2Fwww.webofscience.com%2Fwos%2Fwoscc%2Ffull-record%2FWOS:000510848700004","View Full Record in Web of Science")</f>
        <v>View Full Record in Web of Science</v>
      </c>
    </row>
    <row r="998" spans="1:72" x14ac:dyDescent="0.15">
      <c r="A998" t="s">
        <v>133</v>
      </c>
      <c r="B998" t="s">
        <v>19341</v>
      </c>
      <c r="C998" t="s">
        <v>74</v>
      </c>
      <c r="D998" t="s">
        <v>74</v>
      </c>
      <c r="E998" t="s">
        <v>74</v>
      </c>
      <c r="F998" t="s">
        <v>19342</v>
      </c>
      <c r="G998" t="s">
        <v>74</v>
      </c>
      <c r="H998" t="s">
        <v>74</v>
      </c>
      <c r="I998" t="s">
        <v>19343</v>
      </c>
      <c r="J998" t="s">
        <v>9047</v>
      </c>
      <c r="K998" t="s">
        <v>74</v>
      </c>
      <c r="L998" t="s">
        <v>74</v>
      </c>
      <c r="M998" t="s">
        <v>80</v>
      </c>
      <c r="N998" t="s">
        <v>1333</v>
      </c>
      <c r="O998" t="s">
        <v>74</v>
      </c>
      <c r="P998" t="s">
        <v>74</v>
      </c>
      <c r="Q998" t="s">
        <v>74</v>
      </c>
      <c r="R998" t="s">
        <v>74</v>
      </c>
      <c r="S998" t="s">
        <v>74</v>
      </c>
      <c r="T998" t="s">
        <v>19344</v>
      </c>
      <c r="U998" t="s">
        <v>74</v>
      </c>
      <c r="V998" t="s">
        <v>19345</v>
      </c>
      <c r="W998" t="s">
        <v>19346</v>
      </c>
      <c r="X998" t="s">
        <v>5747</v>
      </c>
      <c r="Y998" t="s">
        <v>19347</v>
      </c>
      <c r="Z998" t="s">
        <v>19348</v>
      </c>
      <c r="AA998" t="s">
        <v>74</v>
      </c>
      <c r="AB998" t="s">
        <v>74</v>
      </c>
      <c r="AC998" t="s">
        <v>19349</v>
      </c>
      <c r="AD998" t="s">
        <v>19350</v>
      </c>
      <c r="AE998" t="s">
        <v>19351</v>
      </c>
      <c r="AF998" t="s">
        <v>74</v>
      </c>
      <c r="AG998">
        <v>25</v>
      </c>
      <c r="AH998">
        <v>2</v>
      </c>
      <c r="AI998">
        <v>2</v>
      </c>
      <c r="AJ998">
        <v>0</v>
      </c>
      <c r="AK998">
        <v>8</v>
      </c>
      <c r="AL998" t="s">
        <v>605</v>
      </c>
      <c r="AM998" t="s">
        <v>1965</v>
      </c>
      <c r="AN998" t="s">
        <v>4578</v>
      </c>
      <c r="AO998" t="s">
        <v>9054</v>
      </c>
      <c r="AP998" t="s">
        <v>9055</v>
      </c>
      <c r="AQ998" t="s">
        <v>74</v>
      </c>
      <c r="AR998" t="s">
        <v>9056</v>
      </c>
      <c r="AS998" t="s">
        <v>9057</v>
      </c>
      <c r="AT998" t="s">
        <v>3499</v>
      </c>
      <c r="AU998">
        <v>2019</v>
      </c>
      <c r="AV998">
        <v>55</v>
      </c>
      <c r="AW998">
        <v>5</v>
      </c>
      <c r="AX998" t="s">
        <v>74</v>
      </c>
      <c r="AY998" t="s">
        <v>74</v>
      </c>
      <c r="AZ998" t="s">
        <v>74</v>
      </c>
      <c r="BA998" t="s">
        <v>74</v>
      </c>
      <c r="BB998">
        <v>317</v>
      </c>
      <c r="BC998">
        <v>319</v>
      </c>
      <c r="BD998" t="s">
        <v>74</v>
      </c>
      <c r="BE998" t="s">
        <v>19352</v>
      </c>
      <c r="BF998" t="str">
        <f>HYPERLINK("http://dx.doi.org/10.1017/S003224741900069X","http://dx.doi.org/10.1017/S003224741900069X")</f>
        <v>http://dx.doi.org/10.1017/S003224741900069X</v>
      </c>
      <c r="BG998" t="s">
        <v>74</v>
      </c>
      <c r="BH998" t="s">
        <v>74</v>
      </c>
      <c r="BI998">
        <v>3</v>
      </c>
      <c r="BJ998" t="s">
        <v>9060</v>
      </c>
      <c r="BK998" t="s">
        <v>294</v>
      </c>
      <c r="BL998" t="s">
        <v>388</v>
      </c>
      <c r="BM998" t="s">
        <v>17398</v>
      </c>
      <c r="BN998" t="s">
        <v>74</v>
      </c>
      <c r="BO998" t="s">
        <v>74</v>
      </c>
      <c r="BP998" t="s">
        <v>74</v>
      </c>
      <c r="BQ998" t="s">
        <v>74</v>
      </c>
      <c r="BR998" t="s">
        <v>108</v>
      </c>
      <c r="BS998" t="s">
        <v>19353</v>
      </c>
      <c r="BT998" t="str">
        <f>HYPERLINK("https%3A%2F%2Fwww.webofscience.com%2Fwos%2Fwoscc%2Ffull-record%2FWOS:000508432300002","View Full Record in Web of Science")</f>
        <v>View Full Record in Web of Science</v>
      </c>
    </row>
    <row r="999" spans="1:72" x14ac:dyDescent="0.15">
      <c r="A999" t="s">
        <v>133</v>
      </c>
      <c r="B999" t="s">
        <v>19354</v>
      </c>
      <c r="C999" t="s">
        <v>74</v>
      </c>
      <c r="D999" t="s">
        <v>74</v>
      </c>
      <c r="E999" t="s">
        <v>74</v>
      </c>
      <c r="F999" t="s">
        <v>19355</v>
      </c>
      <c r="G999" t="s">
        <v>74</v>
      </c>
      <c r="H999" t="s">
        <v>74</v>
      </c>
      <c r="I999" t="s">
        <v>19356</v>
      </c>
      <c r="J999" t="s">
        <v>9047</v>
      </c>
      <c r="K999" t="s">
        <v>74</v>
      </c>
      <c r="L999" t="s">
        <v>74</v>
      </c>
      <c r="M999" t="s">
        <v>80</v>
      </c>
      <c r="N999" t="s">
        <v>1333</v>
      </c>
      <c r="O999" t="s">
        <v>74</v>
      </c>
      <c r="P999" t="s">
        <v>74</v>
      </c>
      <c r="Q999" t="s">
        <v>74</v>
      </c>
      <c r="R999" t="s">
        <v>74</v>
      </c>
      <c r="S999" t="s">
        <v>74</v>
      </c>
      <c r="T999" t="s">
        <v>19357</v>
      </c>
      <c r="U999" t="s">
        <v>74</v>
      </c>
      <c r="V999" t="s">
        <v>19358</v>
      </c>
      <c r="W999" t="s">
        <v>19359</v>
      </c>
      <c r="X999" t="s">
        <v>19360</v>
      </c>
      <c r="Y999" t="s">
        <v>19361</v>
      </c>
      <c r="Z999" t="s">
        <v>19362</v>
      </c>
      <c r="AA999" t="s">
        <v>74</v>
      </c>
      <c r="AB999" t="s">
        <v>74</v>
      </c>
      <c r="AC999" t="s">
        <v>19363</v>
      </c>
      <c r="AD999" t="s">
        <v>19363</v>
      </c>
      <c r="AE999" t="s">
        <v>19364</v>
      </c>
      <c r="AF999" t="s">
        <v>74</v>
      </c>
      <c r="AG999">
        <v>5</v>
      </c>
      <c r="AH999">
        <v>0</v>
      </c>
      <c r="AI999">
        <v>0</v>
      </c>
      <c r="AJ999">
        <v>0</v>
      </c>
      <c r="AK999">
        <v>1</v>
      </c>
      <c r="AL999" t="s">
        <v>605</v>
      </c>
      <c r="AM999" t="s">
        <v>1965</v>
      </c>
      <c r="AN999" t="s">
        <v>4578</v>
      </c>
      <c r="AO999" t="s">
        <v>9054</v>
      </c>
      <c r="AP999" t="s">
        <v>9055</v>
      </c>
      <c r="AQ999" t="s">
        <v>74</v>
      </c>
      <c r="AR999" t="s">
        <v>9056</v>
      </c>
      <c r="AS999" t="s">
        <v>9057</v>
      </c>
      <c r="AT999" t="s">
        <v>3499</v>
      </c>
      <c r="AU999">
        <v>2019</v>
      </c>
      <c r="AV999">
        <v>55</v>
      </c>
      <c r="AW999">
        <v>5</v>
      </c>
      <c r="AX999" t="s">
        <v>74</v>
      </c>
      <c r="AY999" t="s">
        <v>74</v>
      </c>
      <c r="AZ999" t="s">
        <v>74</v>
      </c>
      <c r="BA999" t="s">
        <v>74</v>
      </c>
      <c r="BB999">
        <v>341</v>
      </c>
      <c r="BC999">
        <v>346</v>
      </c>
      <c r="BD999" t="s">
        <v>74</v>
      </c>
      <c r="BE999" t="s">
        <v>19365</v>
      </c>
      <c r="BF999" t="str">
        <f>HYPERLINK("http://dx.doi.org/10.1017/S0032247419000512","http://dx.doi.org/10.1017/S0032247419000512")</f>
        <v>http://dx.doi.org/10.1017/S0032247419000512</v>
      </c>
      <c r="BG999" t="s">
        <v>74</v>
      </c>
      <c r="BH999" t="s">
        <v>74</v>
      </c>
      <c r="BI999">
        <v>6</v>
      </c>
      <c r="BJ999" t="s">
        <v>9060</v>
      </c>
      <c r="BK999" t="s">
        <v>294</v>
      </c>
      <c r="BL999" t="s">
        <v>388</v>
      </c>
      <c r="BM999" t="s">
        <v>17398</v>
      </c>
      <c r="BN999" t="s">
        <v>74</v>
      </c>
      <c r="BO999" t="s">
        <v>74</v>
      </c>
      <c r="BP999" t="s">
        <v>74</v>
      </c>
      <c r="BQ999" t="s">
        <v>74</v>
      </c>
      <c r="BR999" t="s">
        <v>108</v>
      </c>
      <c r="BS999" t="s">
        <v>19366</v>
      </c>
      <c r="BT999" t="str">
        <f>HYPERLINK("https%3A%2F%2Fwww.webofscience.com%2Fwos%2Fwoscc%2Ffull-record%2FWOS:000508432300009","View Full Record in Web of Science")</f>
        <v>View Full Record in Web of Science</v>
      </c>
    </row>
    <row r="1000" spans="1:72" x14ac:dyDescent="0.15">
      <c r="A1000" t="s">
        <v>133</v>
      </c>
      <c r="B1000" t="s">
        <v>19367</v>
      </c>
      <c r="C1000" t="s">
        <v>74</v>
      </c>
      <c r="D1000" t="s">
        <v>74</v>
      </c>
      <c r="E1000" t="s">
        <v>74</v>
      </c>
      <c r="F1000" t="s">
        <v>19368</v>
      </c>
      <c r="G1000" t="s">
        <v>74</v>
      </c>
      <c r="H1000" t="s">
        <v>74</v>
      </c>
      <c r="I1000" t="s">
        <v>19369</v>
      </c>
      <c r="J1000" t="s">
        <v>9047</v>
      </c>
      <c r="K1000" t="s">
        <v>74</v>
      </c>
      <c r="L1000" t="s">
        <v>74</v>
      </c>
      <c r="M1000" t="s">
        <v>80</v>
      </c>
      <c r="N1000" t="s">
        <v>1333</v>
      </c>
      <c r="O1000" t="s">
        <v>74</v>
      </c>
      <c r="P1000" t="s">
        <v>74</v>
      </c>
      <c r="Q1000" t="s">
        <v>74</v>
      </c>
      <c r="R1000" t="s">
        <v>74</v>
      </c>
      <c r="S1000" t="s">
        <v>74</v>
      </c>
      <c r="T1000" t="s">
        <v>19370</v>
      </c>
      <c r="U1000" t="s">
        <v>18020</v>
      </c>
      <c r="V1000" t="s">
        <v>19371</v>
      </c>
      <c r="W1000" t="s">
        <v>19372</v>
      </c>
      <c r="X1000" t="s">
        <v>19373</v>
      </c>
      <c r="Y1000" t="s">
        <v>19374</v>
      </c>
      <c r="Z1000" t="s">
        <v>19375</v>
      </c>
      <c r="AA1000" t="s">
        <v>19376</v>
      </c>
      <c r="AB1000" t="s">
        <v>19377</v>
      </c>
      <c r="AC1000" t="s">
        <v>19378</v>
      </c>
      <c r="AD1000" t="s">
        <v>19378</v>
      </c>
      <c r="AE1000" t="s">
        <v>19379</v>
      </c>
      <c r="AF1000" t="s">
        <v>74</v>
      </c>
      <c r="AG1000">
        <v>34</v>
      </c>
      <c r="AH1000">
        <v>3</v>
      </c>
      <c r="AI1000">
        <v>4</v>
      </c>
      <c r="AJ1000">
        <v>0</v>
      </c>
      <c r="AK1000">
        <v>7</v>
      </c>
      <c r="AL1000" t="s">
        <v>605</v>
      </c>
      <c r="AM1000" t="s">
        <v>1965</v>
      </c>
      <c r="AN1000" t="s">
        <v>4578</v>
      </c>
      <c r="AO1000" t="s">
        <v>9054</v>
      </c>
      <c r="AP1000" t="s">
        <v>9055</v>
      </c>
      <c r="AQ1000" t="s">
        <v>74</v>
      </c>
      <c r="AR1000" t="s">
        <v>9056</v>
      </c>
      <c r="AS1000" t="s">
        <v>9057</v>
      </c>
      <c r="AT1000" t="s">
        <v>3499</v>
      </c>
      <c r="AU1000">
        <v>2019</v>
      </c>
      <c r="AV1000">
        <v>55</v>
      </c>
      <c r="AW1000">
        <v>5</v>
      </c>
      <c r="AX1000" t="s">
        <v>74</v>
      </c>
      <c r="AY1000" t="s">
        <v>74</v>
      </c>
      <c r="AZ1000" t="s">
        <v>74</v>
      </c>
      <c r="BA1000" t="s">
        <v>74</v>
      </c>
      <c r="BB1000">
        <v>347</v>
      </c>
      <c r="BC1000">
        <v>350</v>
      </c>
      <c r="BD1000" t="s">
        <v>74</v>
      </c>
      <c r="BE1000" t="s">
        <v>19380</v>
      </c>
      <c r="BF1000" t="str">
        <f>HYPERLINK("http://dx.doi.org/10.1017/S0032247419000743","http://dx.doi.org/10.1017/S0032247419000743")</f>
        <v>http://dx.doi.org/10.1017/S0032247419000743</v>
      </c>
      <c r="BG1000" t="s">
        <v>74</v>
      </c>
      <c r="BH1000" t="s">
        <v>74</v>
      </c>
      <c r="BI1000">
        <v>4</v>
      </c>
      <c r="BJ1000" t="s">
        <v>9060</v>
      </c>
      <c r="BK1000" t="s">
        <v>294</v>
      </c>
      <c r="BL1000" t="s">
        <v>388</v>
      </c>
      <c r="BM1000" t="s">
        <v>17398</v>
      </c>
      <c r="BN1000" t="s">
        <v>74</v>
      </c>
      <c r="BO1000" t="s">
        <v>74</v>
      </c>
      <c r="BP1000" t="s">
        <v>74</v>
      </c>
      <c r="BQ1000" t="s">
        <v>74</v>
      </c>
      <c r="BR1000" t="s">
        <v>108</v>
      </c>
      <c r="BS1000" t="s">
        <v>19381</v>
      </c>
      <c r="BT1000" t="str">
        <f>HYPERLINK("https%3A%2F%2Fwww.webofscience.com%2Fwos%2Fwoscc%2Ffull-record%2FWOS:000508432300010","View Full Record in Web of Science")</f>
        <v>View Full Record in Web of Science</v>
      </c>
    </row>
    <row r="1001" spans="1:72" x14ac:dyDescent="0.15">
      <c r="A1001" t="s">
        <v>133</v>
      </c>
      <c r="B1001" t="s">
        <v>19382</v>
      </c>
      <c r="C1001" t="s">
        <v>74</v>
      </c>
      <c r="D1001" t="s">
        <v>74</v>
      </c>
      <c r="E1001" t="s">
        <v>74</v>
      </c>
      <c r="F1001" t="s">
        <v>19383</v>
      </c>
      <c r="G1001" t="s">
        <v>74</v>
      </c>
      <c r="H1001" t="s">
        <v>74</v>
      </c>
      <c r="I1001" t="s">
        <v>19384</v>
      </c>
      <c r="J1001" t="s">
        <v>9047</v>
      </c>
      <c r="K1001" t="s">
        <v>74</v>
      </c>
      <c r="L1001" t="s">
        <v>74</v>
      </c>
      <c r="M1001" t="s">
        <v>80</v>
      </c>
      <c r="N1001" t="s">
        <v>1333</v>
      </c>
      <c r="O1001" t="s">
        <v>74</v>
      </c>
      <c r="P1001" t="s">
        <v>74</v>
      </c>
      <c r="Q1001" t="s">
        <v>74</v>
      </c>
      <c r="R1001" t="s">
        <v>74</v>
      </c>
      <c r="S1001" t="s">
        <v>74</v>
      </c>
      <c r="T1001" t="s">
        <v>19385</v>
      </c>
      <c r="U1001" t="s">
        <v>74</v>
      </c>
      <c r="V1001" t="s">
        <v>19386</v>
      </c>
      <c r="W1001" t="s">
        <v>19387</v>
      </c>
      <c r="X1001" t="s">
        <v>19388</v>
      </c>
      <c r="Y1001" t="s">
        <v>19389</v>
      </c>
      <c r="Z1001" t="s">
        <v>19390</v>
      </c>
      <c r="AA1001" t="s">
        <v>74</v>
      </c>
      <c r="AB1001" t="s">
        <v>19391</v>
      </c>
      <c r="AC1001" t="s">
        <v>74</v>
      </c>
      <c r="AD1001" t="s">
        <v>74</v>
      </c>
      <c r="AE1001" t="s">
        <v>74</v>
      </c>
      <c r="AF1001" t="s">
        <v>74</v>
      </c>
      <c r="AG1001">
        <v>16</v>
      </c>
      <c r="AH1001">
        <v>3</v>
      </c>
      <c r="AI1001">
        <v>3</v>
      </c>
      <c r="AJ1001">
        <v>0</v>
      </c>
      <c r="AK1001">
        <v>7</v>
      </c>
      <c r="AL1001" t="s">
        <v>605</v>
      </c>
      <c r="AM1001" t="s">
        <v>1965</v>
      </c>
      <c r="AN1001" t="s">
        <v>4578</v>
      </c>
      <c r="AO1001" t="s">
        <v>9054</v>
      </c>
      <c r="AP1001" t="s">
        <v>9055</v>
      </c>
      <c r="AQ1001" t="s">
        <v>74</v>
      </c>
      <c r="AR1001" t="s">
        <v>9056</v>
      </c>
      <c r="AS1001" t="s">
        <v>9057</v>
      </c>
      <c r="AT1001" t="s">
        <v>3499</v>
      </c>
      <c r="AU1001">
        <v>2019</v>
      </c>
      <c r="AV1001">
        <v>55</v>
      </c>
      <c r="AW1001">
        <v>5</v>
      </c>
      <c r="AX1001" t="s">
        <v>74</v>
      </c>
      <c r="AY1001" t="s">
        <v>74</v>
      </c>
      <c r="AZ1001" t="s">
        <v>74</v>
      </c>
      <c r="BA1001" t="s">
        <v>74</v>
      </c>
      <c r="BB1001">
        <v>358</v>
      </c>
      <c r="BC1001">
        <v>360</v>
      </c>
      <c r="BD1001" t="s">
        <v>74</v>
      </c>
      <c r="BE1001" t="s">
        <v>19392</v>
      </c>
      <c r="BF1001" t="str">
        <f>HYPERLINK("http://dx.doi.org/10.1017/S0032247419000627","http://dx.doi.org/10.1017/S0032247419000627")</f>
        <v>http://dx.doi.org/10.1017/S0032247419000627</v>
      </c>
      <c r="BG1001" t="s">
        <v>74</v>
      </c>
      <c r="BH1001" t="s">
        <v>74</v>
      </c>
      <c r="BI1001">
        <v>3</v>
      </c>
      <c r="BJ1001" t="s">
        <v>9060</v>
      </c>
      <c r="BK1001" t="s">
        <v>294</v>
      </c>
      <c r="BL1001" t="s">
        <v>388</v>
      </c>
      <c r="BM1001" t="s">
        <v>17398</v>
      </c>
      <c r="BN1001" t="s">
        <v>74</v>
      </c>
      <c r="BO1001" t="s">
        <v>74</v>
      </c>
      <c r="BP1001" t="s">
        <v>74</v>
      </c>
      <c r="BQ1001" t="s">
        <v>74</v>
      </c>
      <c r="BR1001" t="s">
        <v>108</v>
      </c>
      <c r="BS1001" t="s">
        <v>19393</v>
      </c>
      <c r="BT1001" t="str">
        <f>HYPERLINK("https%3A%2F%2Fwww.webofscience.com%2Fwos%2Fwoscc%2Ffull-record%2FWOS:000508432300012","View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2024-07-28T15:23:44Z</dcterms:created>
  <dcterms:modified xsi:type="dcterms:W3CDTF">2024-07-28T15:23:45Z</dcterms:modified>
</cp:coreProperties>
</file>